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ml.chartshapes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theme/themeOverride3.xml" ContentType="application/vnd.openxmlformats-officedocument.themeOverride+xml"/>
  <Override PartName="/xl/charts/chart24.xml" ContentType="application/vnd.openxmlformats-officedocument.drawingml.chart+xml"/>
  <Override PartName="/xl/theme/themeOverride4.xml" ContentType="application/vnd.openxmlformats-officedocument.themeOverrid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harts/chart2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32.xml" ContentType="application/vnd.openxmlformats-officedocument.drawingml.chart+xml"/>
  <Override PartName="/xl/drawings/drawing17.xml" ContentType="application/vnd.openxmlformats-officedocument.drawing+xml"/>
  <Override PartName="/xl/charts/chart33.xml" ContentType="application/vnd.openxmlformats-officedocument.drawingml.chart+xml"/>
  <Override PartName="/xl/drawings/drawing18.xml" ContentType="application/vnd.openxmlformats-officedocument.drawing+xml"/>
  <Override PartName="/xl/charts/chart34.xml" ContentType="application/vnd.openxmlformats-officedocument.drawingml.chart+xml"/>
  <Override PartName="/xl/drawings/drawing19.xml" ContentType="application/vnd.openxmlformats-officedocument.drawing+xml"/>
  <Override PartName="/xl/ctrlProps/ctrlProp1.xml" ContentType="application/vnd.ms-excel.controlproperti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22.xml" ContentType="application/vnd.openxmlformats-officedocument.drawing+xml"/>
  <Override PartName="/xl/charts/chart46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ndreas\WEB.DE Online-Speicher\Website\klima-retten.info\Downloads\"/>
    </mc:Choice>
  </mc:AlternateContent>
  <bookViews>
    <workbookView xWindow="0" yWindow="0" windowWidth="23250" windowHeight="9735" tabRatio="839"/>
  </bookViews>
  <sheets>
    <sheet name="comparison" sheetId="52" r:id="rId1"/>
    <sheet name="input data" sheetId="62" r:id="rId2"/>
    <sheet name="_xltb_storage_" sheetId="73" state="veryHidden" r:id="rId3"/>
    <sheet name="global path" sheetId="53" r:id="rId4"/>
    <sheet name="RF" sheetId="49" r:id="rId5"/>
    <sheet name="C&amp;C-exp" sheetId="43" r:id="rId6"/>
    <sheet name="C&amp;C-lin" sheetId="46" r:id="rId7"/>
    <sheet name="CDC" sheetId="61" r:id="rId8"/>
    <sheet name="G-C&amp;C" sheetId="68" r:id="rId9"/>
    <sheet name="LIMITS" sheetId="55" r:id="rId10"/>
    <sheet name="GQWF" sheetId="31" r:id="rId11"/>
    <sheet name="SPM-eq" sheetId="58" r:id="rId12"/>
    <sheet name="SPM-in" sheetId="69" r:id="rId13"/>
    <sheet name="SPM-spk" sheetId="71" r:id="rId14"/>
    <sheet name="EPM" sheetId="59" r:id="rId15"/>
    <sheet name="pc20" sheetId="56" r:id="rId16"/>
    <sheet name="G-C&amp;C = RF" sheetId="63" r:id="rId17"/>
    <sheet name="G-LIMITS = RF" sheetId="64" r:id="rId18"/>
    <sheet name="SPM = RF" sheetId="70" r:id="rId19"/>
    <sheet name="SPM = C&amp;C_exp" sheetId="72" r:id="rId20"/>
    <sheet name="info" sheetId="60" r:id="rId21"/>
    <sheet name="imprint" sheetId="28" r:id="rId22"/>
    <sheet name="intern" sheetId="54" state="hidden" r:id="rId23"/>
  </sheets>
  <definedNames>
    <definedName name="_xlnm.Print_Area" localSheetId="5">'C&amp;C-exp'!#REF!</definedName>
    <definedName name="_xlnm.Print_Area" localSheetId="6">'C&amp;C-lin'!#REF!</definedName>
    <definedName name="_xlnm.Print_Area" localSheetId="7">CDC!#REF!</definedName>
    <definedName name="_xlnm.Print_Area" localSheetId="8">'G-C&amp;C'!#REF!</definedName>
    <definedName name="_xlnm.Print_Area" localSheetId="16">'G-C&amp;C = RF'!#REF!</definedName>
    <definedName name="_xlnm.Print_Area" localSheetId="17">'G-LIMITS = RF'!#REF!</definedName>
    <definedName name="_xlnm.Print_Area" localSheetId="10">GQWF!#REF!</definedName>
    <definedName name="_xlnm.Print_Area" localSheetId="21">imprint!$A$1:$K$12</definedName>
    <definedName name="_xlnm.Print_Area" localSheetId="9">LIMITS!#REF!</definedName>
    <definedName name="_xlnm.Print_Area" localSheetId="15">'pc20'!#REF!</definedName>
    <definedName name="_xlnm.Print_Area" localSheetId="4">RF!$A$5:$N$41</definedName>
    <definedName name="_xlnm.Print_Area" localSheetId="19">'SPM = C&amp;C_exp'!#REF!</definedName>
    <definedName name="_xlnm.Print_Area" localSheetId="18">'SPM = RF'!#REF!</definedName>
    <definedName name="_xlnm.Print_Area" localSheetId="11">'SPM-eq'!#REF!</definedName>
    <definedName name="_xlnm.Print_Area" localSheetId="12">'SPM-in'!#REF!</definedName>
    <definedName name="_xlnm.Print_Area" localSheetId="13">'SPM-spk'!#REF!</definedName>
    <definedName name="solver_adj" localSheetId="5" hidden="1">'C&amp;C-exp'!$L$112</definedName>
    <definedName name="solver_adj" localSheetId="6" hidden="1">'C&amp;C-lin'!$L$110</definedName>
    <definedName name="solver_adj" localSheetId="14" hidden="1">EPM!$AB$20:$AB$100</definedName>
    <definedName name="solver_adj" localSheetId="4" hidden="1">RF!$N$122</definedName>
    <definedName name="solver_adj" localSheetId="19" hidden="1">'SPM = C&amp;C_exp'!$T$8</definedName>
    <definedName name="solver_adj" localSheetId="18" hidden="1">'SPM = RF'!$T$8</definedName>
    <definedName name="solver_cvg" localSheetId="5" hidden="1">0.0001</definedName>
    <definedName name="solver_cvg" localSheetId="6" hidden="1">0.0001</definedName>
    <definedName name="solver_cvg" localSheetId="14" hidden="1">0.0001</definedName>
    <definedName name="solver_cvg" localSheetId="4" hidden="1">0.0001</definedName>
    <definedName name="solver_cvg" localSheetId="19" hidden="1">0.0001</definedName>
    <definedName name="solver_cvg" localSheetId="18" hidden="1">0.0001</definedName>
    <definedName name="solver_drv" localSheetId="5" hidden="1">1</definedName>
    <definedName name="solver_drv" localSheetId="6" hidden="1">1</definedName>
    <definedName name="solver_drv" localSheetId="14" hidden="1">1</definedName>
    <definedName name="solver_drv" localSheetId="4" hidden="1">1</definedName>
    <definedName name="solver_drv" localSheetId="19" hidden="1">1</definedName>
    <definedName name="solver_drv" localSheetId="18" hidden="1">1</definedName>
    <definedName name="solver_eng" localSheetId="5" hidden="1">1</definedName>
    <definedName name="solver_eng" localSheetId="6" hidden="1">1</definedName>
    <definedName name="solver_eng" localSheetId="14" hidden="1">1</definedName>
    <definedName name="solver_eng" localSheetId="4" hidden="1">1</definedName>
    <definedName name="solver_eng" localSheetId="19" hidden="1">1</definedName>
    <definedName name="solver_eng" localSheetId="18" hidden="1">1</definedName>
    <definedName name="solver_est" localSheetId="5" hidden="1">1</definedName>
    <definedName name="solver_est" localSheetId="6" hidden="1">1</definedName>
    <definedName name="solver_est" localSheetId="14" hidden="1">1</definedName>
    <definedName name="solver_est" localSheetId="4" hidden="1">1</definedName>
    <definedName name="solver_est" localSheetId="19" hidden="1">1</definedName>
    <definedName name="solver_est" localSheetId="18" hidden="1">1</definedName>
    <definedName name="solver_itr" localSheetId="5" hidden="1">2147483647</definedName>
    <definedName name="solver_itr" localSheetId="6" hidden="1">2147483647</definedName>
    <definedName name="solver_itr" localSheetId="14" hidden="1">2147483647</definedName>
    <definedName name="solver_itr" localSheetId="4" hidden="1">2147483647</definedName>
    <definedName name="solver_itr" localSheetId="19" hidden="1">2147483647</definedName>
    <definedName name="solver_itr" localSheetId="18" hidden="1">2147483647</definedName>
    <definedName name="solver_lhs0" localSheetId="19" hidden="1">'SPM = C&amp;C_exp'!$R$103</definedName>
    <definedName name="solver_lhs1" localSheetId="4" hidden="1">RF!$I$108</definedName>
    <definedName name="solver_lhs1" localSheetId="19" hidden="1">'SPM = C&amp;C_exp'!$Q$103</definedName>
    <definedName name="solver_lhs1" localSheetId="18" hidden="1">'SPM = RF'!$P$103</definedName>
    <definedName name="solver_lhs2" localSheetId="4" hidden="1">RF!$I$108</definedName>
    <definedName name="solver_lhs2" localSheetId="19" hidden="1">'SPM = C&amp;C_exp'!$R$103</definedName>
    <definedName name="solver_lhs2" localSheetId="18" hidden="1">'SPM = RF'!$R$103</definedName>
    <definedName name="solver_lhs3" localSheetId="19" hidden="1">'SPM = C&amp;C_exp'!$R$103</definedName>
    <definedName name="solver_lhs3" localSheetId="18" hidden="1">'SPM = RF'!$R$103</definedName>
    <definedName name="solver_lhs4" localSheetId="19" hidden="1">'SPM = C&amp;C_exp'!$R$103</definedName>
    <definedName name="solver_lhs4" localSheetId="18" hidden="1">'SPM = RF'!$R$103</definedName>
    <definedName name="solver_lhs5" localSheetId="19" hidden="1">'SPM = C&amp;C_exp'!$R$103</definedName>
    <definedName name="solver_lhs5" localSheetId="18" hidden="1">'SPM = RF'!$R$103</definedName>
    <definedName name="solver_lhs6" localSheetId="19" hidden="1">'SPM = C&amp;C_exp'!$R$103</definedName>
    <definedName name="solver_lhs6" localSheetId="18" hidden="1">'SPM = RF'!$R$103</definedName>
    <definedName name="solver_lhs7" localSheetId="19" hidden="1">'SPM = C&amp;C_exp'!$R$103</definedName>
    <definedName name="solver_lhs7" localSheetId="18" hidden="1">'SPM = RF'!$R$103</definedName>
    <definedName name="solver_lhs8" localSheetId="19" hidden="1">'SPM = C&amp;C_exp'!$R$103</definedName>
    <definedName name="solver_lhs8" localSheetId="18" hidden="1">'SPM = RF'!$R$103</definedName>
    <definedName name="solver_mip" localSheetId="5" hidden="1">2147483647</definedName>
    <definedName name="solver_mip" localSheetId="6" hidden="1">2147483647</definedName>
    <definedName name="solver_mip" localSheetId="14" hidden="1">2147483647</definedName>
    <definedName name="solver_mip" localSheetId="4" hidden="1">2147483647</definedName>
    <definedName name="solver_mip" localSheetId="19" hidden="1">2147483647</definedName>
    <definedName name="solver_mip" localSheetId="18" hidden="1">2147483647</definedName>
    <definedName name="solver_mni" localSheetId="5" hidden="1">30</definedName>
    <definedName name="solver_mni" localSheetId="6" hidden="1">30</definedName>
    <definedName name="solver_mni" localSheetId="14" hidden="1">30</definedName>
    <definedName name="solver_mni" localSheetId="4" hidden="1">30</definedName>
    <definedName name="solver_mni" localSheetId="19" hidden="1">30</definedName>
    <definedName name="solver_mni" localSheetId="18" hidden="1">30</definedName>
    <definedName name="solver_mrt" localSheetId="5" hidden="1">0.075</definedName>
    <definedName name="solver_mrt" localSheetId="6" hidden="1">0.075</definedName>
    <definedName name="solver_mrt" localSheetId="14" hidden="1">0.075</definedName>
    <definedName name="solver_mrt" localSheetId="4" hidden="1">0.075</definedName>
    <definedName name="solver_mrt" localSheetId="19" hidden="1">0.075</definedName>
    <definedName name="solver_mrt" localSheetId="18" hidden="1">0.075</definedName>
    <definedName name="solver_msl" localSheetId="5" hidden="1">2</definedName>
    <definedName name="solver_msl" localSheetId="6" hidden="1">2</definedName>
    <definedName name="solver_msl" localSheetId="14" hidden="1">2</definedName>
    <definedName name="solver_msl" localSheetId="4" hidden="1">2</definedName>
    <definedName name="solver_msl" localSheetId="19" hidden="1">2</definedName>
    <definedName name="solver_msl" localSheetId="18" hidden="1">2</definedName>
    <definedName name="solver_neg" localSheetId="5" hidden="1">1</definedName>
    <definedName name="solver_neg" localSheetId="6" hidden="1">1</definedName>
    <definedName name="solver_neg" localSheetId="14" hidden="1">1</definedName>
    <definedName name="solver_neg" localSheetId="4" hidden="1">1</definedName>
    <definedName name="solver_neg" localSheetId="19" hidden="1">2</definedName>
    <definedName name="solver_neg" localSheetId="18" hidden="1">1</definedName>
    <definedName name="solver_nod" localSheetId="5" hidden="1">2147483647</definedName>
    <definedName name="solver_nod" localSheetId="6" hidden="1">2147483647</definedName>
    <definedName name="solver_nod" localSheetId="14" hidden="1">2147483647</definedName>
    <definedName name="solver_nod" localSheetId="4" hidden="1">2147483647</definedName>
    <definedName name="solver_nod" localSheetId="19" hidden="1">2147483647</definedName>
    <definedName name="solver_nod" localSheetId="18" hidden="1">2147483647</definedName>
    <definedName name="solver_num" localSheetId="5" hidden="1">0</definedName>
    <definedName name="solver_num" localSheetId="6" hidden="1">0</definedName>
    <definedName name="solver_num" localSheetId="14" hidden="1">0</definedName>
    <definedName name="solver_num" localSheetId="4" hidden="1">0</definedName>
    <definedName name="solver_num" localSheetId="19" hidden="1">0</definedName>
    <definedName name="solver_num" localSheetId="18" hidden="1">0</definedName>
    <definedName name="solver_nwt" localSheetId="5" hidden="1">1</definedName>
    <definedName name="solver_nwt" localSheetId="6" hidden="1">1</definedName>
    <definedName name="solver_nwt" localSheetId="14" hidden="1">1</definedName>
    <definedName name="solver_nwt" localSheetId="4" hidden="1">1</definedName>
    <definedName name="solver_nwt" localSheetId="19" hidden="1">1</definedName>
    <definedName name="solver_nwt" localSheetId="18" hidden="1">1</definedName>
    <definedName name="solver_opt" localSheetId="5" hidden="1">'C&amp;C-exp'!$L$117</definedName>
    <definedName name="solver_opt" localSheetId="6" hidden="1">'C&amp;C-lin'!$L$115</definedName>
    <definedName name="solver_opt" localSheetId="14" hidden="1">EPM!$AM$101</definedName>
    <definedName name="solver_opt" localSheetId="4" hidden="1">RF!$I$127</definedName>
    <definedName name="solver_opt" localSheetId="19" hidden="1">'SPM = C&amp;C_exp'!$P$102</definedName>
    <definedName name="solver_opt" localSheetId="18" hidden="1">'SPM = RF'!$P$102</definedName>
    <definedName name="solver_pre" localSheetId="5" hidden="1">0.000001</definedName>
    <definedName name="solver_pre" localSheetId="6" hidden="1">0.000001</definedName>
    <definedName name="solver_pre" localSheetId="14" hidden="1">0.000001</definedName>
    <definedName name="solver_pre" localSheetId="4" hidden="1">0.000001</definedName>
    <definedName name="solver_pre" localSheetId="19" hidden="1">0.000001</definedName>
    <definedName name="solver_pre" localSheetId="18" hidden="1">0.000001</definedName>
    <definedName name="solver_rbv" localSheetId="5" hidden="1">1</definedName>
    <definedName name="solver_rbv" localSheetId="6" hidden="1">1</definedName>
    <definedName name="solver_rbv" localSheetId="14" hidden="1">1</definedName>
    <definedName name="solver_rbv" localSheetId="4" hidden="1">1</definedName>
    <definedName name="solver_rbv" localSheetId="19" hidden="1">1</definedName>
    <definedName name="solver_rbv" localSheetId="18" hidden="1">1</definedName>
    <definedName name="solver_rel0" localSheetId="19" hidden="1">3</definedName>
    <definedName name="solver_rel1" localSheetId="4" hidden="1">2</definedName>
    <definedName name="solver_rel1" localSheetId="19" hidden="1">1</definedName>
    <definedName name="solver_rel1" localSheetId="18" hidden="1">1</definedName>
    <definedName name="solver_rel2" localSheetId="4" hidden="1">2</definedName>
    <definedName name="solver_rel2" localSheetId="19" hidden="1">1</definedName>
    <definedName name="solver_rel2" localSheetId="18" hidden="1">3</definedName>
    <definedName name="solver_rel3" localSheetId="19" hidden="1">3</definedName>
    <definedName name="solver_rel3" localSheetId="18" hidden="1">3</definedName>
    <definedName name="solver_rel4" localSheetId="19" hidden="1">3</definedName>
    <definedName name="solver_rel4" localSheetId="18" hidden="1">3</definedName>
    <definedName name="solver_rel5" localSheetId="19" hidden="1">3</definedName>
    <definedName name="solver_rel5" localSheetId="18" hidden="1">3</definedName>
    <definedName name="solver_rel6" localSheetId="19" hidden="1">3</definedName>
    <definedName name="solver_rel6" localSheetId="18" hidden="1">3</definedName>
    <definedName name="solver_rel7" localSheetId="19" hidden="1">3</definedName>
    <definedName name="solver_rel7" localSheetId="18" hidden="1">3</definedName>
    <definedName name="solver_rel8" localSheetId="19" hidden="1">3</definedName>
    <definedName name="solver_rel8" localSheetId="18" hidden="1">3</definedName>
    <definedName name="solver_rhs0" localSheetId="19" hidden="1">'SPM = C&amp;C_exp'!#REF!</definedName>
    <definedName name="solver_rhs1" localSheetId="4" hidden="1">25</definedName>
    <definedName name="solver_rhs1" localSheetId="19" hidden="1">'SPM = C&amp;C_exp'!$Q$105</definedName>
    <definedName name="solver_rhs1" localSheetId="18" hidden="1">'SPM = RF'!#REF!</definedName>
    <definedName name="solver_rhs2" localSheetId="4" hidden="1">25</definedName>
    <definedName name="solver_rhs2" localSheetId="19" hidden="1">'SPM = C&amp;C_exp'!$Q$105</definedName>
    <definedName name="solver_rhs2" localSheetId="18" hidden="1">'SPM = RF'!#REF!</definedName>
    <definedName name="solver_rhs3" localSheetId="19" hidden="1">'SPM = C&amp;C_exp'!$P$105</definedName>
    <definedName name="solver_rhs3" localSheetId="18" hidden="1">'SPM = RF'!#REF!</definedName>
    <definedName name="solver_rhs4" localSheetId="19" hidden="1">'SPM = C&amp;C_exp'!$P$105</definedName>
    <definedName name="solver_rhs4" localSheetId="18" hidden="1">'SPM = RF'!#REF!</definedName>
    <definedName name="solver_rhs5" localSheetId="19" hidden="1">'SPM = C&amp;C_exp'!$P$105</definedName>
    <definedName name="solver_rhs5" localSheetId="18" hidden="1">'SPM = RF'!#REF!</definedName>
    <definedName name="solver_rhs6" localSheetId="19" hidden="1">'SPM = C&amp;C_exp'!$P$105</definedName>
    <definedName name="solver_rhs6" localSheetId="18" hidden="1">'SPM = RF'!#REF!</definedName>
    <definedName name="solver_rhs7" localSheetId="19" hidden="1">0.15</definedName>
    <definedName name="solver_rhs7" localSheetId="18" hidden="1">0.15</definedName>
    <definedName name="solver_rhs8" localSheetId="19" hidden="1">0.05</definedName>
    <definedName name="solver_rhs8" localSheetId="18" hidden="1">0.05</definedName>
    <definedName name="solver_rlx" localSheetId="5" hidden="1">2</definedName>
    <definedName name="solver_rlx" localSheetId="6" hidden="1">2</definedName>
    <definedName name="solver_rlx" localSheetId="14" hidden="1">2</definedName>
    <definedName name="solver_rlx" localSheetId="4" hidden="1">2</definedName>
    <definedName name="solver_rlx" localSheetId="19" hidden="1">2</definedName>
    <definedName name="solver_rlx" localSheetId="18" hidden="1">2</definedName>
    <definedName name="solver_rsd" localSheetId="5" hidden="1">0</definedName>
    <definedName name="solver_rsd" localSheetId="6" hidden="1">0</definedName>
    <definedName name="solver_rsd" localSheetId="14" hidden="1">0</definedName>
    <definedName name="solver_rsd" localSheetId="4" hidden="1">0</definedName>
    <definedName name="solver_rsd" localSheetId="19" hidden="1">0</definedName>
    <definedName name="solver_rsd" localSheetId="18" hidden="1">0</definedName>
    <definedName name="solver_scl" localSheetId="5" hidden="1">1</definedName>
    <definedName name="solver_scl" localSheetId="6" hidden="1">1</definedName>
    <definedName name="solver_scl" localSheetId="14" hidden="1">1</definedName>
    <definedName name="solver_scl" localSheetId="4" hidden="1">1</definedName>
    <definedName name="solver_scl" localSheetId="19" hidden="1">1</definedName>
    <definedName name="solver_scl" localSheetId="18" hidden="1">1</definedName>
    <definedName name="solver_sho" localSheetId="5" hidden="1">2</definedName>
    <definedName name="solver_sho" localSheetId="6" hidden="1">2</definedName>
    <definedName name="solver_sho" localSheetId="14" hidden="1">2</definedName>
    <definedName name="solver_sho" localSheetId="4" hidden="1">2</definedName>
    <definedName name="solver_sho" localSheetId="19" hidden="1">2</definedName>
    <definedName name="solver_sho" localSheetId="18" hidden="1">2</definedName>
    <definedName name="solver_ssz" localSheetId="5" hidden="1">100</definedName>
    <definedName name="solver_ssz" localSheetId="6" hidden="1">100</definedName>
    <definedName name="solver_ssz" localSheetId="14" hidden="1">100</definedName>
    <definedName name="solver_ssz" localSheetId="4" hidden="1">100</definedName>
    <definedName name="solver_ssz" localSheetId="19" hidden="1">100</definedName>
    <definedName name="solver_ssz" localSheetId="18" hidden="1">100</definedName>
    <definedName name="solver_tim" localSheetId="5" hidden="1">2147483647</definedName>
    <definedName name="solver_tim" localSheetId="6" hidden="1">2147483647</definedName>
    <definedName name="solver_tim" localSheetId="14" hidden="1">2147483647</definedName>
    <definedName name="solver_tim" localSheetId="4" hidden="1">2147483647</definedName>
    <definedName name="solver_tim" localSheetId="19" hidden="1">2147483647</definedName>
    <definedName name="solver_tim" localSheetId="18" hidden="1">2147483647</definedName>
    <definedName name="solver_tol" localSheetId="5" hidden="1">0.01</definedName>
    <definedName name="solver_tol" localSheetId="6" hidden="1">0.01</definedName>
    <definedName name="solver_tol" localSheetId="14" hidden="1">0.01</definedName>
    <definedName name="solver_tol" localSheetId="4" hidden="1">0.01</definedName>
    <definedName name="solver_tol" localSheetId="19" hidden="1">0.01</definedName>
    <definedName name="solver_tol" localSheetId="18" hidden="1">0.01</definedName>
    <definedName name="solver_typ" localSheetId="5" hidden="1">2</definedName>
    <definedName name="solver_typ" localSheetId="6" hidden="1">2</definedName>
    <definedName name="solver_typ" localSheetId="14" hidden="1">2</definedName>
    <definedName name="solver_typ" localSheetId="4" hidden="1">2</definedName>
    <definedName name="solver_typ" localSheetId="19" hidden="1">2</definedName>
    <definedName name="solver_typ" localSheetId="18" hidden="1">2</definedName>
    <definedName name="solver_val" localSheetId="5" hidden="1">0</definedName>
    <definedName name="solver_val" localSheetId="6" hidden="1">0</definedName>
    <definedName name="solver_val" localSheetId="14" hidden="1">0</definedName>
    <definedName name="solver_val" localSheetId="4" hidden="1">0</definedName>
    <definedName name="solver_val" localSheetId="19" hidden="1">0</definedName>
    <definedName name="solver_val" localSheetId="18" hidden="1">0</definedName>
    <definedName name="solver_ver" localSheetId="5" hidden="1">3</definedName>
    <definedName name="solver_ver" localSheetId="6" hidden="1">3</definedName>
    <definedName name="solver_ver" localSheetId="14" hidden="1">3</definedName>
    <definedName name="solver_ver" localSheetId="4" hidden="1">3</definedName>
    <definedName name="solver_ver" localSheetId="19" hidden="1">3</definedName>
    <definedName name="solver_ver" localSheetId="18" hidden="1">3</definedName>
    <definedName name="Z_314CBECC_1AE9_4578_9B87_473AB0B3A698_.wvu.PrintArea" localSheetId="5" hidden="1">'C&amp;C-exp'!#REF!</definedName>
    <definedName name="Z_314CBECC_1AE9_4578_9B87_473AB0B3A698_.wvu.PrintArea" localSheetId="6" hidden="1">'C&amp;C-lin'!#REF!</definedName>
    <definedName name="Z_314CBECC_1AE9_4578_9B87_473AB0B3A698_.wvu.PrintArea" localSheetId="7" hidden="1">CDC!#REF!</definedName>
    <definedName name="Z_314CBECC_1AE9_4578_9B87_473AB0B3A698_.wvu.PrintArea" localSheetId="8" hidden="1">'G-C&amp;C'!#REF!</definedName>
    <definedName name="Z_314CBECC_1AE9_4578_9B87_473AB0B3A698_.wvu.PrintArea" localSheetId="16" hidden="1">'G-C&amp;C = RF'!#REF!</definedName>
    <definedName name="Z_314CBECC_1AE9_4578_9B87_473AB0B3A698_.wvu.PrintArea" localSheetId="17" hidden="1">'G-LIMITS = RF'!#REF!</definedName>
    <definedName name="Z_314CBECC_1AE9_4578_9B87_473AB0B3A698_.wvu.PrintArea" localSheetId="10" hidden="1">GQWF!#REF!</definedName>
    <definedName name="Z_314CBECC_1AE9_4578_9B87_473AB0B3A698_.wvu.PrintArea" localSheetId="21" hidden="1">imprint!$A$2:$I$10</definedName>
    <definedName name="Z_314CBECC_1AE9_4578_9B87_473AB0B3A698_.wvu.PrintArea" localSheetId="9" hidden="1">LIMITS!#REF!</definedName>
    <definedName name="Z_314CBECC_1AE9_4578_9B87_473AB0B3A698_.wvu.PrintArea" localSheetId="15" hidden="1">'pc20'!#REF!</definedName>
    <definedName name="Z_314CBECC_1AE9_4578_9B87_473AB0B3A698_.wvu.PrintArea" localSheetId="4" hidden="1">RF!$A$5:$N$41</definedName>
    <definedName name="Z_314CBECC_1AE9_4578_9B87_473AB0B3A698_.wvu.PrintArea" localSheetId="19" hidden="1">'SPM = C&amp;C_exp'!#REF!</definedName>
    <definedName name="Z_314CBECC_1AE9_4578_9B87_473AB0B3A698_.wvu.PrintArea" localSheetId="18" hidden="1">'SPM = RF'!#REF!</definedName>
    <definedName name="Z_314CBECC_1AE9_4578_9B87_473AB0B3A698_.wvu.PrintArea" localSheetId="11" hidden="1">'SPM-eq'!#REF!</definedName>
    <definedName name="Z_314CBECC_1AE9_4578_9B87_473AB0B3A698_.wvu.PrintArea" localSheetId="12" hidden="1">'SPM-in'!#REF!</definedName>
    <definedName name="Z_314CBECC_1AE9_4578_9B87_473AB0B3A698_.wvu.PrintArea" localSheetId="13" hidden="1">'SPM-spk'!#REF!</definedName>
    <definedName name="Z_7B9C85BD_D1BB_4F3C_98F5_6414F32599ED_.wvu.PrintArea" localSheetId="5" hidden="1">'C&amp;C-exp'!#REF!</definedName>
    <definedName name="Z_7B9C85BD_D1BB_4F3C_98F5_6414F32599ED_.wvu.PrintArea" localSheetId="6" hidden="1">'C&amp;C-lin'!#REF!</definedName>
    <definedName name="Z_7B9C85BD_D1BB_4F3C_98F5_6414F32599ED_.wvu.PrintArea" localSheetId="7" hidden="1">CDC!#REF!</definedName>
    <definedName name="Z_7B9C85BD_D1BB_4F3C_98F5_6414F32599ED_.wvu.PrintArea" localSheetId="8" hidden="1">'G-C&amp;C'!#REF!</definedName>
    <definedName name="Z_7B9C85BD_D1BB_4F3C_98F5_6414F32599ED_.wvu.PrintArea" localSheetId="16" hidden="1">'G-C&amp;C = RF'!#REF!</definedName>
    <definedName name="Z_7B9C85BD_D1BB_4F3C_98F5_6414F32599ED_.wvu.PrintArea" localSheetId="17" hidden="1">'G-LIMITS = RF'!#REF!</definedName>
    <definedName name="Z_7B9C85BD_D1BB_4F3C_98F5_6414F32599ED_.wvu.PrintArea" localSheetId="10" hidden="1">GQWF!#REF!</definedName>
    <definedName name="Z_7B9C85BD_D1BB_4F3C_98F5_6414F32599ED_.wvu.PrintArea" localSheetId="21" hidden="1">imprint!$A$2:$I$10</definedName>
    <definedName name="Z_7B9C85BD_D1BB_4F3C_98F5_6414F32599ED_.wvu.PrintArea" localSheetId="9" hidden="1">LIMITS!#REF!</definedName>
    <definedName name="Z_7B9C85BD_D1BB_4F3C_98F5_6414F32599ED_.wvu.PrintArea" localSheetId="15" hidden="1">'pc20'!#REF!</definedName>
    <definedName name="Z_7B9C85BD_D1BB_4F3C_98F5_6414F32599ED_.wvu.PrintArea" localSheetId="4" hidden="1">RF!$A$5:$N$41</definedName>
    <definedName name="Z_7B9C85BD_D1BB_4F3C_98F5_6414F32599ED_.wvu.PrintArea" localSheetId="19" hidden="1">'SPM = C&amp;C_exp'!#REF!</definedName>
    <definedName name="Z_7B9C85BD_D1BB_4F3C_98F5_6414F32599ED_.wvu.PrintArea" localSheetId="18" hidden="1">'SPM = RF'!#REF!</definedName>
    <definedName name="Z_7B9C85BD_D1BB_4F3C_98F5_6414F32599ED_.wvu.PrintArea" localSheetId="11" hidden="1">'SPM-eq'!#REF!</definedName>
    <definedName name="Z_7B9C85BD_D1BB_4F3C_98F5_6414F32599ED_.wvu.PrintArea" localSheetId="12" hidden="1">'SPM-in'!#REF!</definedName>
    <definedName name="Z_7B9C85BD_D1BB_4F3C_98F5_6414F32599ED_.wvu.PrintArea" localSheetId="13" hidden="1">'SPM-spk'!#REF!</definedName>
  </definedNames>
  <calcPr calcId="152511"/>
  <customWorkbookViews>
    <customWorkbookView name="GW - Persönliche Ansicht" guid="{7B9C85BD-D1BB-4F3C-98F5-6414F32599ED}" mergeInterval="0" personalView="1" maximized="1" windowWidth="1916" windowHeight="875" tabRatio="838" activeSheetId="5"/>
    <customWorkbookView name="Andreas Wolfsteiner - Persönliche Ansicht" guid="{314CBECC-1AE9-4578-9B87-473AB0B3A698}" mergeInterval="0" personalView="1" maximized="1" windowWidth="1916" windowHeight="875" tabRatio="838" activeSheetId="5"/>
  </customWorkbookViews>
</workbook>
</file>

<file path=xl/calcChain.xml><?xml version="1.0" encoding="utf-8"?>
<calcChain xmlns="http://schemas.openxmlformats.org/spreadsheetml/2006/main">
  <c r="Z8" i="71" l="1"/>
  <c r="Y8" i="71"/>
  <c r="AG48" i="61" l="1"/>
  <c r="N89" i="53"/>
  <c r="L89" i="53"/>
  <c r="J89" i="53"/>
  <c r="H89" i="53"/>
  <c r="F89" i="53"/>
  <c r="D89" i="53"/>
  <c r="N88" i="53" l="1"/>
  <c r="L88" i="53"/>
  <c r="J88" i="53"/>
  <c r="H88" i="53"/>
  <c r="F88" i="53"/>
  <c r="D88" i="53"/>
  <c r="E39" i="53" l="1"/>
  <c r="E40" i="53"/>
  <c r="E41" i="53"/>
  <c r="E42" i="53"/>
  <c r="E43" i="53"/>
  <c r="E44" i="53"/>
  <c r="E45" i="53"/>
  <c r="E46" i="53"/>
  <c r="E47" i="53"/>
  <c r="E48" i="53"/>
  <c r="E49" i="53"/>
  <c r="E50" i="53"/>
  <c r="E51" i="53"/>
  <c r="E52" i="53"/>
  <c r="E53" i="53"/>
  <c r="E54" i="53"/>
  <c r="E55" i="53"/>
  <c r="E56" i="53"/>
  <c r="E57" i="53"/>
  <c r="E58" i="53"/>
  <c r="E59" i="53"/>
  <c r="E60" i="53"/>
  <c r="E61" i="53"/>
  <c r="E62" i="53"/>
  <c r="E63" i="53"/>
  <c r="E64" i="53"/>
  <c r="E65" i="53"/>
  <c r="E66" i="53"/>
  <c r="E67" i="53"/>
  <c r="E68" i="53"/>
  <c r="E69" i="53"/>
  <c r="E70" i="53"/>
  <c r="E71" i="53"/>
  <c r="E72" i="53"/>
  <c r="E73" i="53"/>
  <c r="E74" i="53"/>
  <c r="E75" i="53"/>
  <c r="E76" i="53"/>
  <c r="E77" i="53"/>
  <c r="E78" i="53"/>
  <c r="E79" i="53"/>
  <c r="E80" i="53"/>
  <c r="E81" i="53"/>
  <c r="E82" i="53"/>
  <c r="E83" i="53"/>
  <c r="E84" i="53"/>
  <c r="E85" i="53"/>
  <c r="E86" i="53"/>
  <c r="E87" i="53"/>
  <c r="E38" i="53"/>
  <c r="AD117" i="59" l="1"/>
  <c r="AD116" i="59"/>
  <c r="AD112" i="59"/>
  <c r="AD111" i="59"/>
  <c r="AM107" i="59"/>
  <c r="AM106" i="59"/>
  <c r="C101" i="46"/>
  <c r="A115" i="46"/>
  <c r="A114" i="46"/>
  <c r="A110" i="46"/>
  <c r="A109" i="46"/>
  <c r="L105" i="46"/>
  <c r="L104" i="46"/>
  <c r="L103" i="46"/>
  <c r="L102" i="46"/>
  <c r="L106" i="43"/>
  <c r="L107" i="43"/>
  <c r="L108" i="43"/>
  <c r="L105" i="43"/>
  <c r="A118" i="43"/>
  <c r="A117" i="43"/>
  <c r="A113" i="43"/>
  <c r="A112" i="43"/>
  <c r="L105" i="49"/>
  <c r="L104" i="49"/>
  <c r="L106" i="49"/>
  <c r="L103" i="49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38" i="53"/>
  <c r="L45" i="46" s="1"/>
  <c r="C39" i="53"/>
  <c r="L46" i="46" s="1"/>
  <c r="C40" i="53"/>
  <c r="L47" i="46" s="1"/>
  <c r="C41" i="53"/>
  <c r="L48" i="46" s="1"/>
  <c r="C42" i="53"/>
  <c r="L49" i="46" s="1"/>
  <c r="C43" i="53"/>
  <c r="L50" i="46" s="1"/>
  <c r="C44" i="53"/>
  <c r="L51" i="46" s="1"/>
  <c r="C45" i="53"/>
  <c r="L52" i="46" s="1"/>
  <c r="C46" i="53"/>
  <c r="L53" i="46" s="1"/>
  <c r="C47" i="53"/>
  <c r="L54" i="46" s="1"/>
  <c r="C48" i="53"/>
  <c r="L55" i="46" s="1"/>
  <c r="C49" i="53"/>
  <c r="L56" i="46" s="1"/>
  <c r="C50" i="53"/>
  <c r="L57" i="46" s="1"/>
  <c r="C51" i="53"/>
  <c r="L58" i="46" s="1"/>
  <c r="C52" i="53"/>
  <c r="L59" i="46" s="1"/>
  <c r="C53" i="53"/>
  <c r="L60" i="46" s="1"/>
  <c r="C54" i="53"/>
  <c r="L61" i="46" s="1"/>
  <c r="C55" i="53"/>
  <c r="L62" i="46" s="1"/>
  <c r="C56" i="53"/>
  <c r="L63" i="46" s="1"/>
  <c r="C57" i="53"/>
  <c r="L64" i="46" s="1"/>
  <c r="C58" i="53"/>
  <c r="L65" i="46" s="1"/>
  <c r="C59" i="53"/>
  <c r="L66" i="46" s="1"/>
  <c r="C60" i="53"/>
  <c r="L67" i="46" s="1"/>
  <c r="C61" i="53"/>
  <c r="L68" i="46" s="1"/>
  <c r="C62" i="53"/>
  <c r="L69" i="46" s="1"/>
  <c r="C63" i="53"/>
  <c r="L70" i="46" s="1"/>
  <c r="C64" i="53"/>
  <c r="L71" i="46" s="1"/>
  <c r="C65" i="53"/>
  <c r="L72" i="46" s="1"/>
  <c r="C66" i="53"/>
  <c r="L73" i="46" s="1"/>
  <c r="C67" i="53"/>
  <c r="L74" i="46" s="1"/>
  <c r="C68" i="53"/>
  <c r="L75" i="46" s="1"/>
  <c r="C69" i="53"/>
  <c r="L76" i="46" s="1"/>
  <c r="C70" i="53"/>
  <c r="L77" i="46" s="1"/>
  <c r="C71" i="53"/>
  <c r="L78" i="46" s="1"/>
  <c r="C72" i="53"/>
  <c r="L79" i="46" s="1"/>
  <c r="C73" i="53"/>
  <c r="L80" i="46" s="1"/>
  <c r="C74" i="53"/>
  <c r="L81" i="46" s="1"/>
  <c r="C75" i="53"/>
  <c r="L82" i="46" s="1"/>
  <c r="C76" i="53"/>
  <c r="L83" i="46" s="1"/>
  <c r="C77" i="53"/>
  <c r="L84" i="46" s="1"/>
  <c r="C78" i="53"/>
  <c r="L85" i="46" s="1"/>
  <c r="C79" i="53"/>
  <c r="L86" i="46" s="1"/>
  <c r="C80" i="53"/>
  <c r="L87" i="46" s="1"/>
  <c r="C81" i="53"/>
  <c r="L88" i="46" s="1"/>
  <c r="C82" i="53"/>
  <c r="L89" i="46" s="1"/>
  <c r="C83" i="53"/>
  <c r="L90" i="46" s="1"/>
  <c r="C84" i="53"/>
  <c r="L91" i="46" s="1"/>
  <c r="C85" i="53"/>
  <c r="L92" i="46" s="1"/>
  <c r="C86" i="53"/>
  <c r="L93" i="46" s="1"/>
  <c r="C87" i="53"/>
  <c r="L94" i="46" s="1"/>
  <c r="O37" i="53"/>
  <c r="O36" i="53"/>
  <c r="O35" i="53"/>
  <c r="O34" i="53"/>
  <c r="O33" i="53"/>
  <c r="O32" i="53"/>
  <c r="O31" i="53"/>
  <c r="O30" i="53"/>
  <c r="O29" i="53"/>
  <c r="O28" i="53"/>
  <c r="O27" i="53"/>
  <c r="O26" i="53"/>
  <c r="O25" i="53"/>
  <c r="O24" i="53"/>
  <c r="O23" i="53"/>
  <c r="O22" i="53"/>
  <c r="O21" i="53"/>
  <c r="O20" i="53"/>
  <c r="O19" i="53"/>
  <c r="O18" i="53"/>
  <c r="O17" i="53"/>
  <c r="O16" i="53"/>
  <c r="O15" i="53"/>
  <c r="O14" i="53"/>
  <c r="O13" i="53"/>
  <c r="O12" i="53"/>
  <c r="O11" i="53"/>
  <c r="O10" i="53"/>
  <c r="O9" i="53"/>
  <c r="O8" i="53"/>
  <c r="O7" i="53"/>
  <c r="C89" i="53" l="1"/>
  <c r="C88" i="53"/>
  <c r="L95" i="46"/>
  <c r="L100" i="49" l="1"/>
  <c r="L43" i="49"/>
  <c r="L47" i="71"/>
  <c r="L47" i="58"/>
  <c r="L47" i="70"/>
  <c r="L107" i="69"/>
  <c r="L102" i="43"/>
  <c r="L99" i="46" s="1"/>
  <c r="L107" i="72"/>
  <c r="L107" i="71"/>
  <c r="L47" i="69"/>
  <c r="L107" i="58"/>
  <c r="L47" i="72"/>
  <c r="L107" i="70"/>
  <c r="L42" i="64"/>
  <c r="L42" i="55"/>
  <c r="L45" i="43"/>
  <c r="AG47" i="61"/>
  <c r="L42" i="46"/>
  <c r="O42" i="63"/>
  <c r="N42" i="68"/>
  <c r="L42" i="56"/>
  <c r="L55" i="31"/>
  <c r="C104" i="43"/>
  <c r="AE103" i="59" l="1"/>
  <c r="B102" i="49" l="1"/>
  <c r="AN110" i="59" l="1"/>
  <c r="AN109" i="59"/>
  <c r="AM105" i="59" l="1"/>
  <c r="AM104" i="59"/>
  <c r="D2" i="52"/>
  <c r="D11" i="62"/>
  <c r="F11" i="62"/>
  <c r="C11" i="62"/>
  <c r="R2" i="59" l="1"/>
  <c r="Z8" i="70" l="1"/>
  <c r="Z8" i="72"/>
  <c r="M37" i="53" l="1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Z98" i="59" l="1"/>
  <c r="Z94" i="59"/>
  <c r="Z90" i="59"/>
  <c r="Z86" i="59"/>
  <c r="Z82" i="59"/>
  <c r="Z78" i="59"/>
  <c r="Z74" i="59"/>
  <c r="Z70" i="59"/>
  <c r="Z66" i="59"/>
  <c r="Z62" i="59"/>
  <c r="Z58" i="59"/>
  <c r="Z54" i="59"/>
  <c r="Z50" i="59"/>
  <c r="Z97" i="59"/>
  <c r="Z93" i="59"/>
  <c r="Z89" i="59"/>
  <c r="Z85" i="59"/>
  <c r="Z81" i="59"/>
  <c r="Z77" i="59"/>
  <c r="Z73" i="59"/>
  <c r="Z69" i="59"/>
  <c r="Z65" i="59"/>
  <c r="Z61" i="59"/>
  <c r="Z57" i="59"/>
  <c r="Z53" i="59"/>
  <c r="Z100" i="59"/>
  <c r="Z96" i="59"/>
  <c r="Z92" i="59"/>
  <c r="Z88" i="59"/>
  <c r="Z84" i="59"/>
  <c r="Z80" i="59"/>
  <c r="Z76" i="59"/>
  <c r="Z72" i="59"/>
  <c r="Z68" i="59"/>
  <c r="Z64" i="59"/>
  <c r="Z60" i="59"/>
  <c r="Z56" i="59"/>
  <c r="Z52" i="59"/>
  <c r="Z99" i="59"/>
  <c r="Z95" i="59"/>
  <c r="Z91" i="59"/>
  <c r="Z87" i="59"/>
  <c r="Z83" i="59"/>
  <c r="Z79" i="59"/>
  <c r="Z75" i="59"/>
  <c r="Z71" i="59"/>
  <c r="Z67" i="59"/>
  <c r="Z63" i="59"/>
  <c r="Z59" i="59"/>
  <c r="Z55" i="59"/>
  <c r="Z51" i="59"/>
  <c r="L8" i="62"/>
  <c r="L9" i="62" s="1"/>
  <c r="J9" i="62"/>
  <c r="I9" i="62"/>
  <c r="K7" i="62"/>
  <c r="K6" i="62"/>
  <c r="K8" i="62" l="1"/>
  <c r="K9" i="62" s="1"/>
  <c r="A2" i="71" l="1"/>
  <c r="B49" i="52" s="1"/>
  <c r="B14" i="60" l="1"/>
  <c r="C49" i="52"/>
  <c r="C14" i="60" s="1"/>
  <c r="T12" i="72"/>
  <c r="T11" i="72"/>
  <c r="T10" i="72"/>
  <c r="A12" i="72"/>
  <c r="A13" i="72" s="1"/>
  <c r="A14" i="72" s="1"/>
  <c r="A15" i="72" s="1"/>
  <c r="A16" i="72" s="1"/>
  <c r="A17" i="72" s="1"/>
  <c r="A18" i="72" s="1"/>
  <c r="I7" i="72"/>
  <c r="F7" i="72"/>
  <c r="C7" i="72"/>
  <c r="A2" i="72"/>
  <c r="I7" i="71"/>
  <c r="F7" i="71"/>
  <c r="C7" i="71"/>
  <c r="A12" i="71"/>
  <c r="A13" i="71" s="1"/>
  <c r="A14" i="71" s="1"/>
  <c r="A2" i="70"/>
  <c r="A19" i="72" l="1"/>
  <c r="A20" i="72" s="1"/>
  <c r="A15" i="7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51" i="71" s="1"/>
  <c r="A52" i="71" s="1"/>
  <c r="A53" i="71" s="1"/>
  <c r="A54" i="71" s="1"/>
  <c r="A55" i="71" s="1"/>
  <c r="A56" i="71" s="1"/>
  <c r="A57" i="71" s="1"/>
  <c r="A58" i="71" s="1"/>
  <c r="A59" i="71" s="1"/>
  <c r="A60" i="71" s="1"/>
  <c r="A61" i="71" s="1"/>
  <c r="A62" i="71" s="1"/>
  <c r="A63" i="71" s="1"/>
  <c r="A64" i="71" s="1"/>
  <c r="A65" i="71" s="1"/>
  <c r="A66" i="71" s="1"/>
  <c r="A67" i="71" s="1"/>
  <c r="A68" i="71" s="1"/>
  <c r="A69" i="71" s="1"/>
  <c r="A70" i="71" s="1"/>
  <c r="A71" i="71" s="1"/>
  <c r="A72" i="71" s="1"/>
  <c r="A73" i="71" s="1"/>
  <c r="A74" i="71" s="1"/>
  <c r="A75" i="71" s="1"/>
  <c r="A76" i="71" s="1"/>
  <c r="A77" i="71" s="1"/>
  <c r="A78" i="71" s="1"/>
  <c r="A79" i="71" s="1"/>
  <c r="A80" i="71" s="1"/>
  <c r="A81" i="71" s="1"/>
  <c r="A82" i="71" s="1"/>
  <c r="A83" i="71" s="1"/>
  <c r="A84" i="71" s="1"/>
  <c r="A85" i="71" s="1"/>
  <c r="A86" i="71" s="1"/>
  <c r="A87" i="71" s="1"/>
  <c r="A88" i="71" s="1"/>
  <c r="A89" i="71" s="1"/>
  <c r="A90" i="71" s="1"/>
  <c r="A91" i="71" s="1"/>
  <c r="A92" i="71" s="1"/>
  <c r="A93" i="71" s="1"/>
  <c r="A94" i="71" s="1"/>
  <c r="A95" i="71" s="1"/>
  <c r="A96" i="71" s="1"/>
  <c r="A97" i="71" s="1"/>
  <c r="A98" i="71" s="1"/>
  <c r="A99" i="71" s="1"/>
  <c r="A100" i="71" s="1"/>
  <c r="I7" i="70"/>
  <c r="F7" i="70"/>
  <c r="C7" i="70"/>
  <c r="A21" i="72" l="1"/>
  <c r="K37" i="53"/>
  <c r="K36" i="53"/>
  <c r="K35" i="53"/>
  <c r="K34" i="53"/>
  <c r="K33" i="53"/>
  <c r="K32" i="53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I37" i="53"/>
  <c r="I36" i="53"/>
  <c r="I35" i="53"/>
  <c r="I34" i="53"/>
  <c r="I33" i="53"/>
  <c r="I32" i="53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3" i="53"/>
  <c r="I12" i="53"/>
  <c r="I11" i="53"/>
  <c r="I10" i="53"/>
  <c r="I9" i="53"/>
  <c r="I8" i="53"/>
  <c r="I7" i="53"/>
  <c r="G37" i="53"/>
  <c r="G36" i="53"/>
  <c r="G35" i="53"/>
  <c r="G34" i="53"/>
  <c r="G33" i="53"/>
  <c r="G32" i="53"/>
  <c r="G31" i="53"/>
  <c r="G30" i="53"/>
  <c r="G29" i="53"/>
  <c r="G28" i="53"/>
  <c r="G27" i="53"/>
  <c r="G26" i="53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G11" i="53"/>
  <c r="G10" i="53"/>
  <c r="G9" i="53"/>
  <c r="G8" i="53"/>
  <c r="G7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7" i="53"/>
  <c r="L50" i="43"/>
  <c r="L51" i="43"/>
  <c r="L49" i="43"/>
  <c r="L48" i="43" l="1"/>
  <c r="A22" i="72"/>
  <c r="L52" i="43"/>
  <c r="L46" i="49"/>
  <c r="L55" i="43"/>
  <c r="L49" i="49"/>
  <c r="L54" i="43"/>
  <c r="L48" i="49"/>
  <c r="L53" i="43"/>
  <c r="L47" i="49"/>
  <c r="A12" i="70"/>
  <c r="A23" i="72" l="1"/>
  <c r="L58" i="43"/>
  <c r="L52" i="49"/>
  <c r="L56" i="43"/>
  <c r="L50" i="49"/>
  <c r="L59" i="43"/>
  <c r="L53" i="49"/>
  <c r="L57" i="43"/>
  <c r="L51" i="49"/>
  <c r="A13" i="70"/>
  <c r="A14" i="70" s="1"/>
  <c r="A15" i="70" s="1"/>
  <c r="A16" i="70" s="1"/>
  <c r="C18" i="62"/>
  <c r="AD50" i="59" s="1"/>
  <c r="AD51" i="59" s="1"/>
  <c r="AD52" i="59" s="1"/>
  <c r="AD53" i="59" s="1"/>
  <c r="AD54" i="59" s="1"/>
  <c r="AD55" i="59" s="1"/>
  <c r="AD56" i="59" s="1"/>
  <c r="AD57" i="59" s="1"/>
  <c r="AD58" i="59" s="1"/>
  <c r="AD59" i="59" s="1"/>
  <c r="AD60" i="59" s="1"/>
  <c r="AD61" i="59" s="1"/>
  <c r="AD62" i="59" s="1"/>
  <c r="AD63" i="59" s="1"/>
  <c r="AD64" i="59" s="1"/>
  <c r="AD65" i="59" s="1"/>
  <c r="AD66" i="59" s="1"/>
  <c r="AD67" i="59" s="1"/>
  <c r="AD68" i="59" s="1"/>
  <c r="AD69" i="59" s="1"/>
  <c r="AD70" i="59" s="1"/>
  <c r="AD71" i="59" s="1"/>
  <c r="AD72" i="59" s="1"/>
  <c r="AD73" i="59" s="1"/>
  <c r="AD74" i="59" s="1"/>
  <c r="AD75" i="59" s="1"/>
  <c r="AD76" i="59" s="1"/>
  <c r="AD77" i="59" s="1"/>
  <c r="AD78" i="59" s="1"/>
  <c r="AD79" i="59" s="1"/>
  <c r="AD80" i="59" s="1"/>
  <c r="AD81" i="59" s="1"/>
  <c r="AD82" i="59" s="1"/>
  <c r="AD83" i="59" s="1"/>
  <c r="AD84" i="59" s="1"/>
  <c r="AD85" i="59" s="1"/>
  <c r="AD86" i="59" s="1"/>
  <c r="AD87" i="59" s="1"/>
  <c r="AD88" i="59" s="1"/>
  <c r="AD89" i="59" s="1"/>
  <c r="AD90" i="59" s="1"/>
  <c r="AD91" i="59" s="1"/>
  <c r="AD92" i="59" s="1"/>
  <c r="AD93" i="59" s="1"/>
  <c r="AD94" i="59" s="1"/>
  <c r="AD95" i="59" s="1"/>
  <c r="AD96" i="59" s="1"/>
  <c r="AD97" i="59" s="1"/>
  <c r="AD98" i="59" s="1"/>
  <c r="AD99" i="59" s="1"/>
  <c r="AD100" i="59" s="1"/>
  <c r="D18" i="62"/>
  <c r="AG50" i="59" s="1"/>
  <c r="AG51" i="59" s="1"/>
  <c r="AG52" i="59" s="1"/>
  <c r="AG53" i="59" s="1"/>
  <c r="AG54" i="59" s="1"/>
  <c r="AG55" i="59" s="1"/>
  <c r="AG56" i="59" s="1"/>
  <c r="AG57" i="59" s="1"/>
  <c r="AG58" i="59" s="1"/>
  <c r="AG59" i="59" s="1"/>
  <c r="AG60" i="59" s="1"/>
  <c r="AG61" i="59" s="1"/>
  <c r="AG62" i="59" s="1"/>
  <c r="AG63" i="59" s="1"/>
  <c r="AG64" i="59" s="1"/>
  <c r="AG65" i="59" s="1"/>
  <c r="AG66" i="59" s="1"/>
  <c r="AG67" i="59" s="1"/>
  <c r="AG68" i="59" s="1"/>
  <c r="AG69" i="59" s="1"/>
  <c r="AG70" i="59" s="1"/>
  <c r="AG71" i="59" s="1"/>
  <c r="AG72" i="59" s="1"/>
  <c r="AG73" i="59" s="1"/>
  <c r="AG74" i="59" s="1"/>
  <c r="AG75" i="59" s="1"/>
  <c r="AG76" i="59" s="1"/>
  <c r="AG77" i="59" s="1"/>
  <c r="AG78" i="59" s="1"/>
  <c r="AG79" i="59" s="1"/>
  <c r="AG80" i="59" s="1"/>
  <c r="AG81" i="59" s="1"/>
  <c r="AG82" i="59" s="1"/>
  <c r="AG83" i="59" s="1"/>
  <c r="AG84" i="59" s="1"/>
  <c r="AG85" i="59" s="1"/>
  <c r="AG86" i="59" s="1"/>
  <c r="AG87" i="59" s="1"/>
  <c r="AG88" i="59" s="1"/>
  <c r="AG89" i="59" s="1"/>
  <c r="AG90" i="59" s="1"/>
  <c r="AG91" i="59" s="1"/>
  <c r="AG92" i="59" s="1"/>
  <c r="AG93" i="59" s="1"/>
  <c r="AG94" i="59" s="1"/>
  <c r="AG95" i="59" s="1"/>
  <c r="AG96" i="59" s="1"/>
  <c r="AG97" i="59" s="1"/>
  <c r="AG98" i="59" s="1"/>
  <c r="AG99" i="59" s="1"/>
  <c r="AG100" i="59" s="1"/>
  <c r="F18" i="62"/>
  <c r="A24" i="72" l="1"/>
  <c r="L63" i="43"/>
  <c r="L57" i="49"/>
  <c r="L62" i="43"/>
  <c r="L56" i="49"/>
  <c r="L60" i="43"/>
  <c r="L54" i="49"/>
  <c r="L61" i="43"/>
  <c r="L55" i="49"/>
  <c r="A17" i="70"/>
  <c r="A25" i="72" l="1"/>
  <c r="L64" i="43"/>
  <c r="L58" i="49"/>
  <c r="L67" i="43"/>
  <c r="L61" i="49"/>
  <c r="L66" i="43"/>
  <c r="L60" i="49"/>
  <c r="L65" i="43"/>
  <c r="L59" i="49"/>
  <c r="A18" i="70"/>
  <c r="I7" i="69"/>
  <c r="F7" i="69"/>
  <c r="A26" i="72" l="1"/>
  <c r="L70" i="43"/>
  <c r="L64" i="49"/>
  <c r="L68" i="43"/>
  <c r="L62" i="49"/>
  <c r="L71" i="43"/>
  <c r="L65" i="49"/>
  <c r="L69" i="43"/>
  <c r="L63" i="49"/>
  <c r="A19" i="70"/>
  <c r="C7" i="69"/>
  <c r="C48" i="52"/>
  <c r="C13" i="60" s="1"/>
  <c r="B48" i="52"/>
  <c r="B13" i="60" s="1"/>
  <c r="A12" i="69"/>
  <c r="A13" i="69" s="1"/>
  <c r="A27" i="72" l="1"/>
  <c r="L72" i="43"/>
  <c r="L66" i="49"/>
  <c r="L75" i="43"/>
  <c r="L69" i="49"/>
  <c r="L74" i="43"/>
  <c r="L68" i="49"/>
  <c r="L73" i="43"/>
  <c r="L67" i="49"/>
  <c r="A20" i="70"/>
  <c r="A14" i="69"/>
  <c r="A28" i="72" l="1"/>
  <c r="L78" i="43"/>
  <c r="L72" i="49"/>
  <c r="L76" i="43"/>
  <c r="L70" i="49"/>
  <c r="L79" i="43"/>
  <c r="L73" i="49"/>
  <c r="L77" i="43"/>
  <c r="L71" i="49"/>
  <c r="A21" i="70"/>
  <c r="A15" i="69"/>
  <c r="E5" i="43"/>
  <c r="A29" i="72" l="1"/>
  <c r="L83" i="43"/>
  <c r="L77" i="49"/>
  <c r="L82" i="43"/>
  <c r="L76" i="49"/>
  <c r="L80" i="43"/>
  <c r="L74" i="49"/>
  <c r="L81" i="43"/>
  <c r="L75" i="49"/>
  <c r="A22" i="70"/>
  <c r="A16" i="69"/>
  <c r="A9" i="68"/>
  <c r="A10" i="68" s="1"/>
  <c r="P10" i="68" s="1"/>
  <c r="P8" i="68"/>
  <c r="A30" i="72" l="1"/>
  <c r="L84" i="43"/>
  <c r="L78" i="49"/>
  <c r="L86" i="43"/>
  <c r="L80" i="49"/>
  <c r="L87" i="43"/>
  <c r="L81" i="49"/>
  <c r="L85" i="43"/>
  <c r="L79" i="49"/>
  <c r="A23" i="70"/>
  <c r="A17" i="69"/>
  <c r="A11" i="68"/>
  <c r="P11" i="68" s="1"/>
  <c r="A31" i="72" l="1"/>
  <c r="L91" i="43"/>
  <c r="L85" i="49"/>
  <c r="L88" i="43"/>
  <c r="L82" i="49"/>
  <c r="L90" i="43"/>
  <c r="L84" i="49"/>
  <c r="L89" i="43"/>
  <c r="L83" i="49"/>
  <c r="A24" i="70"/>
  <c r="A18" i="69"/>
  <c r="A12" i="68"/>
  <c r="A32" i="72" l="1"/>
  <c r="L89" i="49"/>
  <c r="L92" i="43"/>
  <c r="L86" i="49"/>
  <c r="L88" i="49"/>
  <c r="L93" i="43"/>
  <c r="L87" i="49"/>
  <c r="A25" i="70"/>
  <c r="A19" i="69"/>
  <c r="A13" i="68"/>
  <c r="P12" i="68"/>
  <c r="AB13" i="43"/>
  <c r="AB14" i="43" s="1"/>
  <c r="AC14" i="43" s="1"/>
  <c r="AC12" i="43"/>
  <c r="N8" i="55"/>
  <c r="N8" i="46"/>
  <c r="L92" i="49" l="1"/>
  <c r="L94" i="43"/>
  <c r="L93" i="49"/>
  <c r="L95" i="43"/>
  <c r="A33" i="72"/>
  <c r="L90" i="49"/>
  <c r="L91" i="49"/>
  <c r="A26" i="70"/>
  <c r="A20" i="69"/>
  <c r="AC13" i="43"/>
  <c r="A14" i="68"/>
  <c r="P13" i="68"/>
  <c r="AB15" i="43"/>
  <c r="L94" i="49" l="1"/>
  <c r="L96" i="43"/>
  <c r="L95" i="49"/>
  <c r="L97" i="43"/>
  <c r="A34" i="72"/>
  <c r="A27" i="70"/>
  <c r="A21" i="69"/>
  <c r="P14" i="68"/>
  <c r="A15" i="68"/>
  <c r="AB16" i="43"/>
  <c r="AC15" i="43"/>
  <c r="L98" i="43" l="1"/>
  <c r="L96" i="49"/>
  <c r="A35" i="72"/>
  <c r="A28" i="70"/>
  <c r="A22" i="69"/>
  <c r="P15" i="68"/>
  <c r="A16" i="68"/>
  <c r="AC16" i="43"/>
  <c r="AB17" i="43"/>
  <c r="A9" i="64"/>
  <c r="A10" i="64" s="1"/>
  <c r="A11" i="64" s="1"/>
  <c r="A12" i="64" s="1"/>
  <c r="A13" i="64" s="1"/>
  <c r="A14" i="64" s="1"/>
  <c r="A15" i="64" s="1"/>
  <c r="A36" i="72" l="1"/>
  <c r="A29" i="70"/>
  <c r="A23" i="69"/>
  <c r="P16" i="68"/>
  <c r="A17" i="68"/>
  <c r="AB18" i="43"/>
  <c r="AC17" i="43"/>
  <c r="A16" i="64"/>
  <c r="A37" i="72" l="1"/>
  <c r="A30" i="70"/>
  <c r="A24" i="69"/>
  <c r="P17" i="68"/>
  <c r="A18" i="68"/>
  <c r="AC18" i="43"/>
  <c r="AB19" i="43"/>
  <c r="A17" i="64"/>
  <c r="A9" i="63"/>
  <c r="A10" i="63" s="1"/>
  <c r="A11" i="63" s="1"/>
  <c r="A12" i="63" s="1"/>
  <c r="A13" i="63" s="1"/>
  <c r="A14" i="63" s="1"/>
  <c r="A15" i="63" s="1"/>
  <c r="A16" i="63" s="1"/>
  <c r="A38" i="72" l="1"/>
  <c r="A31" i="70"/>
  <c r="A25" i="69"/>
  <c r="A19" i="68"/>
  <c r="P18" i="68"/>
  <c r="AB20" i="43"/>
  <c r="AC19" i="43"/>
  <c r="A18" i="64"/>
  <c r="A17" i="63"/>
  <c r="A39" i="72" l="1"/>
  <c r="A32" i="70"/>
  <c r="A26" i="69"/>
  <c r="P19" i="68"/>
  <c r="A20" i="68"/>
  <c r="AC20" i="43"/>
  <c r="AB21" i="43"/>
  <c r="A19" i="64"/>
  <c r="A18" i="63"/>
  <c r="Y7" i="31"/>
  <c r="Y6" i="31"/>
  <c r="Y5" i="31"/>
  <c r="Y9" i="31" s="1"/>
  <c r="I9" i="31" s="1"/>
  <c r="A40" i="72" l="1"/>
  <c r="A33" i="70"/>
  <c r="A27" i="69"/>
  <c r="A21" i="68"/>
  <c r="P20" i="68"/>
  <c r="AB22" i="43"/>
  <c r="AC21" i="43"/>
  <c r="A20" i="64"/>
  <c r="A19" i="63"/>
  <c r="N11" i="43"/>
  <c r="A41" i="72" l="1"/>
  <c r="A34" i="70"/>
  <c r="A28" i="69"/>
  <c r="P21" i="68"/>
  <c r="A22" i="68"/>
  <c r="AC22" i="43"/>
  <c r="AB23" i="43"/>
  <c r="A21" i="64"/>
  <c r="A20" i="63"/>
  <c r="D12" i="62"/>
  <c r="F12" i="62"/>
  <c r="C12" i="62"/>
  <c r="E40" i="49"/>
  <c r="K40" i="49"/>
  <c r="K42" i="72" s="1"/>
  <c r="B40" i="49"/>
  <c r="E42" i="71" l="1"/>
  <c r="E51" i="71" s="1"/>
  <c r="E42" i="72"/>
  <c r="E51" i="72" s="1"/>
  <c r="E52" i="72" s="1"/>
  <c r="E53" i="72" s="1"/>
  <c r="E54" i="72" s="1"/>
  <c r="E55" i="72" s="1"/>
  <c r="E56" i="72" s="1"/>
  <c r="E57" i="72" s="1"/>
  <c r="E58" i="72" s="1"/>
  <c r="E59" i="72" s="1"/>
  <c r="E60" i="72" s="1"/>
  <c r="E61" i="72" s="1"/>
  <c r="E62" i="72" s="1"/>
  <c r="E63" i="72" s="1"/>
  <c r="E64" i="72" s="1"/>
  <c r="E65" i="72" s="1"/>
  <c r="E66" i="72" s="1"/>
  <c r="E67" i="72" s="1"/>
  <c r="E68" i="72" s="1"/>
  <c r="E69" i="72" s="1"/>
  <c r="E70" i="72" s="1"/>
  <c r="E71" i="72" s="1"/>
  <c r="E72" i="72" s="1"/>
  <c r="E73" i="72" s="1"/>
  <c r="E74" i="72" s="1"/>
  <c r="E75" i="72" s="1"/>
  <c r="E76" i="72" s="1"/>
  <c r="E77" i="72" s="1"/>
  <c r="E78" i="72" s="1"/>
  <c r="E79" i="72" s="1"/>
  <c r="E80" i="72" s="1"/>
  <c r="E81" i="72" s="1"/>
  <c r="E82" i="72" s="1"/>
  <c r="E83" i="72" s="1"/>
  <c r="E84" i="72" s="1"/>
  <c r="E85" i="72" s="1"/>
  <c r="E86" i="72" s="1"/>
  <c r="E87" i="72" s="1"/>
  <c r="E88" i="72" s="1"/>
  <c r="E89" i="72" s="1"/>
  <c r="E90" i="72" s="1"/>
  <c r="E91" i="72" s="1"/>
  <c r="E92" i="72" s="1"/>
  <c r="E93" i="72" s="1"/>
  <c r="E94" i="72" s="1"/>
  <c r="E95" i="72" s="1"/>
  <c r="E96" i="72" s="1"/>
  <c r="E97" i="72" s="1"/>
  <c r="E98" i="72" s="1"/>
  <c r="E99" i="72" s="1"/>
  <c r="E100" i="72" s="1"/>
  <c r="B42" i="71"/>
  <c r="B51" i="71" s="1"/>
  <c r="B42" i="72"/>
  <c r="B51" i="72" s="1"/>
  <c r="A42" i="72"/>
  <c r="K42" i="70"/>
  <c r="K42" i="71"/>
  <c r="E46" i="49"/>
  <c r="E47" i="49" s="1"/>
  <c r="E42" i="70"/>
  <c r="E51" i="70" s="1"/>
  <c r="E52" i="70" s="1"/>
  <c r="E53" i="70" s="1"/>
  <c r="E54" i="70" s="1"/>
  <c r="E55" i="70" s="1"/>
  <c r="E56" i="70" s="1"/>
  <c r="E57" i="70" s="1"/>
  <c r="E58" i="70" s="1"/>
  <c r="E59" i="70" s="1"/>
  <c r="E60" i="70" s="1"/>
  <c r="E61" i="70" s="1"/>
  <c r="E62" i="70" s="1"/>
  <c r="E63" i="70" s="1"/>
  <c r="E64" i="70" s="1"/>
  <c r="E65" i="70" s="1"/>
  <c r="E66" i="70" s="1"/>
  <c r="E67" i="70" s="1"/>
  <c r="E68" i="70" s="1"/>
  <c r="E69" i="70" s="1"/>
  <c r="E70" i="70" s="1"/>
  <c r="E71" i="70" s="1"/>
  <c r="E72" i="70" s="1"/>
  <c r="E73" i="70" s="1"/>
  <c r="E74" i="70" s="1"/>
  <c r="E75" i="70" s="1"/>
  <c r="E76" i="70" s="1"/>
  <c r="E77" i="70" s="1"/>
  <c r="E78" i="70" s="1"/>
  <c r="E79" i="70" s="1"/>
  <c r="E80" i="70" s="1"/>
  <c r="E81" i="70" s="1"/>
  <c r="E82" i="70" s="1"/>
  <c r="E83" i="70" s="1"/>
  <c r="E84" i="70" s="1"/>
  <c r="E85" i="70" s="1"/>
  <c r="E86" i="70" s="1"/>
  <c r="E87" i="70" s="1"/>
  <c r="E88" i="70" s="1"/>
  <c r="E89" i="70" s="1"/>
  <c r="E90" i="70" s="1"/>
  <c r="E91" i="70" s="1"/>
  <c r="E92" i="70" s="1"/>
  <c r="E93" i="70" s="1"/>
  <c r="E94" i="70" s="1"/>
  <c r="E95" i="70" s="1"/>
  <c r="E96" i="70" s="1"/>
  <c r="E97" i="70" s="1"/>
  <c r="E98" i="70" s="1"/>
  <c r="E99" i="70" s="1"/>
  <c r="E100" i="70" s="1"/>
  <c r="B46" i="49"/>
  <c r="B47" i="49" s="1"/>
  <c r="B42" i="70"/>
  <c r="A35" i="70"/>
  <c r="F39" i="68"/>
  <c r="E42" i="69"/>
  <c r="E51" i="69" s="1"/>
  <c r="B39" i="68"/>
  <c r="B42" i="69"/>
  <c r="B51" i="69" s="1"/>
  <c r="M39" i="68"/>
  <c r="K42" i="69"/>
  <c r="A29" i="69"/>
  <c r="P22" i="68"/>
  <c r="A23" i="68"/>
  <c r="AB24" i="43"/>
  <c r="AC23" i="43"/>
  <c r="K39" i="64"/>
  <c r="N39" i="63"/>
  <c r="E39" i="64"/>
  <c r="F39" i="63"/>
  <c r="B39" i="64"/>
  <c r="B39" i="63"/>
  <c r="A22" i="64"/>
  <c r="A21" i="63"/>
  <c r="D9" i="62"/>
  <c r="C9" i="62"/>
  <c r="K9" i="49"/>
  <c r="K11" i="72" s="1"/>
  <c r="F9" i="49"/>
  <c r="E9" i="49"/>
  <c r="C9" i="49"/>
  <c r="B9" i="49"/>
  <c r="B22" i="62"/>
  <c r="F8" i="62"/>
  <c r="E7" i="62"/>
  <c r="E6" i="62"/>
  <c r="B52" i="69" l="1"/>
  <c r="B52" i="71"/>
  <c r="E52" i="69"/>
  <c r="E52" i="71"/>
  <c r="E11" i="72"/>
  <c r="E18" i="72" s="1"/>
  <c r="E18" i="62"/>
  <c r="AJ50" i="59" s="1"/>
  <c r="AJ51" i="59" s="1"/>
  <c r="AJ52" i="59" s="1"/>
  <c r="AJ53" i="59" s="1"/>
  <c r="AJ54" i="59" s="1"/>
  <c r="AJ55" i="59" s="1"/>
  <c r="AJ56" i="59" s="1"/>
  <c r="AJ57" i="59" s="1"/>
  <c r="AJ58" i="59" s="1"/>
  <c r="AJ59" i="59" s="1"/>
  <c r="AJ60" i="59" s="1"/>
  <c r="AJ61" i="59" s="1"/>
  <c r="AJ62" i="59" s="1"/>
  <c r="AJ63" i="59" s="1"/>
  <c r="AJ64" i="59" s="1"/>
  <c r="AJ65" i="59" s="1"/>
  <c r="AJ66" i="59" s="1"/>
  <c r="AJ67" i="59" s="1"/>
  <c r="AJ68" i="59" s="1"/>
  <c r="AJ69" i="59" s="1"/>
  <c r="AJ70" i="59" s="1"/>
  <c r="AJ71" i="59" s="1"/>
  <c r="AJ72" i="59" s="1"/>
  <c r="AJ73" i="59" s="1"/>
  <c r="AJ74" i="59" s="1"/>
  <c r="AJ75" i="59" s="1"/>
  <c r="AJ76" i="59" s="1"/>
  <c r="AJ77" i="59" s="1"/>
  <c r="AJ78" i="59" s="1"/>
  <c r="AJ79" i="59" s="1"/>
  <c r="AJ80" i="59" s="1"/>
  <c r="AJ81" i="59" s="1"/>
  <c r="AJ82" i="59" s="1"/>
  <c r="AJ83" i="59" s="1"/>
  <c r="AJ84" i="59" s="1"/>
  <c r="AJ85" i="59" s="1"/>
  <c r="AJ86" i="59" s="1"/>
  <c r="AJ87" i="59" s="1"/>
  <c r="AJ88" i="59" s="1"/>
  <c r="AJ89" i="59" s="1"/>
  <c r="AJ90" i="59" s="1"/>
  <c r="AJ91" i="59" s="1"/>
  <c r="AJ92" i="59" s="1"/>
  <c r="AJ93" i="59" s="1"/>
  <c r="AJ94" i="59" s="1"/>
  <c r="AJ95" i="59" s="1"/>
  <c r="AJ96" i="59" s="1"/>
  <c r="AJ97" i="59" s="1"/>
  <c r="AJ98" i="59" s="1"/>
  <c r="AJ99" i="59" s="1"/>
  <c r="AJ100" i="59" s="1"/>
  <c r="E11" i="62"/>
  <c r="B11" i="72"/>
  <c r="B14" i="72" s="1"/>
  <c r="F10" i="62"/>
  <c r="C10" i="62"/>
  <c r="D10" i="62"/>
  <c r="H42" i="71"/>
  <c r="H51" i="71" s="1"/>
  <c r="E8" i="62"/>
  <c r="C11" i="71"/>
  <c r="C11" i="72"/>
  <c r="E19" i="72"/>
  <c r="E13" i="72"/>
  <c r="E17" i="72"/>
  <c r="E16" i="72"/>
  <c r="E20" i="72"/>
  <c r="E21" i="72"/>
  <c r="E22" i="72"/>
  <c r="E25" i="72"/>
  <c r="E26" i="72"/>
  <c r="E28" i="72"/>
  <c r="E30" i="72"/>
  <c r="E32" i="72"/>
  <c r="E33" i="72"/>
  <c r="E36" i="72"/>
  <c r="E37" i="72"/>
  <c r="E38" i="72"/>
  <c r="E40" i="72"/>
  <c r="E41" i="72"/>
  <c r="F11" i="71"/>
  <c r="F11" i="72"/>
  <c r="B18" i="72"/>
  <c r="B52" i="72"/>
  <c r="H42" i="72"/>
  <c r="H51" i="72" s="1"/>
  <c r="H52" i="72" s="1"/>
  <c r="H53" i="72" s="1"/>
  <c r="H54" i="72" s="1"/>
  <c r="H55" i="72" s="1"/>
  <c r="H56" i="72" s="1"/>
  <c r="H57" i="72" s="1"/>
  <c r="H58" i="72" s="1"/>
  <c r="H59" i="72" s="1"/>
  <c r="H60" i="72" s="1"/>
  <c r="H61" i="72" s="1"/>
  <c r="H62" i="72" s="1"/>
  <c r="H63" i="72" s="1"/>
  <c r="H64" i="72" s="1"/>
  <c r="H65" i="72" s="1"/>
  <c r="H66" i="72" s="1"/>
  <c r="H67" i="72" s="1"/>
  <c r="H68" i="72" s="1"/>
  <c r="H69" i="72" s="1"/>
  <c r="H70" i="72" s="1"/>
  <c r="H71" i="72" s="1"/>
  <c r="H72" i="72" s="1"/>
  <c r="H73" i="72" s="1"/>
  <c r="H74" i="72" s="1"/>
  <c r="H75" i="72" s="1"/>
  <c r="H76" i="72" s="1"/>
  <c r="H77" i="72" s="1"/>
  <c r="H78" i="72" s="1"/>
  <c r="H79" i="72" s="1"/>
  <c r="H80" i="72" s="1"/>
  <c r="H81" i="72" s="1"/>
  <c r="H82" i="72" s="1"/>
  <c r="H83" i="72" s="1"/>
  <c r="H84" i="72" s="1"/>
  <c r="H85" i="72" s="1"/>
  <c r="H86" i="72" s="1"/>
  <c r="H87" i="72" s="1"/>
  <c r="H88" i="72" s="1"/>
  <c r="H89" i="72" s="1"/>
  <c r="H90" i="72" s="1"/>
  <c r="H91" i="72" s="1"/>
  <c r="H92" i="72" s="1"/>
  <c r="H93" i="72" s="1"/>
  <c r="H94" i="72" s="1"/>
  <c r="H95" i="72" s="1"/>
  <c r="H96" i="72" s="1"/>
  <c r="H97" i="72" s="1"/>
  <c r="H98" i="72" s="1"/>
  <c r="H99" i="72" s="1"/>
  <c r="H100" i="72" s="1"/>
  <c r="A51" i="72"/>
  <c r="E11" i="70"/>
  <c r="E34" i="70" s="1"/>
  <c r="E11" i="71"/>
  <c r="B11" i="70"/>
  <c r="B13" i="70" s="1"/>
  <c r="B11" i="71"/>
  <c r="K11" i="70"/>
  <c r="K11" i="71"/>
  <c r="B34" i="70"/>
  <c r="B51" i="70"/>
  <c r="B52" i="70" s="1"/>
  <c r="B53" i="70" s="1"/>
  <c r="B54" i="70" s="1"/>
  <c r="B55" i="70" s="1"/>
  <c r="B56" i="70" s="1"/>
  <c r="B57" i="70" s="1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B69" i="70" s="1"/>
  <c r="B70" i="70" s="1"/>
  <c r="B71" i="70" s="1"/>
  <c r="B72" i="70" s="1"/>
  <c r="B73" i="70" s="1"/>
  <c r="B74" i="70" s="1"/>
  <c r="B75" i="70" s="1"/>
  <c r="B76" i="70" s="1"/>
  <c r="B77" i="70" s="1"/>
  <c r="B78" i="70" s="1"/>
  <c r="B79" i="70" s="1"/>
  <c r="B80" i="70" s="1"/>
  <c r="B81" i="70" s="1"/>
  <c r="B82" i="70" s="1"/>
  <c r="B83" i="70" s="1"/>
  <c r="B84" i="70" s="1"/>
  <c r="B85" i="70" s="1"/>
  <c r="B86" i="70" s="1"/>
  <c r="B87" i="70" s="1"/>
  <c r="B88" i="70" s="1"/>
  <c r="B89" i="70" s="1"/>
  <c r="B90" i="70" s="1"/>
  <c r="B91" i="70" s="1"/>
  <c r="B92" i="70" s="1"/>
  <c r="B93" i="70" s="1"/>
  <c r="B94" i="70" s="1"/>
  <c r="B95" i="70" s="1"/>
  <c r="B96" i="70" s="1"/>
  <c r="B97" i="70" s="1"/>
  <c r="B98" i="70" s="1"/>
  <c r="B99" i="70" s="1"/>
  <c r="B100" i="70" s="1"/>
  <c r="B48" i="49"/>
  <c r="E48" i="49"/>
  <c r="E49" i="49" s="1"/>
  <c r="E50" i="49" s="1"/>
  <c r="J39" i="68"/>
  <c r="H42" i="70"/>
  <c r="H51" i="70" s="1"/>
  <c r="H52" i="70" s="1"/>
  <c r="H53" i="70" s="1"/>
  <c r="H54" i="70" s="1"/>
  <c r="H55" i="70" s="1"/>
  <c r="H56" i="70" s="1"/>
  <c r="H57" i="70" s="1"/>
  <c r="H58" i="70" s="1"/>
  <c r="H59" i="70" s="1"/>
  <c r="H60" i="70" s="1"/>
  <c r="H61" i="70" s="1"/>
  <c r="H62" i="70" s="1"/>
  <c r="H63" i="70" s="1"/>
  <c r="H64" i="70" s="1"/>
  <c r="H65" i="70" s="1"/>
  <c r="H66" i="70" s="1"/>
  <c r="H67" i="70" s="1"/>
  <c r="H68" i="70" s="1"/>
  <c r="H69" i="70" s="1"/>
  <c r="H70" i="70" s="1"/>
  <c r="H71" i="70" s="1"/>
  <c r="H72" i="70" s="1"/>
  <c r="H73" i="70" s="1"/>
  <c r="H74" i="70" s="1"/>
  <c r="H75" i="70" s="1"/>
  <c r="H76" i="70" s="1"/>
  <c r="H77" i="70" s="1"/>
  <c r="H78" i="70" s="1"/>
  <c r="H79" i="70" s="1"/>
  <c r="H80" i="70" s="1"/>
  <c r="H81" i="70" s="1"/>
  <c r="H82" i="70" s="1"/>
  <c r="H83" i="70" s="1"/>
  <c r="H84" i="70" s="1"/>
  <c r="H85" i="70" s="1"/>
  <c r="H86" i="70" s="1"/>
  <c r="H87" i="70" s="1"/>
  <c r="H88" i="70" s="1"/>
  <c r="H89" i="70" s="1"/>
  <c r="H90" i="70" s="1"/>
  <c r="H91" i="70" s="1"/>
  <c r="H92" i="70" s="1"/>
  <c r="H93" i="70" s="1"/>
  <c r="H94" i="70" s="1"/>
  <c r="H95" i="70" s="1"/>
  <c r="H96" i="70" s="1"/>
  <c r="H97" i="70" s="1"/>
  <c r="H98" i="70" s="1"/>
  <c r="H99" i="70" s="1"/>
  <c r="H100" i="70" s="1"/>
  <c r="F11" i="70"/>
  <c r="Q11" i="70" s="1"/>
  <c r="C11" i="70"/>
  <c r="A36" i="70"/>
  <c r="H42" i="69"/>
  <c r="H51" i="69" s="1"/>
  <c r="F8" i="68"/>
  <c r="F10" i="68" s="1"/>
  <c r="E11" i="69"/>
  <c r="E29" i="69" s="1"/>
  <c r="G8" i="68"/>
  <c r="F11" i="69"/>
  <c r="B8" i="68"/>
  <c r="B10" i="68" s="1"/>
  <c r="B11" i="69"/>
  <c r="M8" i="68"/>
  <c r="K11" i="69"/>
  <c r="C8" i="68"/>
  <c r="E8" i="68" s="1"/>
  <c r="C11" i="69"/>
  <c r="A30" i="69"/>
  <c r="P23" i="68"/>
  <c r="A24" i="68"/>
  <c r="AC24" i="43"/>
  <c r="AB25" i="43"/>
  <c r="F8" i="64"/>
  <c r="Q8" i="64" s="1"/>
  <c r="G8" i="63"/>
  <c r="T8" i="63" s="1"/>
  <c r="B8" i="64"/>
  <c r="B8" i="63"/>
  <c r="B21" i="63" s="1"/>
  <c r="E8" i="64"/>
  <c r="F8" i="63"/>
  <c r="F21" i="63" s="1"/>
  <c r="K8" i="64"/>
  <c r="N8" i="63"/>
  <c r="C8" i="64"/>
  <c r="P8" i="64" s="1"/>
  <c r="C8" i="63"/>
  <c r="S8" i="63" s="1"/>
  <c r="J39" i="63"/>
  <c r="H39" i="64"/>
  <c r="A23" i="64"/>
  <c r="A22" i="63"/>
  <c r="E12" i="62"/>
  <c r="F9" i="62"/>
  <c r="E43" i="49"/>
  <c r="B43" i="49"/>
  <c r="E21" i="70" l="1"/>
  <c r="B39" i="72"/>
  <c r="B31" i="72"/>
  <c r="B23" i="72"/>
  <c r="B37" i="72"/>
  <c r="B29" i="72"/>
  <c r="B21" i="72"/>
  <c r="B15" i="72"/>
  <c r="B35" i="72"/>
  <c r="B27" i="72"/>
  <c r="B17" i="72"/>
  <c r="G11" i="72"/>
  <c r="E39" i="72"/>
  <c r="E34" i="72"/>
  <c r="E29" i="72"/>
  <c r="E24" i="72"/>
  <c r="E14" i="72"/>
  <c r="E15" i="72"/>
  <c r="B41" i="72"/>
  <c r="H11" i="72"/>
  <c r="H15" i="72" s="1"/>
  <c r="B33" i="72"/>
  <c r="B25" i="72"/>
  <c r="B16" i="72"/>
  <c r="E35" i="72"/>
  <c r="E31" i="72"/>
  <c r="E27" i="72"/>
  <c r="E23" i="72"/>
  <c r="E12" i="72"/>
  <c r="E30" i="70"/>
  <c r="E13" i="70"/>
  <c r="E26" i="70"/>
  <c r="B38" i="72"/>
  <c r="B34" i="72"/>
  <c r="B30" i="72"/>
  <c r="B26" i="72"/>
  <c r="B22" i="72"/>
  <c r="B13" i="72"/>
  <c r="B19" i="72"/>
  <c r="E32" i="70"/>
  <c r="E20" i="70"/>
  <c r="B40" i="72"/>
  <c r="B36" i="72"/>
  <c r="B32" i="72"/>
  <c r="B28" i="72"/>
  <c r="B24" i="72"/>
  <c r="B20" i="72"/>
  <c r="B12" i="72"/>
  <c r="H52" i="71"/>
  <c r="E53" i="71"/>
  <c r="B53" i="71"/>
  <c r="E53" i="69"/>
  <c r="H52" i="69"/>
  <c r="B53" i="69"/>
  <c r="I11" i="71"/>
  <c r="E25" i="70"/>
  <c r="E15" i="70"/>
  <c r="E9" i="62"/>
  <c r="E10" i="62"/>
  <c r="E33" i="70"/>
  <c r="E28" i="70"/>
  <c r="E22" i="70"/>
  <c r="E17" i="70"/>
  <c r="K51" i="72"/>
  <c r="D11" i="72"/>
  <c r="I11" i="72"/>
  <c r="E29" i="70"/>
  <c r="E24" i="70"/>
  <c r="E18" i="70"/>
  <c r="E14" i="70"/>
  <c r="K52" i="72"/>
  <c r="B53" i="72"/>
  <c r="A52" i="72"/>
  <c r="B25" i="70"/>
  <c r="B21" i="70"/>
  <c r="B35" i="70"/>
  <c r="B33" i="70"/>
  <c r="B17" i="70"/>
  <c r="B29" i="70"/>
  <c r="B12" i="70"/>
  <c r="E35" i="70"/>
  <c r="E31" i="70"/>
  <c r="E27" i="70"/>
  <c r="E23" i="70"/>
  <c r="E19" i="70"/>
  <c r="E16" i="70"/>
  <c r="E12" i="70"/>
  <c r="B32" i="70"/>
  <c r="B28" i="70"/>
  <c r="B24" i="70"/>
  <c r="B20" i="70"/>
  <c r="B15" i="70"/>
  <c r="B16" i="70"/>
  <c r="H11" i="71"/>
  <c r="E41" i="71"/>
  <c r="E25" i="71"/>
  <c r="E28" i="71"/>
  <c r="E27" i="71"/>
  <c r="E30" i="71"/>
  <c r="E29" i="71"/>
  <c r="E31" i="71"/>
  <c r="E22" i="71"/>
  <c r="E14" i="71"/>
  <c r="E37" i="71"/>
  <c r="E21" i="71"/>
  <c r="E40" i="71"/>
  <c r="E24" i="71"/>
  <c r="E39" i="71"/>
  <c r="E23" i="71"/>
  <c r="E12" i="71"/>
  <c r="E26" i="71"/>
  <c r="E32" i="71"/>
  <c r="E34" i="71"/>
  <c r="E33" i="71"/>
  <c r="E17" i="71"/>
  <c r="E36" i="71"/>
  <c r="E20" i="71"/>
  <c r="E35" i="71"/>
  <c r="E19" i="71"/>
  <c r="E38" i="71"/>
  <c r="E13" i="71"/>
  <c r="E16" i="71"/>
  <c r="E15" i="71"/>
  <c r="E18" i="71"/>
  <c r="H11" i="70"/>
  <c r="H35" i="70" s="1"/>
  <c r="B31" i="70"/>
  <c r="B27" i="70"/>
  <c r="B23" i="70"/>
  <c r="B19" i="70"/>
  <c r="B14" i="70"/>
  <c r="G11" i="71"/>
  <c r="F22" i="68"/>
  <c r="B30" i="70"/>
  <c r="B26" i="70"/>
  <c r="B22" i="70"/>
  <c r="B18" i="70"/>
  <c r="B28" i="71"/>
  <c r="B12" i="71"/>
  <c r="B27" i="71"/>
  <c r="B30" i="71"/>
  <c r="B14" i="71"/>
  <c r="B33" i="71"/>
  <c r="B17" i="71"/>
  <c r="B21" i="71"/>
  <c r="B25" i="71"/>
  <c r="B32" i="71"/>
  <c r="B31" i="71"/>
  <c r="B34" i="71"/>
  <c r="B37" i="71"/>
  <c r="B40" i="71"/>
  <c r="B24" i="71"/>
  <c r="B39" i="71"/>
  <c r="B23" i="71"/>
  <c r="B26" i="71"/>
  <c r="B29" i="71"/>
  <c r="B36" i="71"/>
  <c r="B20" i="71"/>
  <c r="B35" i="71"/>
  <c r="B19" i="71"/>
  <c r="B38" i="71"/>
  <c r="B22" i="71"/>
  <c r="B41" i="71"/>
  <c r="B13" i="71"/>
  <c r="B16" i="71"/>
  <c r="B15" i="71"/>
  <c r="B18" i="71"/>
  <c r="D11" i="71"/>
  <c r="F14" i="68"/>
  <c r="E51" i="49"/>
  <c r="B49" i="49"/>
  <c r="B50" i="49" s="1"/>
  <c r="I11" i="70"/>
  <c r="D11" i="70"/>
  <c r="P11" i="70"/>
  <c r="G11" i="70"/>
  <c r="A37" i="70"/>
  <c r="E36" i="70"/>
  <c r="B36" i="70"/>
  <c r="B20" i="68"/>
  <c r="B12" i="68"/>
  <c r="F23" i="68"/>
  <c r="F12" i="68"/>
  <c r="B18" i="68"/>
  <c r="F18" i="68"/>
  <c r="F9" i="68"/>
  <c r="B16" i="68"/>
  <c r="J8" i="68"/>
  <c r="J23" i="68" s="1"/>
  <c r="K8" i="68"/>
  <c r="F20" i="68"/>
  <c r="B9" i="68"/>
  <c r="F16" i="68"/>
  <c r="B14" i="68"/>
  <c r="B23" i="68"/>
  <c r="B22" i="68"/>
  <c r="F19" i="68"/>
  <c r="F15" i="68"/>
  <c r="F11" i="68"/>
  <c r="B21" i="68"/>
  <c r="B17" i="68"/>
  <c r="B13" i="68"/>
  <c r="B11" i="68"/>
  <c r="F21" i="68"/>
  <c r="F17" i="68"/>
  <c r="F13" i="68"/>
  <c r="B19" i="68"/>
  <c r="B15" i="68"/>
  <c r="I8" i="68"/>
  <c r="H11" i="69"/>
  <c r="H12" i="69" s="1"/>
  <c r="B13" i="69"/>
  <c r="B12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E13" i="69"/>
  <c r="E12" i="69"/>
  <c r="E14" i="69"/>
  <c r="E15" i="69"/>
  <c r="E16" i="69"/>
  <c r="E17" i="69"/>
  <c r="E18" i="69"/>
  <c r="E19" i="69"/>
  <c r="E20" i="69"/>
  <c r="E21" i="69"/>
  <c r="E22" i="69"/>
  <c r="E23" i="69"/>
  <c r="E24" i="69"/>
  <c r="E25" i="69"/>
  <c r="E26" i="69"/>
  <c r="E27" i="69"/>
  <c r="E28" i="69"/>
  <c r="G11" i="69"/>
  <c r="B29" i="69"/>
  <c r="I11" i="69"/>
  <c r="D11" i="69"/>
  <c r="A31" i="69"/>
  <c r="B30" i="69"/>
  <c r="E30" i="69"/>
  <c r="A25" i="68"/>
  <c r="P24" i="68"/>
  <c r="B24" i="68"/>
  <c r="F24" i="68"/>
  <c r="H8" i="64"/>
  <c r="H16" i="64" s="1"/>
  <c r="AB26" i="43"/>
  <c r="AC25" i="43"/>
  <c r="J8" i="63"/>
  <c r="J21" i="63" s="1"/>
  <c r="N21" i="63" s="1"/>
  <c r="B9" i="64"/>
  <c r="B10" i="64"/>
  <c r="B15" i="64"/>
  <c r="B16" i="64"/>
  <c r="B14" i="64"/>
  <c r="B11" i="64"/>
  <c r="B12" i="64"/>
  <c r="B13" i="64"/>
  <c r="B17" i="64"/>
  <c r="B18" i="64"/>
  <c r="B19" i="64"/>
  <c r="B20" i="64"/>
  <c r="B21" i="64"/>
  <c r="F10" i="63"/>
  <c r="F9" i="63"/>
  <c r="F16" i="63"/>
  <c r="F15" i="63"/>
  <c r="F14" i="63"/>
  <c r="F13" i="63"/>
  <c r="F12" i="63"/>
  <c r="F11" i="63"/>
  <c r="F17" i="63"/>
  <c r="F18" i="63"/>
  <c r="F19" i="63"/>
  <c r="F20" i="63"/>
  <c r="H8" i="63"/>
  <c r="B22" i="64"/>
  <c r="D8" i="64"/>
  <c r="I8" i="64"/>
  <c r="E10" i="64"/>
  <c r="E9" i="64"/>
  <c r="E11" i="64"/>
  <c r="E15" i="64"/>
  <c r="E14" i="64"/>
  <c r="E13" i="64"/>
  <c r="E12" i="64"/>
  <c r="E16" i="64"/>
  <c r="E17" i="64"/>
  <c r="E18" i="64"/>
  <c r="E19" i="64"/>
  <c r="E20" i="64"/>
  <c r="E21" i="64"/>
  <c r="E22" i="64"/>
  <c r="D8" i="63"/>
  <c r="K8" i="63"/>
  <c r="B12" i="63"/>
  <c r="B10" i="63"/>
  <c r="B16" i="63"/>
  <c r="B9" i="63"/>
  <c r="B11" i="63"/>
  <c r="B15" i="63"/>
  <c r="B13" i="63"/>
  <c r="B14" i="63"/>
  <c r="B17" i="63"/>
  <c r="B18" i="63"/>
  <c r="B19" i="63"/>
  <c r="B20" i="63"/>
  <c r="G8" i="64"/>
  <c r="A24" i="64"/>
  <c r="E23" i="64"/>
  <c r="B23" i="64"/>
  <c r="A23" i="63"/>
  <c r="F22" i="63"/>
  <c r="B22" i="63"/>
  <c r="C16" i="60"/>
  <c r="B16" i="60"/>
  <c r="L11" i="71" l="1"/>
  <c r="I5" i="71"/>
  <c r="L11" i="72"/>
  <c r="I5" i="72"/>
  <c r="J11" i="71"/>
  <c r="H21" i="72"/>
  <c r="K21" i="72" s="1"/>
  <c r="K15" i="72"/>
  <c r="H20" i="72"/>
  <c r="K20" i="72" s="1"/>
  <c r="H37" i="72"/>
  <c r="K37" i="72" s="1"/>
  <c r="H33" i="72"/>
  <c r="K33" i="72" s="1"/>
  <c r="H29" i="72"/>
  <c r="K29" i="72" s="1"/>
  <c r="H14" i="72"/>
  <c r="K14" i="72" s="1"/>
  <c r="H41" i="72"/>
  <c r="K41" i="72" s="1"/>
  <c r="H25" i="72"/>
  <c r="K25" i="72" s="1"/>
  <c r="H40" i="72"/>
  <c r="K40" i="72" s="1"/>
  <c r="H36" i="72"/>
  <c r="K36" i="72" s="1"/>
  <c r="H32" i="72"/>
  <c r="K32" i="72" s="1"/>
  <c r="H28" i="72"/>
  <c r="K28" i="72" s="1"/>
  <c r="H24" i="72"/>
  <c r="K24" i="72" s="1"/>
  <c r="H19" i="72"/>
  <c r="K19" i="72" s="1"/>
  <c r="H13" i="72"/>
  <c r="K13" i="72" s="1"/>
  <c r="H18" i="72"/>
  <c r="K18" i="72" s="1"/>
  <c r="H39" i="72"/>
  <c r="K39" i="72" s="1"/>
  <c r="H35" i="72"/>
  <c r="K35" i="72" s="1"/>
  <c r="H31" i="72"/>
  <c r="K31" i="72" s="1"/>
  <c r="H27" i="72"/>
  <c r="K27" i="72" s="1"/>
  <c r="H23" i="72"/>
  <c r="H12" i="72"/>
  <c r="K12" i="72" s="1"/>
  <c r="H17" i="72"/>
  <c r="K17" i="72" s="1"/>
  <c r="H38" i="72"/>
  <c r="K38" i="72" s="1"/>
  <c r="H34" i="72"/>
  <c r="K34" i="72" s="1"/>
  <c r="H30" i="72"/>
  <c r="K30" i="72" s="1"/>
  <c r="H26" i="72"/>
  <c r="K26" i="72" s="1"/>
  <c r="H22" i="72"/>
  <c r="K22" i="72" s="1"/>
  <c r="H16" i="72"/>
  <c r="K16" i="72" s="1"/>
  <c r="K23" i="72"/>
  <c r="B54" i="69"/>
  <c r="E54" i="69"/>
  <c r="E54" i="71"/>
  <c r="H53" i="69"/>
  <c r="B54" i="71"/>
  <c r="H53" i="71"/>
  <c r="K53" i="71" s="1"/>
  <c r="H36" i="70"/>
  <c r="K36" i="70" s="1"/>
  <c r="H34" i="70"/>
  <c r="K34" i="70" s="1"/>
  <c r="H26" i="70"/>
  <c r="K26" i="70" s="1"/>
  <c r="H18" i="70"/>
  <c r="H31" i="70"/>
  <c r="H23" i="70"/>
  <c r="K23" i="70" s="1"/>
  <c r="H15" i="70"/>
  <c r="K15" i="70" s="1"/>
  <c r="H30" i="70"/>
  <c r="K30" i="70" s="1"/>
  <c r="H22" i="70"/>
  <c r="K22" i="70" s="1"/>
  <c r="H16" i="70"/>
  <c r="K16" i="70" s="1"/>
  <c r="H27" i="70"/>
  <c r="K27" i="70" s="1"/>
  <c r="H19" i="70"/>
  <c r="K19" i="70" s="1"/>
  <c r="K31" i="70"/>
  <c r="H33" i="70"/>
  <c r="K33" i="70" s="1"/>
  <c r="H29" i="70"/>
  <c r="K29" i="70" s="1"/>
  <c r="H25" i="70"/>
  <c r="K25" i="70" s="1"/>
  <c r="H21" i="70"/>
  <c r="K21" i="70" s="1"/>
  <c r="H12" i="70"/>
  <c r="H17" i="70"/>
  <c r="K17" i="70" s="1"/>
  <c r="H32" i="70"/>
  <c r="K32" i="70" s="1"/>
  <c r="H28" i="70"/>
  <c r="K28" i="70" s="1"/>
  <c r="H24" i="70"/>
  <c r="K24" i="70" s="1"/>
  <c r="H20" i="70"/>
  <c r="K20" i="70" s="1"/>
  <c r="H14" i="70"/>
  <c r="K14" i="70" s="1"/>
  <c r="H13" i="70"/>
  <c r="K13" i="70" s="1"/>
  <c r="K12" i="70"/>
  <c r="K35" i="70"/>
  <c r="K53" i="72"/>
  <c r="B54" i="72"/>
  <c r="J11" i="72"/>
  <c r="A53" i="72"/>
  <c r="K18" i="70"/>
  <c r="J18" i="68"/>
  <c r="M18" i="68" s="1"/>
  <c r="H26" i="71"/>
  <c r="K26" i="71" s="1"/>
  <c r="H29" i="71"/>
  <c r="K29" i="71" s="1"/>
  <c r="H28" i="71"/>
  <c r="K28" i="71" s="1"/>
  <c r="H12" i="71"/>
  <c r="K12" i="71" s="1"/>
  <c r="H39" i="71"/>
  <c r="K39" i="71" s="1"/>
  <c r="H14" i="71"/>
  <c r="K14" i="71" s="1"/>
  <c r="H17" i="71"/>
  <c r="K17" i="71" s="1"/>
  <c r="K52" i="71"/>
  <c r="H38" i="71"/>
  <c r="K38" i="71" s="1"/>
  <c r="H22" i="71"/>
  <c r="K22" i="71" s="1"/>
  <c r="H41" i="71"/>
  <c r="K41" i="71" s="1"/>
  <c r="H25" i="71"/>
  <c r="K25" i="71" s="1"/>
  <c r="H40" i="71"/>
  <c r="K40" i="71" s="1"/>
  <c r="H24" i="71"/>
  <c r="K24" i="71" s="1"/>
  <c r="H35" i="71"/>
  <c r="K35" i="71" s="1"/>
  <c r="H27" i="71"/>
  <c r="K27" i="71" s="1"/>
  <c r="H32" i="71"/>
  <c r="K32" i="71" s="1"/>
  <c r="H15" i="71"/>
  <c r="K15" i="71" s="1"/>
  <c r="K51" i="71"/>
  <c r="H34" i="71"/>
  <c r="K34" i="71" s="1"/>
  <c r="H18" i="71"/>
  <c r="K18" i="71" s="1"/>
  <c r="H37" i="71"/>
  <c r="K37" i="71" s="1"/>
  <c r="H21" i="71"/>
  <c r="K21" i="71" s="1"/>
  <c r="H36" i="71"/>
  <c r="K36" i="71" s="1"/>
  <c r="H20" i="71"/>
  <c r="K20" i="71" s="1"/>
  <c r="H31" i="71"/>
  <c r="K31" i="71" s="1"/>
  <c r="H19" i="71"/>
  <c r="K19" i="71" s="1"/>
  <c r="H30" i="71"/>
  <c r="K30" i="71" s="1"/>
  <c r="H33" i="71"/>
  <c r="K33" i="71" s="1"/>
  <c r="H16" i="71"/>
  <c r="K16" i="71" s="1"/>
  <c r="H13" i="71"/>
  <c r="K13" i="71" s="1"/>
  <c r="H23" i="71"/>
  <c r="K23" i="71" s="1"/>
  <c r="B51" i="49"/>
  <c r="E52" i="49"/>
  <c r="E53" i="49" s="1"/>
  <c r="J10" i="68"/>
  <c r="M10" i="68" s="1"/>
  <c r="L11" i="70"/>
  <c r="J11" i="70"/>
  <c r="A38" i="70"/>
  <c r="E37" i="70"/>
  <c r="B37" i="70"/>
  <c r="H37" i="70"/>
  <c r="H27" i="69"/>
  <c r="K27" i="69" s="1"/>
  <c r="J15" i="68"/>
  <c r="M15" i="68" s="1"/>
  <c r="J22" i="68"/>
  <c r="M22" i="68" s="1"/>
  <c r="J14" i="68"/>
  <c r="M14" i="68" s="1"/>
  <c r="J19" i="68"/>
  <c r="M19" i="68" s="1"/>
  <c r="J11" i="68"/>
  <c r="M11" i="68" s="1"/>
  <c r="L8" i="68"/>
  <c r="H24" i="69"/>
  <c r="K24" i="69" s="1"/>
  <c r="H21" i="69"/>
  <c r="K21" i="69" s="1"/>
  <c r="N8" i="68"/>
  <c r="O8" i="68" s="1"/>
  <c r="H29" i="69"/>
  <c r="K29" i="69" s="1"/>
  <c r="H16" i="69"/>
  <c r="K16" i="69" s="1"/>
  <c r="M23" i="68"/>
  <c r="J21" i="68"/>
  <c r="M21" i="68" s="1"/>
  <c r="J17" i="68"/>
  <c r="M17" i="68" s="1"/>
  <c r="J13" i="68"/>
  <c r="M13" i="68" s="1"/>
  <c r="J9" i="68"/>
  <c r="M9" i="68" s="1"/>
  <c r="J24" i="68"/>
  <c r="M24" i="68" s="1"/>
  <c r="J20" i="68"/>
  <c r="M20" i="68" s="1"/>
  <c r="J16" i="68"/>
  <c r="M16" i="68" s="1"/>
  <c r="J12" i="68"/>
  <c r="M12" i="68" s="1"/>
  <c r="H28" i="69"/>
  <c r="K28" i="69" s="1"/>
  <c r="H23" i="69"/>
  <c r="K23" i="69" s="1"/>
  <c r="H17" i="69"/>
  <c r="K17" i="69" s="1"/>
  <c r="H13" i="69"/>
  <c r="K13" i="69" s="1"/>
  <c r="H30" i="69"/>
  <c r="K30" i="69" s="1"/>
  <c r="H25" i="69"/>
  <c r="K25" i="69" s="1"/>
  <c r="H20" i="69"/>
  <c r="K20" i="69" s="1"/>
  <c r="H15" i="69"/>
  <c r="K15" i="69" s="1"/>
  <c r="H19" i="69"/>
  <c r="K19" i="69" s="1"/>
  <c r="H14" i="69"/>
  <c r="K14" i="69" s="1"/>
  <c r="H26" i="69"/>
  <c r="K26" i="69" s="1"/>
  <c r="H22" i="69"/>
  <c r="K22" i="69" s="1"/>
  <c r="H18" i="69"/>
  <c r="K18" i="69" s="1"/>
  <c r="K12" i="69"/>
  <c r="L11" i="69"/>
  <c r="J11" i="69"/>
  <c r="A32" i="69"/>
  <c r="E31" i="69"/>
  <c r="H31" i="69"/>
  <c r="B31" i="69"/>
  <c r="H15" i="64"/>
  <c r="K15" i="64" s="1"/>
  <c r="P25" i="68"/>
  <c r="A26" i="68"/>
  <c r="F25" i="68"/>
  <c r="B25" i="68"/>
  <c r="J25" i="68"/>
  <c r="J17" i="63"/>
  <c r="H13" i="64"/>
  <c r="K13" i="64" s="1"/>
  <c r="H18" i="64"/>
  <c r="K18" i="64" s="1"/>
  <c r="H17" i="64"/>
  <c r="K17" i="64" s="1"/>
  <c r="H20" i="64"/>
  <c r="K20" i="64" s="1"/>
  <c r="H11" i="64"/>
  <c r="K11" i="64" s="1"/>
  <c r="H10" i="64"/>
  <c r="H23" i="64"/>
  <c r="K23" i="64" s="1"/>
  <c r="H21" i="64"/>
  <c r="K21" i="64" s="1"/>
  <c r="H12" i="64"/>
  <c r="K12" i="64" s="1"/>
  <c r="H14" i="64"/>
  <c r="K14" i="64" s="1"/>
  <c r="H22" i="64"/>
  <c r="K22" i="64" s="1"/>
  <c r="H19" i="64"/>
  <c r="K19" i="64" s="1"/>
  <c r="H9" i="64"/>
  <c r="K9" i="64" s="1"/>
  <c r="J22" i="63"/>
  <c r="N22" i="63" s="1"/>
  <c r="J16" i="63"/>
  <c r="N16" i="63" s="1"/>
  <c r="N17" i="63"/>
  <c r="J15" i="63"/>
  <c r="N15" i="63" s="1"/>
  <c r="J19" i="63"/>
  <c r="N19" i="63" s="1"/>
  <c r="J13" i="63"/>
  <c r="N13" i="63" s="1"/>
  <c r="J14" i="63"/>
  <c r="N14" i="63" s="1"/>
  <c r="J20" i="63"/>
  <c r="N20" i="63" s="1"/>
  <c r="J12" i="63"/>
  <c r="N12" i="63" s="1"/>
  <c r="J18" i="63"/>
  <c r="N18" i="63" s="1"/>
  <c r="J11" i="63"/>
  <c r="N11" i="63" s="1"/>
  <c r="J9" i="63"/>
  <c r="N9" i="63" s="1"/>
  <c r="J10" i="63"/>
  <c r="N10" i="63" s="1"/>
  <c r="K16" i="64"/>
  <c r="AC26" i="43"/>
  <c r="AB27" i="43"/>
  <c r="O8" i="63"/>
  <c r="L8" i="63"/>
  <c r="L8" i="64"/>
  <c r="M8" i="64" s="1"/>
  <c r="J8" i="64"/>
  <c r="K10" i="64"/>
  <c r="A25" i="64"/>
  <c r="E24" i="64"/>
  <c r="B24" i="64"/>
  <c r="H24" i="64"/>
  <c r="A24" i="63"/>
  <c r="F23" i="63"/>
  <c r="B23" i="63"/>
  <c r="J23" i="63"/>
  <c r="M11" i="69" l="1"/>
  <c r="C5" i="69"/>
  <c r="F5" i="69"/>
  <c r="M11" i="71"/>
  <c r="C5" i="71"/>
  <c r="F5" i="71"/>
  <c r="C5" i="70"/>
  <c r="F5" i="70"/>
  <c r="F6" i="70" s="1"/>
  <c r="F8" i="70" s="1"/>
  <c r="F38" i="70" s="1"/>
  <c r="I5" i="70"/>
  <c r="M11" i="72"/>
  <c r="F5" i="72"/>
  <c r="C5" i="72"/>
  <c r="I5" i="69"/>
  <c r="F6" i="71"/>
  <c r="F8" i="71" s="1"/>
  <c r="F97" i="71" s="1"/>
  <c r="H54" i="71"/>
  <c r="E55" i="69"/>
  <c r="H54" i="69"/>
  <c r="B55" i="69"/>
  <c r="B55" i="71"/>
  <c r="E55" i="71"/>
  <c r="K54" i="72"/>
  <c r="B55" i="72"/>
  <c r="I6" i="72"/>
  <c r="I8" i="72" s="1"/>
  <c r="I53" i="72" s="1"/>
  <c r="F6" i="72"/>
  <c r="F8" i="72" s="1"/>
  <c r="I6" i="71"/>
  <c r="I8" i="71" s="1"/>
  <c r="I35" i="71" s="1"/>
  <c r="J35" i="71" s="1"/>
  <c r="C6" i="71"/>
  <c r="C8" i="71" s="1"/>
  <c r="C75" i="71" s="1"/>
  <c r="A54" i="72"/>
  <c r="F34" i="71"/>
  <c r="F68" i="71"/>
  <c r="F81" i="71"/>
  <c r="F84" i="71"/>
  <c r="F102" i="71"/>
  <c r="F88" i="71"/>
  <c r="F77" i="71"/>
  <c r="F73" i="71"/>
  <c r="F71" i="71"/>
  <c r="F55" i="71"/>
  <c r="F63" i="71"/>
  <c r="F62" i="71"/>
  <c r="F14" i="71"/>
  <c r="F90" i="71"/>
  <c r="F98" i="71"/>
  <c r="F27" i="71"/>
  <c r="F65" i="71"/>
  <c r="F86" i="71"/>
  <c r="F17" i="71"/>
  <c r="F67" i="71"/>
  <c r="F85" i="71"/>
  <c r="F39" i="71"/>
  <c r="F58" i="71"/>
  <c r="F26" i="71"/>
  <c r="F76" i="71"/>
  <c r="F91" i="71"/>
  <c r="F22" i="71"/>
  <c r="F89" i="71"/>
  <c r="F54" i="71"/>
  <c r="G54" i="71" s="1"/>
  <c r="F56" i="71"/>
  <c r="F94" i="71"/>
  <c r="F41" i="71"/>
  <c r="F16" i="71"/>
  <c r="F100" i="71"/>
  <c r="F23" i="71"/>
  <c r="F40" i="71"/>
  <c r="F87" i="71"/>
  <c r="F18" i="71"/>
  <c r="F28" i="71"/>
  <c r="F74" i="71"/>
  <c r="F61" i="71"/>
  <c r="E54" i="49"/>
  <c r="E55" i="49" s="1"/>
  <c r="E56" i="49" s="1"/>
  <c r="B52" i="49"/>
  <c r="B53" i="49" s="1"/>
  <c r="K9" i="68"/>
  <c r="L9" i="68" s="1"/>
  <c r="I6" i="70"/>
  <c r="I8" i="70" s="1"/>
  <c r="I28" i="70" s="1"/>
  <c r="J28" i="70" s="1"/>
  <c r="G9" i="68"/>
  <c r="I9" i="68" s="1"/>
  <c r="C9" i="68"/>
  <c r="E9" i="68" s="1"/>
  <c r="K37" i="70"/>
  <c r="M11" i="70"/>
  <c r="A39" i="70"/>
  <c r="E38" i="70"/>
  <c r="B38" i="70"/>
  <c r="H38" i="70"/>
  <c r="K31" i="69"/>
  <c r="I6" i="69"/>
  <c r="I8" i="69" s="1"/>
  <c r="F6" i="69"/>
  <c r="F8" i="69" s="1"/>
  <c r="A33" i="69"/>
  <c r="B32" i="69"/>
  <c r="H32" i="69"/>
  <c r="E32" i="69"/>
  <c r="M25" i="68"/>
  <c r="A27" i="68"/>
  <c r="P26" i="68"/>
  <c r="F26" i="68"/>
  <c r="B26" i="68"/>
  <c r="J26" i="68"/>
  <c r="K24" i="64"/>
  <c r="AB28" i="43"/>
  <c r="AC27" i="43"/>
  <c r="P8" i="63"/>
  <c r="A26" i="64"/>
  <c r="B25" i="64"/>
  <c r="E25" i="64"/>
  <c r="H25" i="64"/>
  <c r="N23" i="63"/>
  <c r="A25" i="63"/>
  <c r="F24" i="63"/>
  <c r="B24" i="63"/>
  <c r="J24" i="63"/>
  <c r="G5" i="61"/>
  <c r="AH12" i="61" s="1"/>
  <c r="C51" i="52"/>
  <c r="B51" i="52"/>
  <c r="S13" i="61"/>
  <c r="F82" i="71" l="1"/>
  <c r="F15" i="71"/>
  <c r="F53" i="71"/>
  <c r="G53" i="71" s="1"/>
  <c r="F36" i="71"/>
  <c r="P36" i="71" s="1"/>
  <c r="F64" i="71"/>
  <c r="F19" i="71"/>
  <c r="F12" i="71"/>
  <c r="P12" i="71" s="1"/>
  <c r="F30" i="71"/>
  <c r="G30" i="71" s="1"/>
  <c r="F24" i="71"/>
  <c r="F99" i="71"/>
  <c r="F21" i="71"/>
  <c r="F20" i="71"/>
  <c r="P20" i="71" s="1"/>
  <c r="F51" i="71"/>
  <c r="G51" i="71" s="1"/>
  <c r="F52" i="71"/>
  <c r="G52" i="71" s="1"/>
  <c r="F70" i="71"/>
  <c r="F25" i="71"/>
  <c r="P25" i="71" s="1"/>
  <c r="F38" i="71"/>
  <c r="F42" i="71"/>
  <c r="F75" i="71"/>
  <c r="P76" i="71" s="1"/>
  <c r="F59" i="71"/>
  <c r="P59" i="71" s="1"/>
  <c r="F72" i="71"/>
  <c r="P72" i="71" s="1"/>
  <c r="F66" i="71"/>
  <c r="P66" i="71" s="1"/>
  <c r="F78" i="71"/>
  <c r="P78" i="71" s="1"/>
  <c r="F79" i="71"/>
  <c r="F32" i="71"/>
  <c r="F37" i="71"/>
  <c r="F13" i="71"/>
  <c r="P14" i="71" s="1"/>
  <c r="F33" i="71"/>
  <c r="P34" i="71" s="1"/>
  <c r="F29" i="71"/>
  <c r="G29" i="71" s="1"/>
  <c r="F83" i="71"/>
  <c r="P84" i="71" s="1"/>
  <c r="F95" i="71"/>
  <c r="P95" i="71" s="1"/>
  <c r="F44" i="71"/>
  <c r="F69" i="71"/>
  <c r="F60" i="71"/>
  <c r="F35" i="71"/>
  <c r="G35" i="71" s="1"/>
  <c r="F31" i="71"/>
  <c r="G31" i="71" s="1"/>
  <c r="F93" i="71"/>
  <c r="P94" i="71" s="1"/>
  <c r="F80" i="71"/>
  <c r="P81" i="71" s="1"/>
  <c r="F92" i="71"/>
  <c r="P92" i="71" s="1"/>
  <c r="F96" i="71"/>
  <c r="P97" i="71" s="1"/>
  <c r="F57" i="71"/>
  <c r="B56" i="71"/>
  <c r="H55" i="71"/>
  <c r="K54" i="71"/>
  <c r="E56" i="71"/>
  <c r="G55" i="71"/>
  <c r="B56" i="69"/>
  <c r="E56" i="69"/>
  <c r="H55" i="69"/>
  <c r="I74" i="71"/>
  <c r="C23" i="71"/>
  <c r="D23" i="71" s="1"/>
  <c r="C98" i="71"/>
  <c r="C54" i="71"/>
  <c r="D54" i="71" s="1"/>
  <c r="C39" i="71"/>
  <c r="D39" i="71" s="1"/>
  <c r="C25" i="71"/>
  <c r="D25" i="71" s="1"/>
  <c r="C13" i="71"/>
  <c r="D13" i="71" s="1"/>
  <c r="C22" i="71"/>
  <c r="C31" i="71"/>
  <c r="D31" i="71" s="1"/>
  <c r="C95" i="71"/>
  <c r="C21" i="71"/>
  <c r="D21" i="71" s="1"/>
  <c r="C94" i="71"/>
  <c r="C97" i="71"/>
  <c r="C71" i="71"/>
  <c r="C15" i="71"/>
  <c r="D15" i="71" s="1"/>
  <c r="C53" i="71"/>
  <c r="D53" i="71" s="1"/>
  <c r="C91" i="71"/>
  <c r="C32" i="71"/>
  <c r="D32" i="71" s="1"/>
  <c r="C73" i="71"/>
  <c r="C78" i="71"/>
  <c r="C38" i="71"/>
  <c r="D38" i="71" s="1"/>
  <c r="I70" i="71"/>
  <c r="C52" i="71"/>
  <c r="D52" i="71" s="1"/>
  <c r="C24" i="71"/>
  <c r="C88" i="71"/>
  <c r="C44" i="71"/>
  <c r="C67" i="71"/>
  <c r="C29" i="71"/>
  <c r="C86" i="71"/>
  <c r="C79" i="71"/>
  <c r="C77" i="71"/>
  <c r="C57" i="71"/>
  <c r="C62" i="71"/>
  <c r="C28" i="71"/>
  <c r="D28" i="71" s="1"/>
  <c r="C89" i="71"/>
  <c r="C17" i="71"/>
  <c r="C18" i="71"/>
  <c r="C63" i="71"/>
  <c r="C20" i="71"/>
  <c r="D20" i="71" s="1"/>
  <c r="C85" i="71"/>
  <c r="C83" i="71"/>
  <c r="C99" i="71"/>
  <c r="C93" i="71"/>
  <c r="C41" i="71"/>
  <c r="D41" i="71" s="1"/>
  <c r="B56" i="72"/>
  <c r="K55" i="72"/>
  <c r="C35" i="71"/>
  <c r="C84" i="71"/>
  <c r="C19" i="71"/>
  <c r="O19" i="71" s="1"/>
  <c r="C34" i="71"/>
  <c r="D34" i="71" s="1"/>
  <c r="C30" i="71"/>
  <c r="D30" i="71" s="1"/>
  <c r="C12" i="71"/>
  <c r="C51" i="71"/>
  <c r="D51" i="71" s="1"/>
  <c r="C72" i="71"/>
  <c r="C68" i="71"/>
  <c r="C55" i="71"/>
  <c r="C76" i="71"/>
  <c r="C37" i="71"/>
  <c r="D37" i="71" s="1"/>
  <c r="C74" i="71"/>
  <c r="C80" i="71"/>
  <c r="C33" i="71"/>
  <c r="D33" i="71" s="1"/>
  <c r="C102" i="71"/>
  <c r="C56" i="71"/>
  <c r="C64" i="71"/>
  <c r="C14" i="71"/>
  <c r="D14" i="71" s="1"/>
  <c r="C60" i="71"/>
  <c r="C82" i="71"/>
  <c r="C42" i="71"/>
  <c r="D42" i="71" s="1"/>
  <c r="L5" i="71"/>
  <c r="I58" i="71"/>
  <c r="I102" i="71"/>
  <c r="C69" i="71"/>
  <c r="C26" i="71"/>
  <c r="D26" i="71" s="1"/>
  <c r="C90" i="71"/>
  <c r="C58" i="71"/>
  <c r="C92" i="71"/>
  <c r="C65" i="71"/>
  <c r="C40" i="71"/>
  <c r="C61" i="71"/>
  <c r="C81" i="71"/>
  <c r="C36" i="71"/>
  <c r="D36" i="71" s="1"/>
  <c r="C66" i="71"/>
  <c r="C70" i="71"/>
  <c r="C96" i="71"/>
  <c r="C59" i="71"/>
  <c r="C87" i="71"/>
  <c r="C100" i="71"/>
  <c r="C16" i="71"/>
  <c r="C27" i="71"/>
  <c r="D27" i="71" s="1"/>
  <c r="I22" i="71"/>
  <c r="J22" i="71" s="1"/>
  <c r="I33" i="71"/>
  <c r="J33" i="71" s="1"/>
  <c r="I56" i="71"/>
  <c r="I27" i="71"/>
  <c r="L27" i="71" s="1"/>
  <c r="M27" i="71" s="1"/>
  <c r="I29" i="71"/>
  <c r="J29" i="71" s="1"/>
  <c r="I16" i="71"/>
  <c r="J16" i="71" s="1"/>
  <c r="I62" i="71"/>
  <c r="I87" i="71"/>
  <c r="I69" i="71"/>
  <c r="I26" i="71"/>
  <c r="J26" i="71" s="1"/>
  <c r="I54" i="71"/>
  <c r="J54" i="71" s="1"/>
  <c r="I36" i="71"/>
  <c r="J36" i="71" s="1"/>
  <c r="I30" i="71"/>
  <c r="Q30" i="71" s="1"/>
  <c r="I40" i="71"/>
  <c r="I24" i="71"/>
  <c r="J24" i="71" s="1"/>
  <c r="I73" i="71"/>
  <c r="I94" i="71"/>
  <c r="I76" i="71"/>
  <c r="I71" i="71"/>
  <c r="I39" i="71"/>
  <c r="J39" i="71" s="1"/>
  <c r="I83" i="71"/>
  <c r="I61" i="71"/>
  <c r="L61" i="71" s="1"/>
  <c r="I15" i="71"/>
  <c r="F13" i="72"/>
  <c r="F21" i="72"/>
  <c r="F14" i="72"/>
  <c r="F15" i="72"/>
  <c r="F20" i="72"/>
  <c r="F16" i="72"/>
  <c r="F17" i="72"/>
  <c r="F18" i="72"/>
  <c r="F19" i="72"/>
  <c r="F22" i="72"/>
  <c r="F12" i="72"/>
  <c r="F23" i="72"/>
  <c r="F24" i="72"/>
  <c r="F25" i="72"/>
  <c r="F26" i="72"/>
  <c r="F27" i="72"/>
  <c r="F28" i="72"/>
  <c r="F29" i="72"/>
  <c r="F30" i="72"/>
  <c r="F31" i="72"/>
  <c r="F32" i="72"/>
  <c r="F33" i="72"/>
  <c r="F34" i="72"/>
  <c r="F35" i="72"/>
  <c r="F36" i="72"/>
  <c r="F37" i="72"/>
  <c r="F38" i="72"/>
  <c r="F39" i="72"/>
  <c r="F40" i="72"/>
  <c r="F41" i="72"/>
  <c r="F44" i="72"/>
  <c r="F42" i="72"/>
  <c r="F51" i="72"/>
  <c r="F52" i="72"/>
  <c r="F53" i="72"/>
  <c r="I21" i="72"/>
  <c r="I13" i="72"/>
  <c r="I17" i="72"/>
  <c r="I14" i="72"/>
  <c r="I16" i="72"/>
  <c r="I20" i="72"/>
  <c r="I19" i="72"/>
  <c r="I22" i="72"/>
  <c r="I15" i="72"/>
  <c r="I12" i="72"/>
  <c r="I18" i="72"/>
  <c r="I23" i="72"/>
  <c r="I24" i="72"/>
  <c r="I25" i="72"/>
  <c r="I26" i="72"/>
  <c r="I27" i="72"/>
  <c r="I28" i="72"/>
  <c r="I29" i="72"/>
  <c r="I30" i="72"/>
  <c r="I31" i="72"/>
  <c r="I32" i="72"/>
  <c r="I33" i="72"/>
  <c r="I34" i="72"/>
  <c r="I35" i="72"/>
  <c r="I36" i="72"/>
  <c r="I37" i="72"/>
  <c r="I38" i="72"/>
  <c r="I39" i="72"/>
  <c r="I40" i="72"/>
  <c r="I41" i="72"/>
  <c r="I42" i="72"/>
  <c r="I44" i="72"/>
  <c r="I51" i="72"/>
  <c r="I52" i="72"/>
  <c r="C6" i="72"/>
  <c r="C8" i="72" s="1"/>
  <c r="C54" i="72" s="1"/>
  <c r="L5" i="72"/>
  <c r="I98" i="71"/>
  <c r="I12" i="71"/>
  <c r="I90" i="71"/>
  <c r="I84" i="71"/>
  <c r="I77" i="71"/>
  <c r="I97" i="71"/>
  <c r="I42" i="71"/>
  <c r="I38" i="71"/>
  <c r="I51" i="71"/>
  <c r="J51" i="71" s="1"/>
  <c r="I21" i="71"/>
  <c r="I89" i="71"/>
  <c r="I23" i="71"/>
  <c r="J23" i="71" s="1"/>
  <c r="I34" i="71"/>
  <c r="I91" i="71"/>
  <c r="I75" i="71"/>
  <c r="I99" i="71"/>
  <c r="I31" i="71"/>
  <c r="I59" i="71"/>
  <c r="I41" i="71"/>
  <c r="I63" i="71"/>
  <c r="I68" i="71"/>
  <c r="I53" i="71"/>
  <c r="J53" i="71" s="1"/>
  <c r="I67" i="71"/>
  <c r="I52" i="71"/>
  <c r="I93" i="71"/>
  <c r="I37" i="71"/>
  <c r="I55" i="71"/>
  <c r="I85" i="71"/>
  <c r="I28" i="71"/>
  <c r="I86" i="71"/>
  <c r="I25" i="71"/>
  <c r="I18" i="71"/>
  <c r="I100" i="71"/>
  <c r="I32" i="71"/>
  <c r="I72" i="71"/>
  <c r="I95" i="71"/>
  <c r="I17" i="71"/>
  <c r="J17" i="71" s="1"/>
  <c r="I81" i="71"/>
  <c r="I65" i="71"/>
  <c r="I88" i="71"/>
  <c r="I66" i="71"/>
  <c r="I19" i="71"/>
  <c r="I79" i="71"/>
  <c r="I96" i="71"/>
  <c r="I60" i="71"/>
  <c r="I44" i="71"/>
  <c r="I57" i="71"/>
  <c r="I78" i="71"/>
  <c r="I20" i="71"/>
  <c r="I80" i="71"/>
  <c r="I92" i="71"/>
  <c r="I82" i="71"/>
  <c r="I14" i="71"/>
  <c r="I64" i="71"/>
  <c r="I13" i="71"/>
  <c r="J53" i="72"/>
  <c r="A55" i="72"/>
  <c r="I54" i="72"/>
  <c r="F54" i="72"/>
  <c r="P18" i="71"/>
  <c r="G18" i="71"/>
  <c r="P67" i="71"/>
  <c r="P63" i="71"/>
  <c r="G36" i="71"/>
  <c r="P61" i="71"/>
  <c r="P87" i="71"/>
  <c r="P100" i="71"/>
  <c r="P89" i="71"/>
  <c r="G39" i="71"/>
  <c r="P39" i="71"/>
  <c r="G17" i="71"/>
  <c r="P17" i="71"/>
  <c r="G27" i="71"/>
  <c r="P27" i="71"/>
  <c r="G14" i="71"/>
  <c r="P55" i="71"/>
  <c r="P77" i="71"/>
  <c r="P82" i="71"/>
  <c r="G42" i="71"/>
  <c r="G34" i="71"/>
  <c r="P99" i="71"/>
  <c r="P41" i="71"/>
  <c r="G41" i="71"/>
  <c r="P90" i="71"/>
  <c r="P52" i="71"/>
  <c r="P74" i="71"/>
  <c r="G37" i="71"/>
  <c r="P23" i="71"/>
  <c r="G23" i="71"/>
  <c r="P91" i="71"/>
  <c r="P65" i="71"/>
  <c r="P73" i="71"/>
  <c r="G38" i="71"/>
  <c r="P64" i="71"/>
  <c r="P28" i="71"/>
  <c r="G28" i="71"/>
  <c r="P40" i="71"/>
  <c r="G40" i="71"/>
  <c r="P16" i="71"/>
  <c r="G16" i="71"/>
  <c r="P56" i="71"/>
  <c r="G22" i="71"/>
  <c r="G26" i="71"/>
  <c r="P85" i="71"/>
  <c r="P86" i="71"/>
  <c r="P98" i="71"/>
  <c r="P62" i="71"/>
  <c r="P71" i="71"/>
  <c r="P88" i="71"/>
  <c r="G19" i="71"/>
  <c r="P19" i="71"/>
  <c r="G15" i="71"/>
  <c r="P15" i="71"/>
  <c r="P68" i="71"/>
  <c r="P24" i="71"/>
  <c r="G24" i="71"/>
  <c r="B54" i="49"/>
  <c r="E57" i="49"/>
  <c r="I13" i="70"/>
  <c r="J13" i="70" s="1"/>
  <c r="I32" i="70"/>
  <c r="J32" i="70" s="1"/>
  <c r="I18" i="70"/>
  <c r="J18" i="70" s="1"/>
  <c r="I17" i="70"/>
  <c r="I33" i="70"/>
  <c r="J33" i="70" s="1"/>
  <c r="I14" i="70"/>
  <c r="I22" i="70"/>
  <c r="I30" i="70"/>
  <c r="I25" i="70"/>
  <c r="J25" i="70" s="1"/>
  <c r="I29" i="70"/>
  <c r="J29" i="70" s="1"/>
  <c r="I26" i="70"/>
  <c r="I27" i="70"/>
  <c r="J27" i="70" s="1"/>
  <c r="I31" i="70"/>
  <c r="I24" i="70"/>
  <c r="J24" i="70" s="1"/>
  <c r="I15" i="70"/>
  <c r="I19" i="70"/>
  <c r="I35" i="70"/>
  <c r="J35" i="70" s="1"/>
  <c r="I20" i="70"/>
  <c r="J20" i="70" s="1"/>
  <c r="N9" i="68"/>
  <c r="K10" i="68" s="1"/>
  <c r="L10" i="68" s="1"/>
  <c r="I38" i="70"/>
  <c r="I21" i="70"/>
  <c r="J21" i="70" s="1"/>
  <c r="I12" i="70"/>
  <c r="I34" i="70"/>
  <c r="I23" i="70"/>
  <c r="I37" i="70"/>
  <c r="I36" i="70"/>
  <c r="J36" i="70" s="1"/>
  <c r="I16" i="70"/>
  <c r="J16" i="70" s="1"/>
  <c r="L5" i="70"/>
  <c r="C6" i="70"/>
  <c r="C8" i="70" s="1"/>
  <c r="C39" i="70" s="1"/>
  <c r="F35" i="70"/>
  <c r="F15" i="70"/>
  <c r="F19" i="70"/>
  <c r="F23" i="70"/>
  <c r="F27" i="70"/>
  <c r="F31" i="70"/>
  <c r="F16" i="70"/>
  <c r="F14" i="70"/>
  <c r="F20" i="70"/>
  <c r="F24" i="70"/>
  <c r="F28" i="70"/>
  <c r="F32" i="70"/>
  <c r="F12" i="70"/>
  <c r="F17" i="70"/>
  <c r="F21" i="70"/>
  <c r="F25" i="70"/>
  <c r="F29" i="70"/>
  <c r="F33" i="70"/>
  <c r="F13" i="70"/>
  <c r="F18" i="70"/>
  <c r="F22" i="70"/>
  <c r="F26" i="70"/>
  <c r="F30" i="70"/>
  <c r="F34" i="70"/>
  <c r="F36" i="70"/>
  <c r="F37" i="70"/>
  <c r="A40" i="70"/>
  <c r="H39" i="70"/>
  <c r="E39" i="70"/>
  <c r="B39" i="70"/>
  <c r="F39" i="70"/>
  <c r="I39" i="70"/>
  <c r="K38" i="70"/>
  <c r="G38" i="70"/>
  <c r="I32" i="69"/>
  <c r="F32" i="69"/>
  <c r="G32" i="69" s="1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P32" i="69" s="1"/>
  <c r="I14" i="69"/>
  <c r="I13" i="69"/>
  <c r="I12" i="69"/>
  <c r="I15" i="69"/>
  <c r="I16" i="69"/>
  <c r="I17" i="69"/>
  <c r="I18" i="69"/>
  <c r="I19" i="69"/>
  <c r="I20" i="69"/>
  <c r="I21" i="69"/>
  <c r="I22" i="69"/>
  <c r="I23" i="69"/>
  <c r="I24" i="69"/>
  <c r="I25" i="69"/>
  <c r="I26" i="69"/>
  <c r="I27" i="69"/>
  <c r="I28" i="69"/>
  <c r="I29" i="69"/>
  <c r="I30" i="69"/>
  <c r="I31" i="69"/>
  <c r="C6" i="69"/>
  <c r="C8" i="69" s="1"/>
  <c r="L5" i="69"/>
  <c r="J32" i="69"/>
  <c r="K32" i="69"/>
  <c r="A34" i="69"/>
  <c r="I33" i="69"/>
  <c r="H33" i="69"/>
  <c r="E33" i="69"/>
  <c r="B33" i="69"/>
  <c r="F33" i="69"/>
  <c r="P27" i="68"/>
  <c r="A28" i="68"/>
  <c r="F27" i="68"/>
  <c r="B27" i="68"/>
  <c r="J27" i="68"/>
  <c r="M26" i="68"/>
  <c r="AC28" i="43"/>
  <c r="AB29" i="43"/>
  <c r="K25" i="64"/>
  <c r="A27" i="64"/>
  <c r="B26" i="64"/>
  <c r="E26" i="64"/>
  <c r="H26" i="64"/>
  <c r="A26" i="63"/>
  <c r="B25" i="63"/>
  <c r="F25" i="63"/>
  <c r="J25" i="63"/>
  <c r="N24" i="63"/>
  <c r="S14" i="61"/>
  <c r="P51" i="71" l="1"/>
  <c r="G20" i="71"/>
  <c r="P21" i="71"/>
  <c r="P26" i="71"/>
  <c r="G25" i="71"/>
  <c r="G21" i="71"/>
  <c r="P53" i="71"/>
  <c r="G12" i="71"/>
  <c r="P54" i="71"/>
  <c r="P60" i="71"/>
  <c r="P37" i="71"/>
  <c r="P22" i="71"/>
  <c r="P70" i="71"/>
  <c r="P75" i="71"/>
  <c r="P83" i="71"/>
  <c r="P38" i="71"/>
  <c r="P42" i="71"/>
  <c r="P13" i="71"/>
  <c r="P79" i="71"/>
  <c r="P35" i="71"/>
  <c r="G13" i="71"/>
  <c r="P80" i="71"/>
  <c r="P31" i="71"/>
  <c r="F43" i="71"/>
  <c r="F45" i="71" s="1"/>
  <c r="L72" i="71"/>
  <c r="P32" i="71"/>
  <c r="F101" i="71"/>
  <c r="F103" i="71" s="1"/>
  <c r="P96" i="71"/>
  <c r="G32" i="71"/>
  <c r="P58" i="71"/>
  <c r="P57" i="71"/>
  <c r="P93" i="71"/>
  <c r="G33" i="71"/>
  <c r="L79" i="71"/>
  <c r="P33" i="71"/>
  <c r="P29" i="71"/>
  <c r="P69" i="71"/>
  <c r="P30" i="71"/>
  <c r="O55" i="71"/>
  <c r="L52" i="71"/>
  <c r="M52" i="71" s="1"/>
  <c r="J52" i="71"/>
  <c r="O40" i="71"/>
  <c r="D55" i="71"/>
  <c r="E57" i="69"/>
  <c r="J55" i="71"/>
  <c r="H56" i="71"/>
  <c r="K56" i="71" s="1"/>
  <c r="E57" i="71"/>
  <c r="G56" i="71"/>
  <c r="K55" i="71"/>
  <c r="B57" i="71"/>
  <c r="D56" i="71"/>
  <c r="H56" i="69"/>
  <c r="B57" i="69"/>
  <c r="O13" i="71"/>
  <c r="L74" i="71"/>
  <c r="O64" i="71"/>
  <c r="O24" i="71"/>
  <c r="O88" i="71"/>
  <c r="O72" i="71"/>
  <c r="O32" i="71"/>
  <c r="O60" i="71"/>
  <c r="D40" i="71"/>
  <c r="Q70" i="71"/>
  <c r="O87" i="71"/>
  <c r="L102" i="71"/>
  <c r="L44" i="71"/>
  <c r="L37" i="71"/>
  <c r="M37" i="71" s="1"/>
  <c r="O84" i="71"/>
  <c r="O37" i="71"/>
  <c r="L16" i="71"/>
  <c r="M16" i="71" s="1"/>
  <c r="O70" i="71"/>
  <c r="O68" i="71"/>
  <c r="O73" i="71"/>
  <c r="Q74" i="71"/>
  <c r="D19" i="71"/>
  <c r="O35" i="71"/>
  <c r="O67" i="71"/>
  <c r="O15" i="71"/>
  <c r="O61" i="71"/>
  <c r="O66" i="71"/>
  <c r="O36" i="71"/>
  <c r="O90" i="71"/>
  <c r="L73" i="71"/>
  <c r="O75" i="71"/>
  <c r="O21" i="71"/>
  <c r="O99" i="71"/>
  <c r="Q26" i="71"/>
  <c r="L67" i="71"/>
  <c r="L89" i="71"/>
  <c r="O71" i="71"/>
  <c r="L70" i="71"/>
  <c r="O98" i="71"/>
  <c r="O62" i="71"/>
  <c r="Q27" i="71"/>
  <c r="O89" i="71"/>
  <c r="O31" i="71"/>
  <c r="O100" i="71"/>
  <c r="L35" i="71"/>
  <c r="M35" i="71" s="1"/>
  <c r="D35" i="71"/>
  <c r="L58" i="71"/>
  <c r="O74" i="71"/>
  <c r="L30" i="71"/>
  <c r="M30" i="71" s="1"/>
  <c r="L20" i="71"/>
  <c r="M20" i="71" s="1"/>
  <c r="L66" i="71"/>
  <c r="L34" i="71"/>
  <c r="M34" i="71" s="1"/>
  <c r="J30" i="71"/>
  <c r="L29" i="71"/>
  <c r="M29" i="71" s="1"/>
  <c r="L100" i="71"/>
  <c r="L93" i="71"/>
  <c r="L68" i="71"/>
  <c r="L77" i="71"/>
  <c r="L71" i="71"/>
  <c r="L92" i="71"/>
  <c r="L41" i="71"/>
  <c r="M41" i="71" s="1"/>
  <c r="L42" i="71"/>
  <c r="M42" i="71" s="1"/>
  <c r="L90" i="71"/>
  <c r="O29" i="71"/>
  <c r="L53" i="71"/>
  <c r="M53" i="71" s="1"/>
  <c r="O94" i="71"/>
  <c r="O22" i="71"/>
  <c r="Q22" i="71"/>
  <c r="L40" i="71"/>
  <c r="M40" i="71" s="1"/>
  <c r="O42" i="71"/>
  <c r="D22" i="71"/>
  <c r="O93" i="71"/>
  <c r="O77" i="71"/>
  <c r="L55" i="71"/>
  <c r="O85" i="71"/>
  <c r="O17" i="71"/>
  <c r="O51" i="71"/>
  <c r="O96" i="71"/>
  <c r="D24" i="71"/>
  <c r="O92" i="71"/>
  <c r="L56" i="71"/>
  <c r="O30" i="71"/>
  <c r="O54" i="71"/>
  <c r="O41" i="71"/>
  <c r="O80" i="71"/>
  <c r="O25" i="71"/>
  <c r="D29" i="71"/>
  <c r="O23" i="71"/>
  <c r="O12" i="71"/>
  <c r="O57" i="71"/>
  <c r="D17" i="71"/>
  <c r="O79" i="71"/>
  <c r="O81" i="71"/>
  <c r="L69" i="71"/>
  <c r="L22" i="71"/>
  <c r="M22" i="71" s="1"/>
  <c r="L80" i="71"/>
  <c r="O82" i="71"/>
  <c r="C43" i="71"/>
  <c r="C45" i="71" s="1"/>
  <c r="O58" i="71"/>
  <c r="O78" i="71"/>
  <c r="O16" i="71"/>
  <c r="L12" i="71"/>
  <c r="N12" i="71" s="1"/>
  <c r="O56" i="71"/>
  <c r="D12" i="71"/>
  <c r="O69" i="71"/>
  <c r="O95" i="71"/>
  <c r="O53" i="71"/>
  <c r="D16" i="71"/>
  <c r="L96" i="71"/>
  <c r="L84" i="71"/>
  <c r="O65" i="71"/>
  <c r="O18" i="71"/>
  <c r="L26" i="71"/>
  <c r="M26" i="71" s="1"/>
  <c r="L33" i="71"/>
  <c r="M33" i="71" s="1"/>
  <c r="C101" i="71"/>
  <c r="C103" i="71" s="1"/>
  <c r="O83" i="71"/>
  <c r="O63" i="71"/>
  <c r="O86" i="71"/>
  <c r="O38" i="71"/>
  <c r="O91" i="71"/>
  <c r="O97" i="71"/>
  <c r="O39" i="71"/>
  <c r="O14" i="71"/>
  <c r="O33" i="71"/>
  <c r="O76" i="71"/>
  <c r="O59" i="71"/>
  <c r="L36" i="71"/>
  <c r="O20" i="71"/>
  <c r="D18" i="71"/>
  <c r="O52" i="71"/>
  <c r="J27" i="71"/>
  <c r="L65" i="71"/>
  <c r="O34" i="71"/>
  <c r="O28" i="71"/>
  <c r="L87" i="71"/>
  <c r="O26" i="71"/>
  <c r="O27" i="71"/>
  <c r="Q71" i="71"/>
  <c r="L86" i="71"/>
  <c r="L91" i="71"/>
  <c r="L97" i="71"/>
  <c r="Q36" i="71"/>
  <c r="Q15" i="71"/>
  <c r="Q28" i="71"/>
  <c r="L31" i="71"/>
  <c r="M31" i="71" s="1"/>
  <c r="L51" i="71"/>
  <c r="M51" i="71" s="1"/>
  <c r="B57" i="72"/>
  <c r="K56" i="72"/>
  <c r="L62" i="71"/>
  <c r="L54" i="71"/>
  <c r="M54" i="71" s="1"/>
  <c r="Q16" i="71"/>
  <c r="J40" i="71"/>
  <c r="L94" i="71"/>
  <c r="L24" i="71"/>
  <c r="M24" i="71" s="1"/>
  <c r="L76" i="71"/>
  <c r="Q57" i="71"/>
  <c r="Q62" i="71"/>
  <c r="Q61" i="71"/>
  <c r="L39" i="71"/>
  <c r="L75" i="71"/>
  <c r="L83" i="71"/>
  <c r="Q40" i="71"/>
  <c r="Q56" i="71"/>
  <c r="L14" i="71"/>
  <c r="M14" i="71" s="1"/>
  <c r="I43" i="71"/>
  <c r="I45" i="71" s="1"/>
  <c r="J15" i="71"/>
  <c r="L17" i="71"/>
  <c r="M17" i="71" s="1"/>
  <c r="L15" i="71"/>
  <c r="M15" i="71" s="1"/>
  <c r="L57" i="71"/>
  <c r="L28" i="71"/>
  <c r="M28" i="71" s="1"/>
  <c r="Q35" i="71"/>
  <c r="Q69" i="71"/>
  <c r="Q73" i="71"/>
  <c r="L60" i="71"/>
  <c r="G53" i="72"/>
  <c r="Q58" i="71"/>
  <c r="Q76" i="71"/>
  <c r="Q82" i="71"/>
  <c r="L82" i="71"/>
  <c r="Q78" i="71"/>
  <c r="Q96" i="71"/>
  <c r="Q88" i="71"/>
  <c r="Q95" i="71"/>
  <c r="Q18" i="71"/>
  <c r="J18" i="71"/>
  <c r="Q85" i="71"/>
  <c r="Q52" i="71"/>
  <c r="Q63" i="71"/>
  <c r="Q99" i="71"/>
  <c r="J38" i="71"/>
  <c r="Q38" i="71"/>
  <c r="Q39" i="71"/>
  <c r="Q84" i="71"/>
  <c r="L78" i="71"/>
  <c r="J52" i="72"/>
  <c r="J41" i="72"/>
  <c r="J37" i="72"/>
  <c r="J33" i="72"/>
  <c r="J29" i="72"/>
  <c r="J25" i="72"/>
  <c r="J12" i="72"/>
  <c r="I43" i="72"/>
  <c r="I45" i="72" s="1"/>
  <c r="J20" i="72"/>
  <c r="J13" i="72"/>
  <c r="Q23" i="71"/>
  <c r="G52" i="72"/>
  <c r="G41" i="72"/>
  <c r="G37" i="72"/>
  <c r="G33" i="72"/>
  <c r="G29" i="72"/>
  <c r="G25" i="72"/>
  <c r="G22" i="72"/>
  <c r="G16" i="72"/>
  <c r="G21" i="72"/>
  <c r="L23" i="71"/>
  <c r="M23" i="71" s="1"/>
  <c r="Q59" i="71"/>
  <c r="I101" i="71"/>
  <c r="I103" i="71" s="1"/>
  <c r="L85" i="71"/>
  <c r="Q13" i="71"/>
  <c r="J13" i="71"/>
  <c r="Q92" i="71"/>
  <c r="Q79" i="71"/>
  <c r="Q65" i="71"/>
  <c r="Q72" i="71"/>
  <c r="Q25" i="71"/>
  <c r="J25" i="71"/>
  <c r="Q55" i="71"/>
  <c r="Q67" i="71"/>
  <c r="Q41" i="71"/>
  <c r="J41" i="71"/>
  <c r="Q89" i="71"/>
  <c r="J42" i="71"/>
  <c r="Q42" i="71"/>
  <c r="Q90" i="71"/>
  <c r="Q24" i="71"/>
  <c r="J51" i="72"/>
  <c r="J40" i="72"/>
  <c r="J36" i="72"/>
  <c r="J32" i="72"/>
  <c r="J28" i="72"/>
  <c r="J24" i="72"/>
  <c r="J15" i="72"/>
  <c r="J16" i="72"/>
  <c r="J21" i="72"/>
  <c r="L25" i="71"/>
  <c r="G51" i="72"/>
  <c r="G40" i="72"/>
  <c r="G36" i="72"/>
  <c r="G32" i="72"/>
  <c r="G28" i="72"/>
  <c r="G24" i="72"/>
  <c r="G19" i="72"/>
  <c r="G20" i="72"/>
  <c r="G13" i="72"/>
  <c r="Q64" i="71"/>
  <c r="Q80" i="71"/>
  <c r="Q19" i="71"/>
  <c r="J19" i="71"/>
  <c r="Q81" i="71"/>
  <c r="Q32" i="71"/>
  <c r="J32" i="71"/>
  <c r="Q86" i="71"/>
  <c r="Q37" i="71"/>
  <c r="J37" i="71"/>
  <c r="Q53" i="71"/>
  <c r="Q54" i="71"/>
  <c r="Q91" i="71"/>
  <c r="Q21" i="71"/>
  <c r="J21" i="71"/>
  <c r="Q97" i="71"/>
  <c r="J12" i="71"/>
  <c r="Q12" i="71"/>
  <c r="L95" i="71"/>
  <c r="C15" i="72"/>
  <c r="C16" i="72"/>
  <c r="C19" i="72"/>
  <c r="C21" i="72"/>
  <c r="L21" i="72" s="1"/>
  <c r="C20" i="72"/>
  <c r="C14" i="72"/>
  <c r="C18" i="72"/>
  <c r="C13" i="72"/>
  <c r="L13" i="72" s="1"/>
  <c r="C22" i="72"/>
  <c r="L22" i="72" s="1"/>
  <c r="C12" i="72"/>
  <c r="C17" i="72"/>
  <c r="L17" i="72" s="1"/>
  <c r="C23" i="72"/>
  <c r="L23" i="72" s="1"/>
  <c r="C24" i="72"/>
  <c r="L24" i="72" s="1"/>
  <c r="C25" i="72"/>
  <c r="C26" i="72"/>
  <c r="C27" i="72"/>
  <c r="L27" i="72" s="1"/>
  <c r="C28" i="72"/>
  <c r="L28" i="72" s="1"/>
  <c r="C29" i="72"/>
  <c r="L29" i="72" s="1"/>
  <c r="C30" i="72"/>
  <c r="C31" i="72"/>
  <c r="L31" i="72" s="1"/>
  <c r="C32" i="72"/>
  <c r="L32" i="72" s="1"/>
  <c r="C33" i="72"/>
  <c r="L33" i="72" s="1"/>
  <c r="C34" i="72"/>
  <c r="C35" i="72"/>
  <c r="L35" i="72" s="1"/>
  <c r="C36" i="72"/>
  <c r="C37" i="72"/>
  <c r="C38" i="72"/>
  <c r="C39" i="72"/>
  <c r="L39" i="72" s="1"/>
  <c r="C40" i="72"/>
  <c r="C41" i="72"/>
  <c r="C42" i="72"/>
  <c r="C44" i="72"/>
  <c r="L44" i="72" s="1"/>
  <c r="C51" i="72"/>
  <c r="C52" i="72"/>
  <c r="L52" i="72" s="1"/>
  <c r="C53" i="72"/>
  <c r="J39" i="72"/>
  <c r="J35" i="72"/>
  <c r="J31" i="72"/>
  <c r="J27" i="72"/>
  <c r="J23" i="72"/>
  <c r="J22" i="72"/>
  <c r="J14" i="72"/>
  <c r="L19" i="71"/>
  <c r="M19" i="71" s="1"/>
  <c r="G42" i="72"/>
  <c r="G39" i="72"/>
  <c r="G35" i="72"/>
  <c r="G31" i="72"/>
  <c r="G27" i="72"/>
  <c r="G23" i="72"/>
  <c r="G18" i="72"/>
  <c r="G15" i="72"/>
  <c r="Q83" i="71"/>
  <c r="L32" i="71"/>
  <c r="L64" i="71"/>
  <c r="L81" i="71"/>
  <c r="L59" i="71"/>
  <c r="L38" i="71"/>
  <c r="L21" i="71"/>
  <c r="L99" i="71"/>
  <c r="L18" i="71"/>
  <c r="M18" i="71" s="1"/>
  <c r="L63" i="71"/>
  <c r="L88" i="71"/>
  <c r="J14" i="71"/>
  <c r="Q14" i="71"/>
  <c r="J20" i="71"/>
  <c r="Q20" i="71"/>
  <c r="Q60" i="71"/>
  <c r="Q66" i="71"/>
  <c r="Q100" i="71"/>
  <c r="J28" i="71"/>
  <c r="Q29" i="71"/>
  <c r="Q93" i="71"/>
  <c r="Q94" i="71"/>
  <c r="Q68" i="71"/>
  <c r="Q31" i="71"/>
  <c r="J31" i="71"/>
  <c r="Q34" i="71"/>
  <c r="J34" i="71"/>
  <c r="Q51" i="71"/>
  <c r="Q77" i="71"/>
  <c r="Q98" i="71"/>
  <c r="L13" i="71"/>
  <c r="Q75" i="71"/>
  <c r="J42" i="72"/>
  <c r="J38" i="72"/>
  <c r="J34" i="72"/>
  <c r="J30" i="72"/>
  <c r="J26" i="72"/>
  <c r="J18" i="72"/>
  <c r="J19" i="72"/>
  <c r="J17" i="72"/>
  <c r="Q17" i="71"/>
  <c r="L98" i="71"/>
  <c r="G38" i="72"/>
  <c r="G34" i="72"/>
  <c r="G30" i="72"/>
  <c r="G26" i="72"/>
  <c r="G12" i="72"/>
  <c r="F43" i="72"/>
  <c r="F45" i="72" s="1"/>
  <c r="G17" i="72"/>
  <c r="G14" i="72"/>
  <c r="Q33" i="71"/>
  <c r="Q87" i="71"/>
  <c r="L54" i="72"/>
  <c r="J54" i="72"/>
  <c r="A56" i="72"/>
  <c r="I55" i="72"/>
  <c r="F55" i="72"/>
  <c r="C55" i="72"/>
  <c r="D54" i="72"/>
  <c r="G54" i="72"/>
  <c r="E58" i="49"/>
  <c r="E59" i="49" s="1"/>
  <c r="B55" i="49"/>
  <c r="B56" i="49" s="1"/>
  <c r="J14" i="70"/>
  <c r="O9" i="68"/>
  <c r="J17" i="70"/>
  <c r="J30" i="70"/>
  <c r="J22" i="70"/>
  <c r="J12" i="70"/>
  <c r="J26" i="70"/>
  <c r="J15" i="70"/>
  <c r="J38" i="70"/>
  <c r="J23" i="70"/>
  <c r="J31" i="70"/>
  <c r="J19" i="70"/>
  <c r="G10" i="68"/>
  <c r="I10" i="68" s="1"/>
  <c r="C10" i="68"/>
  <c r="E10" i="68" s="1"/>
  <c r="J34" i="70"/>
  <c r="J37" i="70"/>
  <c r="K39" i="70"/>
  <c r="G30" i="70"/>
  <c r="G13" i="70"/>
  <c r="G21" i="70"/>
  <c r="G28" i="70"/>
  <c r="G16" i="70"/>
  <c r="G19" i="70"/>
  <c r="G37" i="70"/>
  <c r="G26" i="70"/>
  <c r="G33" i="70"/>
  <c r="G17" i="70"/>
  <c r="G24" i="70"/>
  <c r="G31" i="70"/>
  <c r="G15" i="70"/>
  <c r="G36" i="70"/>
  <c r="G22" i="70"/>
  <c r="G29" i="70"/>
  <c r="G12" i="70"/>
  <c r="G20" i="70"/>
  <c r="G27" i="70"/>
  <c r="G35" i="70"/>
  <c r="G34" i="70"/>
  <c r="G18" i="70"/>
  <c r="G25" i="70"/>
  <c r="G32" i="70"/>
  <c r="G14" i="70"/>
  <c r="G23" i="70"/>
  <c r="C35" i="70"/>
  <c r="C15" i="70"/>
  <c r="C19" i="70"/>
  <c r="C21" i="70"/>
  <c r="L21" i="70" s="1"/>
  <c r="C25" i="70"/>
  <c r="C29" i="70"/>
  <c r="C33" i="70"/>
  <c r="L33" i="70" s="1"/>
  <c r="C36" i="70"/>
  <c r="L36" i="70" s="1"/>
  <c r="C20" i="70"/>
  <c r="C13" i="70"/>
  <c r="C22" i="70"/>
  <c r="C26" i="70"/>
  <c r="L26" i="70" s="1"/>
  <c r="C30" i="70"/>
  <c r="C34" i="70"/>
  <c r="C16" i="70"/>
  <c r="L16" i="70" s="1"/>
  <c r="C12" i="70"/>
  <c r="C23" i="70"/>
  <c r="C27" i="70"/>
  <c r="C31" i="70"/>
  <c r="L31" i="70" s="1"/>
  <c r="C18" i="70"/>
  <c r="L18" i="70" s="1"/>
  <c r="C14" i="70"/>
  <c r="L14" i="70" s="1"/>
  <c r="C17" i="70"/>
  <c r="L17" i="70" s="1"/>
  <c r="C24" i="70"/>
  <c r="C28" i="70"/>
  <c r="C32" i="70"/>
  <c r="C37" i="70"/>
  <c r="C38" i="70"/>
  <c r="J39" i="70"/>
  <c r="L39" i="70"/>
  <c r="G39" i="70"/>
  <c r="A41" i="70"/>
  <c r="H40" i="70"/>
  <c r="E40" i="70"/>
  <c r="B40" i="70"/>
  <c r="F40" i="70"/>
  <c r="I40" i="70"/>
  <c r="C40" i="70"/>
  <c r="D39" i="70"/>
  <c r="Q32" i="69"/>
  <c r="C12" i="69"/>
  <c r="C14" i="69"/>
  <c r="C13" i="69"/>
  <c r="L13" i="69" s="1"/>
  <c r="C15" i="69"/>
  <c r="L15" i="69" s="1"/>
  <c r="C16" i="69"/>
  <c r="L16" i="69" s="1"/>
  <c r="C17" i="69"/>
  <c r="L17" i="69" s="1"/>
  <c r="C18" i="69"/>
  <c r="L18" i="69" s="1"/>
  <c r="C19" i="69"/>
  <c r="L19" i="69" s="1"/>
  <c r="C20" i="69"/>
  <c r="L20" i="69" s="1"/>
  <c r="C21" i="69"/>
  <c r="L21" i="69" s="1"/>
  <c r="C22" i="69"/>
  <c r="L22" i="69" s="1"/>
  <c r="C23" i="69"/>
  <c r="L23" i="69" s="1"/>
  <c r="C24" i="69"/>
  <c r="L24" i="69" s="1"/>
  <c r="C25" i="69"/>
  <c r="L25" i="69" s="1"/>
  <c r="C26" i="69"/>
  <c r="L26" i="69" s="1"/>
  <c r="C27" i="69"/>
  <c r="L27" i="69" s="1"/>
  <c r="C28" i="69"/>
  <c r="L28" i="69" s="1"/>
  <c r="C29" i="69"/>
  <c r="L29" i="69" s="1"/>
  <c r="C30" i="69"/>
  <c r="L30" i="69" s="1"/>
  <c r="C31" i="69"/>
  <c r="L31" i="69" s="1"/>
  <c r="C32" i="69"/>
  <c r="Q31" i="69"/>
  <c r="J31" i="69"/>
  <c r="Q27" i="69"/>
  <c r="J27" i="69"/>
  <c r="Q23" i="69"/>
  <c r="J23" i="69"/>
  <c r="Q19" i="69"/>
  <c r="J19" i="69"/>
  <c r="Q15" i="69"/>
  <c r="J15" i="69"/>
  <c r="G31" i="69"/>
  <c r="P31" i="69"/>
  <c r="G27" i="69"/>
  <c r="P27" i="69"/>
  <c r="P23" i="69"/>
  <c r="G23" i="69"/>
  <c r="P19" i="69"/>
  <c r="G19" i="69"/>
  <c r="P15" i="69"/>
  <c r="G15" i="69"/>
  <c r="C33" i="69"/>
  <c r="L33" i="69" s="1"/>
  <c r="Q30" i="69"/>
  <c r="J30" i="69"/>
  <c r="Q26" i="69"/>
  <c r="J26" i="69"/>
  <c r="Q22" i="69"/>
  <c r="J22" i="69"/>
  <c r="Q18" i="69"/>
  <c r="J18" i="69"/>
  <c r="J12" i="69"/>
  <c r="Q12" i="69"/>
  <c r="L12" i="69"/>
  <c r="G30" i="69"/>
  <c r="P30" i="69"/>
  <c r="P26" i="69"/>
  <c r="G26" i="69"/>
  <c r="G22" i="69"/>
  <c r="P22" i="69"/>
  <c r="P18" i="69"/>
  <c r="G18" i="69"/>
  <c r="P14" i="69"/>
  <c r="G14" i="69"/>
  <c r="J29" i="69"/>
  <c r="Q29" i="69"/>
  <c r="Q25" i="69"/>
  <c r="J25" i="69"/>
  <c r="J21" i="69"/>
  <c r="Q21" i="69"/>
  <c r="Q17" i="69"/>
  <c r="J17" i="69"/>
  <c r="J13" i="69"/>
  <c r="Q13" i="69"/>
  <c r="G29" i="69"/>
  <c r="P29" i="69"/>
  <c r="G25" i="69"/>
  <c r="P25" i="69"/>
  <c r="P21" i="69"/>
  <c r="G21" i="69"/>
  <c r="G17" i="69"/>
  <c r="P17" i="69"/>
  <c r="G13" i="69"/>
  <c r="P13" i="69"/>
  <c r="J28" i="69"/>
  <c r="Q28" i="69"/>
  <c r="Q24" i="69"/>
  <c r="J24" i="69"/>
  <c r="J20" i="69"/>
  <c r="Q20" i="69"/>
  <c r="J16" i="69"/>
  <c r="Q16" i="69"/>
  <c r="Q14" i="69"/>
  <c r="J14" i="69"/>
  <c r="P28" i="69"/>
  <c r="G28" i="69"/>
  <c r="P24" i="69"/>
  <c r="G24" i="69"/>
  <c r="G20" i="69"/>
  <c r="P20" i="69"/>
  <c r="P16" i="69"/>
  <c r="G16" i="69"/>
  <c r="G12" i="69"/>
  <c r="P12" i="69"/>
  <c r="G33" i="69"/>
  <c r="P33" i="69"/>
  <c r="Q33" i="69"/>
  <c r="J33" i="69"/>
  <c r="K33" i="69"/>
  <c r="A35" i="69"/>
  <c r="E34" i="69"/>
  <c r="I34" i="69"/>
  <c r="H34" i="69"/>
  <c r="F34" i="69"/>
  <c r="C34" i="69"/>
  <c r="B34" i="69"/>
  <c r="M27" i="68"/>
  <c r="A29" i="68"/>
  <c r="P28" i="68"/>
  <c r="B28" i="68"/>
  <c r="F28" i="68"/>
  <c r="J28" i="68"/>
  <c r="AB30" i="43"/>
  <c r="AC29" i="43"/>
  <c r="N25" i="63"/>
  <c r="K26" i="64"/>
  <c r="A28" i="64"/>
  <c r="B27" i="64"/>
  <c r="E27" i="64"/>
  <c r="H27" i="64"/>
  <c r="A27" i="63"/>
  <c r="F26" i="63"/>
  <c r="B26" i="63"/>
  <c r="J26" i="63"/>
  <c r="S15" i="61"/>
  <c r="F105" i="71" l="1"/>
  <c r="M55" i="71"/>
  <c r="M56" i="71"/>
  <c r="H57" i="69"/>
  <c r="B58" i="71"/>
  <c r="D57" i="71"/>
  <c r="J56" i="71"/>
  <c r="H57" i="71"/>
  <c r="K57" i="71" s="1"/>
  <c r="M57" i="71" s="1"/>
  <c r="B58" i="69"/>
  <c r="E58" i="69"/>
  <c r="G57" i="71"/>
  <c r="E58" i="71"/>
  <c r="N74" i="71"/>
  <c r="N59" i="71"/>
  <c r="N30" i="71"/>
  <c r="N36" i="71"/>
  <c r="N67" i="71"/>
  <c r="N35" i="71"/>
  <c r="N73" i="71"/>
  <c r="N100" i="71"/>
  <c r="M36" i="71"/>
  <c r="N71" i="71"/>
  <c r="N52" i="71"/>
  <c r="N75" i="71"/>
  <c r="N37" i="71"/>
  <c r="N70" i="71"/>
  <c r="N97" i="71"/>
  <c r="N31" i="71"/>
  <c r="N90" i="71"/>
  <c r="N72" i="71"/>
  <c r="N63" i="71"/>
  <c r="N87" i="71"/>
  <c r="N32" i="71"/>
  <c r="N34" i="71"/>
  <c r="N66" i="71"/>
  <c r="N93" i="71"/>
  <c r="N27" i="71"/>
  <c r="N22" i="71"/>
  <c r="C105" i="71"/>
  <c r="N94" i="71"/>
  <c r="N41" i="71"/>
  <c r="N53" i="71"/>
  <c r="N81" i="71"/>
  <c r="N54" i="71"/>
  <c r="N40" i="71"/>
  <c r="N68" i="71"/>
  <c r="N69" i="71"/>
  <c r="N51" i="71"/>
  <c r="N92" i="71"/>
  <c r="N42" i="71"/>
  <c r="N58" i="71"/>
  <c r="N55" i="71"/>
  <c r="N39" i="71"/>
  <c r="N96" i="71"/>
  <c r="N17" i="71"/>
  <c r="N20" i="71"/>
  <c r="N26" i="71"/>
  <c r="M12" i="71"/>
  <c r="N56" i="71"/>
  <c r="N80" i="71"/>
  <c r="N76" i="71"/>
  <c r="N91" i="71"/>
  <c r="N85" i="71"/>
  <c r="N19" i="71"/>
  <c r="N77" i="71"/>
  <c r="B58" i="72"/>
  <c r="K57" i="72"/>
  <c r="M39" i="71"/>
  <c r="N62" i="71"/>
  <c r="N89" i="71"/>
  <c r="M21" i="71"/>
  <c r="N28" i="71"/>
  <c r="N84" i="71"/>
  <c r="N86" i="71"/>
  <c r="N16" i="71"/>
  <c r="N57" i="71"/>
  <c r="N33" i="71"/>
  <c r="N29" i="71"/>
  <c r="I105" i="71"/>
  <c r="N61" i="71"/>
  <c r="N78" i="71"/>
  <c r="M38" i="71"/>
  <c r="N60" i="71"/>
  <c r="N79" i="71"/>
  <c r="N15" i="71"/>
  <c r="N24" i="71"/>
  <c r="N95" i="71"/>
  <c r="N64" i="71"/>
  <c r="N18" i="71"/>
  <c r="N23" i="71"/>
  <c r="N98" i="71"/>
  <c r="N99" i="71"/>
  <c r="N21" i="71"/>
  <c r="N65" i="71"/>
  <c r="M52" i="72"/>
  <c r="M17" i="72"/>
  <c r="M13" i="72"/>
  <c r="M21" i="72"/>
  <c r="D53" i="72"/>
  <c r="D38" i="72"/>
  <c r="D34" i="72"/>
  <c r="D26" i="72"/>
  <c r="D18" i="72"/>
  <c r="M24" i="72"/>
  <c r="M32" i="72"/>
  <c r="L43" i="71"/>
  <c r="L45" i="71" s="1"/>
  <c r="L48" i="71" s="1"/>
  <c r="L18" i="72"/>
  <c r="L38" i="72"/>
  <c r="M23" i="72"/>
  <c r="D41" i="72"/>
  <c r="D29" i="72"/>
  <c r="D12" i="72"/>
  <c r="C43" i="72"/>
  <c r="C45" i="72" s="1"/>
  <c r="D16" i="72"/>
  <c r="L101" i="71"/>
  <c r="L103" i="71" s="1"/>
  <c r="M32" i="71"/>
  <c r="M13" i="71"/>
  <c r="N14" i="71"/>
  <c r="N82" i="71"/>
  <c r="D51" i="72"/>
  <c r="D40" i="72"/>
  <c r="D36" i="72"/>
  <c r="D32" i="72"/>
  <c r="D28" i="72"/>
  <c r="D24" i="72"/>
  <c r="D22" i="72"/>
  <c r="D20" i="72"/>
  <c r="D15" i="72"/>
  <c r="L16" i="72"/>
  <c r="L15" i="72"/>
  <c r="L36" i="72"/>
  <c r="L40" i="72"/>
  <c r="L51" i="72"/>
  <c r="L53" i="72"/>
  <c r="L20" i="72"/>
  <c r="N88" i="71"/>
  <c r="M27" i="72"/>
  <c r="M39" i="72"/>
  <c r="D42" i="72"/>
  <c r="D30" i="72"/>
  <c r="D17" i="72"/>
  <c r="D19" i="72"/>
  <c r="M28" i="72"/>
  <c r="M29" i="72"/>
  <c r="M33" i="72"/>
  <c r="N83" i="71"/>
  <c r="L19" i="72"/>
  <c r="L34" i="72"/>
  <c r="D52" i="72"/>
  <c r="D37" i="72"/>
  <c r="D33" i="72"/>
  <c r="D25" i="72"/>
  <c r="D14" i="72"/>
  <c r="N25" i="71"/>
  <c r="M25" i="71"/>
  <c r="L41" i="72"/>
  <c r="N38" i="71"/>
  <c r="L26" i="72"/>
  <c r="L30" i="72"/>
  <c r="L42" i="72"/>
  <c r="L14" i="72"/>
  <c r="M22" i="72"/>
  <c r="M31" i="72"/>
  <c r="M35" i="72"/>
  <c r="D39" i="72"/>
  <c r="D35" i="72"/>
  <c r="D31" i="72"/>
  <c r="D27" i="72"/>
  <c r="D23" i="72"/>
  <c r="D13" i="72"/>
  <c r="D21" i="72"/>
  <c r="L12" i="72"/>
  <c r="L25" i="72"/>
  <c r="L37" i="72"/>
  <c r="N13" i="71"/>
  <c r="G55" i="72"/>
  <c r="L55" i="72"/>
  <c r="J55" i="72"/>
  <c r="A57" i="72"/>
  <c r="I56" i="72"/>
  <c r="F56" i="72"/>
  <c r="C56" i="72"/>
  <c r="M54" i="72"/>
  <c r="D55" i="72"/>
  <c r="B57" i="49"/>
  <c r="E60" i="49"/>
  <c r="N10" i="68"/>
  <c r="C11" i="68" s="1"/>
  <c r="E11" i="68" s="1"/>
  <c r="M18" i="70"/>
  <c r="M26" i="70"/>
  <c r="M36" i="70"/>
  <c r="M31" i="70"/>
  <c r="M16" i="70"/>
  <c r="M33" i="70"/>
  <c r="M17" i="70"/>
  <c r="D37" i="70"/>
  <c r="D17" i="70"/>
  <c r="D27" i="70"/>
  <c r="L27" i="70"/>
  <c r="D34" i="70"/>
  <c r="D13" i="70"/>
  <c r="D29" i="70"/>
  <c r="D15" i="70"/>
  <c r="L15" i="70"/>
  <c r="L37" i="70"/>
  <c r="K40" i="70"/>
  <c r="M14" i="70"/>
  <c r="D32" i="70"/>
  <c r="D14" i="70"/>
  <c r="D23" i="70"/>
  <c r="D30" i="70"/>
  <c r="D20" i="70"/>
  <c r="D25" i="70"/>
  <c r="D35" i="70"/>
  <c r="L13" i="70"/>
  <c r="L35" i="70"/>
  <c r="M21" i="70"/>
  <c r="D28" i="70"/>
  <c r="D18" i="70"/>
  <c r="D12" i="70"/>
  <c r="D26" i="70"/>
  <c r="D36" i="70"/>
  <c r="D21" i="70"/>
  <c r="L12" i="70"/>
  <c r="L32" i="70"/>
  <c r="L30" i="70"/>
  <c r="L28" i="70"/>
  <c r="L23" i="70"/>
  <c r="L29" i="70"/>
  <c r="D38" i="70"/>
  <c r="L38" i="70"/>
  <c r="D24" i="70"/>
  <c r="D31" i="70"/>
  <c r="D16" i="70"/>
  <c r="D22" i="70"/>
  <c r="D33" i="70"/>
  <c r="D19" i="70"/>
  <c r="L19" i="70"/>
  <c r="L34" i="70"/>
  <c r="L20" i="70"/>
  <c r="L24" i="70"/>
  <c r="L25" i="70"/>
  <c r="L22" i="70"/>
  <c r="G40" i="70"/>
  <c r="A42" i="70"/>
  <c r="B41" i="70"/>
  <c r="E41" i="70"/>
  <c r="H41" i="70"/>
  <c r="I41" i="70"/>
  <c r="F41" i="70"/>
  <c r="C41" i="70"/>
  <c r="M39" i="70"/>
  <c r="D40" i="70"/>
  <c r="J40" i="70"/>
  <c r="L40" i="70"/>
  <c r="D33" i="69"/>
  <c r="O33" i="69"/>
  <c r="K34" i="69"/>
  <c r="M20" i="69"/>
  <c r="N20" i="69"/>
  <c r="N28" i="69"/>
  <c r="M28" i="69"/>
  <c r="M17" i="69"/>
  <c r="N17" i="69"/>
  <c r="D31" i="69"/>
  <c r="O31" i="69"/>
  <c r="O27" i="69"/>
  <c r="D27" i="69"/>
  <c r="O23" i="69"/>
  <c r="D23" i="69"/>
  <c r="D19" i="69"/>
  <c r="O19" i="69"/>
  <c r="D15" i="69"/>
  <c r="O15" i="69"/>
  <c r="M13" i="69"/>
  <c r="N13" i="69"/>
  <c r="N22" i="69"/>
  <c r="M22" i="69"/>
  <c r="N26" i="69"/>
  <c r="M26" i="69"/>
  <c r="N31" i="69"/>
  <c r="M31" i="69"/>
  <c r="D30" i="69"/>
  <c r="O30" i="69"/>
  <c r="O26" i="69"/>
  <c r="D26" i="69"/>
  <c r="D22" i="69"/>
  <c r="O22" i="69"/>
  <c r="D18" i="69"/>
  <c r="O18" i="69"/>
  <c r="D13" i="69"/>
  <c r="O13" i="69"/>
  <c r="N25" i="69"/>
  <c r="M25" i="69"/>
  <c r="M29" i="69"/>
  <c r="N29" i="69"/>
  <c r="N12" i="69"/>
  <c r="M12" i="69"/>
  <c r="N18" i="69"/>
  <c r="M18" i="69"/>
  <c r="M30" i="69"/>
  <c r="N30" i="69"/>
  <c r="M15" i="69"/>
  <c r="N27" i="69"/>
  <c r="M27" i="69"/>
  <c r="O29" i="69"/>
  <c r="D29" i="69"/>
  <c r="D25" i="69"/>
  <c r="O25" i="69"/>
  <c r="O21" i="69"/>
  <c r="D21" i="69"/>
  <c r="O17" i="69"/>
  <c r="D17" i="69"/>
  <c r="L14" i="69"/>
  <c r="N15" i="69" s="1"/>
  <c r="D14" i="69"/>
  <c r="O14" i="69"/>
  <c r="N16" i="69"/>
  <c r="M16" i="69"/>
  <c r="M24" i="69"/>
  <c r="N24" i="69"/>
  <c r="N21" i="69"/>
  <c r="M21" i="69"/>
  <c r="M19" i="69"/>
  <c r="N19" i="69"/>
  <c r="N23" i="69"/>
  <c r="M23" i="69"/>
  <c r="O32" i="69"/>
  <c r="L32" i="69"/>
  <c r="N33" i="69" s="1"/>
  <c r="D32" i="69"/>
  <c r="O28" i="69"/>
  <c r="D28" i="69"/>
  <c r="O24" i="69"/>
  <c r="D24" i="69"/>
  <c r="O20" i="69"/>
  <c r="D20" i="69"/>
  <c r="D16" i="69"/>
  <c r="O16" i="69"/>
  <c r="D12" i="69"/>
  <c r="O12" i="69"/>
  <c r="L34" i="69"/>
  <c r="Q34" i="69"/>
  <c r="J34" i="69"/>
  <c r="M33" i="69"/>
  <c r="D34" i="69"/>
  <c r="O34" i="69"/>
  <c r="P34" i="69"/>
  <c r="G34" i="69"/>
  <c r="A36" i="69"/>
  <c r="B35" i="69"/>
  <c r="H35" i="69"/>
  <c r="I35" i="69"/>
  <c r="C35" i="69"/>
  <c r="E35" i="69"/>
  <c r="F35" i="69"/>
  <c r="M28" i="68"/>
  <c r="P29" i="68"/>
  <c r="A30" i="68"/>
  <c r="B29" i="68"/>
  <c r="F29" i="68"/>
  <c r="J29" i="68"/>
  <c r="AC30" i="43"/>
  <c r="AB31" i="43"/>
  <c r="K27" i="64"/>
  <c r="A29" i="64"/>
  <c r="E28" i="64"/>
  <c r="B28" i="64"/>
  <c r="H28" i="64"/>
  <c r="A28" i="63"/>
  <c r="F27" i="63"/>
  <c r="B27" i="63"/>
  <c r="J27" i="63"/>
  <c r="N26" i="63"/>
  <c r="S16" i="61"/>
  <c r="E59" i="69" l="1"/>
  <c r="J57" i="71"/>
  <c r="H58" i="71"/>
  <c r="B59" i="71"/>
  <c r="D58" i="71"/>
  <c r="G58" i="71"/>
  <c r="E59" i="71"/>
  <c r="B59" i="69"/>
  <c r="H58" i="69"/>
  <c r="L105" i="71"/>
  <c r="L108" i="71" s="1"/>
  <c r="K58" i="72"/>
  <c r="B59" i="72"/>
  <c r="M12" i="72"/>
  <c r="L43" i="72"/>
  <c r="L45" i="72" s="1"/>
  <c r="L48" i="72" s="1"/>
  <c r="M36" i="72"/>
  <c r="M41" i="72"/>
  <c r="M53" i="72"/>
  <c r="M38" i="72"/>
  <c r="M37" i="72"/>
  <c r="M26" i="72"/>
  <c r="M51" i="72"/>
  <c r="M16" i="72"/>
  <c r="M18" i="72"/>
  <c r="M42" i="72"/>
  <c r="M19" i="72"/>
  <c r="M20" i="72"/>
  <c r="M30" i="72"/>
  <c r="M15" i="72"/>
  <c r="M25" i="72"/>
  <c r="M14" i="72"/>
  <c r="M34" i="72"/>
  <c r="M40" i="72"/>
  <c r="L56" i="72"/>
  <c r="J56" i="72"/>
  <c r="A58" i="72"/>
  <c r="F57" i="72"/>
  <c r="I57" i="72"/>
  <c r="C57" i="72"/>
  <c r="D56" i="72"/>
  <c r="G56" i="72"/>
  <c r="M55" i="72"/>
  <c r="E61" i="49"/>
  <c r="E62" i="49" s="1"/>
  <c r="B58" i="49"/>
  <c r="B59" i="49" s="1"/>
  <c r="G11" i="68"/>
  <c r="I11" i="68" s="1"/>
  <c r="O10" i="68"/>
  <c r="K11" i="68"/>
  <c r="M24" i="70"/>
  <c r="M23" i="70"/>
  <c r="M12" i="70"/>
  <c r="M15" i="70"/>
  <c r="M27" i="70"/>
  <c r="M20" i="70"/>
  <c r="M28" i="70"/>
  <c r="M35" i="70"/>
  <c r="M22" i="70"/>
  <c r="M34" i="70"/>
  <c r="M38" i="70"/>
  <c r="M30" i="70"/>
  <c r="M13" i="70"/>
  <c r="M25" i="70"/>
  <c r="M19" i="70"/>
  <c r="M29" i="70"/>
  <c r="M32" i="70"/>
  <c r="M37" i="70"/>
  <c r="M40" i="70"/>
  <c r="G41" i="70"/>
  <c r="K41" i="70"/>
  <c r="L41" i="70"/>
  <c r="J41" i="70"/>
  <c r="A51" i="70"/>
  <c r="F42" i="70"/>
  <c r="I42" i="70"/>
  <c r="F44" i="70"/>
  <c r="I44" i="70"/>
  <c r="C42" i="70"/>
  <c r="C44" i="70"/>
  <c r="D41" i="70"/>
  <c r="N32" i="69"/>
  <c r="M32" i="69"/>
  <c r="M14" i="69"/>
  <c r="N14" i="69"/>
  <c r="G35" i="69"/>
  <c r="P35" i="69"/>
  <c r="K35" i="69"/>
  <c r="O35" i="69"/>
  <c r="D35" i="69"/>
  <c r="A37" i="69"/>
  <c r="I36" i="69"/>
  <c r="H36" i="69"/>
  <c r="E36" i="69"/>
  <c r="B36" i="69"/>
  <c r="F36" i="69"/>
  <c r="C36" i="69"/>
  <c r="Q35" i="69"/>
  <c r="L35" i="69"/>
  <c r="J35" i="69"/>
  <c r="N34" i="69"/>
  <c r="M34" i="69"/>
  <c r="M29" i="68"/>
  <c r="P30" i="68"/>
  <c r="A31" i="68"/>
  <c r="F30" i="68"/>
  <c r="B30" i="68"/>
  <c r="J30" i="68"/>
  <c r="AB32" i="43"/>
  <c r="AC31" i="43"/>
  <c r="A30" i="64"/>
  <c r="B29" i="64"/>
  <c r="E29" i="64"/>
  <c r="H29" i="64"/>
  <c r="K28" i="64"/>
  <c r="A29" i="63"/>
  <c r="F28" i="63"/>
  <c r="B28" i="63"/>
  <c r="J28" i="63"/>
  <c r="N27" i="63"/>
  <c r="S17" i="61"/>
  <c r="H59" i="69" l="1"/>
  <c r="J58" i="71"/>
  <c r="H59" i="71"/>
  <c r="K59" i="71" s="1"/>
  <c r="M59" i="71" s="1"/>
  <c r="K58" i="71"/>
  <c r="M58" i="71" s="1"/>
  <c r="B60" i="69"/>
  <c r="E60" i="71"/>
  <c r="G59" i="71"/>
  <c r="D59" i="71"/>
  <c r="B60" i="71"/>
  <c r="E60" i="69"/>
  <c r="B60" i="72"/>
  <c r="K59" i="72"/>
  <c r="L57" i="72"/>
  <c r="J57" i="72"/>
  <c r="G57" i="72"/>
  <c r="M56" i="72"/>
  <c r="A59" i="72"/>
  <c r="I58" i="72"/>
  <c r="F58" i="72"/>
  <c r="C58" i="72"/>
  <c r="D57" i="72"/>
  <c r="B60" i="49"/>
  <c r="E63" i="49"/>
  <c r="L11" i="68"/>
  <c r="N11" i="68"/>
  <c r="L44" i="70"/>
  <c r="A52" i="70"/>
  <c r="F51" i="70"/>
  <c r="I51" i="70"/>
  <c r="C51" i="70"/>
  <c r="M41" i="70"/>
  <c r="L42" i="70"/>
  <c r="J42" i="70"/>
  <c r="I43" i="70"/>
  <c r="D42" i="70"/>
  <c r="C43" i="70"/>
  <c r="G42" i="70"/>
  <c r="F43" i="70"/>
  <c r="O36" i="69"/>
  <c r="D36" i="69"/>
  <c r="G36" i="69"/>
  <c r="P36" i="69"/>
  <c r="J36" i="69"/>
  <c r="Q36" i="69"/>
  <c r="L36" i="69"/>
  <c r="M35" i="69"/>
  <c r="N35" i="69"/>
  <c r="K36" i="69"/>
  <c r="A38" i="69"/>
  <c r="F37" i="69"/>
  <c r="C37" i="69"/>
  <c r="E37" i="69"/>
  <c r="B37" i="69"/>
  <c r="H37" i="69"/>
  <c r="I37" i="69"/>
  <c r="M30" i="68"/>
  <c r="P31" i="68"/>
  <c r="A32" i="68"/>
  <c r="F31" i="68"/>
  <c r="B31" i="68"/>
  <c r="J31" i="68"/>
  <c r="AC32" i="43"/>
  <c r="AB33" i="43"/>
  <c r="K29" i="64"/>
  <c r="A31" i="64"/>
  <c r="E30" i="64"/>
  <c r="B30" i="64"/>
  <c r="H30" i="64"/>
  <c r="A30" i="63"/>
  <c r="F29" i="63"/>
  <c r="B29" i="63"/>
  <c r="J29" i="63"/>
  <c r="N28" i="63"/>
  <c r="S18" i="61"/>
  <c r="E61" i="69" l="1"/>
  <c r="B61" i="69"/>
  <c r="H60" i="69"/>
  <c r="E61" i="71"/>
  <c r="G60" i="71"/>
  <c r="J59" i="71"/>
  <c r="H60" i="71"/>
  <c r="B61" i="71"/>
  <c r="D60" i="71"/>
  <c r="K60" i="72"/>
  <c r="B61" i="72"/>
  <c r="A60" i="72"/>
  <c r="F59" i="72"/>
  <c r="I59" i="72"/>
  <c r="C59" i="72"/>
  <c r="G58" i="72"/>
  <c r="M57" i="72"/>
  <c r="D58" i="72"/>
  <c r="L58" i="72"/>
  <c r="J58" i="72"/>
  <c r="E64" i="49"/>
  <c r="E65" i="49" s="1"/>
  <c r="B61" i="49"/>
  <c r="B62" i="49" s="1"/>
  <c r="O11" i="68"/>
  <c r="G12" i="68"/>
  <c r="I12" i="68" s="1"/>
  <c r="C12" i="68"/>
  <c r="E12" i="68" s="1"/>
  <c r="K12" i="68"/>
  <c r="F45" i="70"/>
  <c r="I45" i="70"/>
  <c r="C45" i="70"/>
  <c r="D51" i="70"/>
  <c r="K51" i="70"/>
  <c r="M42" i="70"/>
  <c r="L43" i="70"/>
  <c r="L45" i="70" s="1"/>
  <c r="L48" i="70" s="1"/>
  <c r="L51" i="70"/>
  <c r="J51" i="70"/>
  <c r="G51" i="70"/>
  <c r="A53" i="70"/>
  <c r="I52" i="70"/>
  <c r="F52" i="70"/>
  <c r="C52" i="70"/>
  <c r="K37" i="69"/>
  <c r="Q37" i="69"/>
  <c r="J37" i="69"/>
  <c r="L37" i="69"/>
  <c r="P37" i="69"/>
  <c r="G37" i="69"/>
  <c r="N36" i="69"/>
  <c r="M36" i="69"/>
  <c r="A39" i="69"/>
  <c r="C38" i="69"/>
  <c r="H38" i="69"/>
  <c r="E38" i="69"/>
  <c r="B38" i="69"/>
  <c r="F38" i="69"/>
  <c r="I38" i="69"/>
  <c r="O37" i="69"/>
  <c r="D37" i="69"/>
  <c r="P32" i="68"/>
  <c r="A33" i="68"/>
  <c r="F32" i="68"/>
  <c r="B32" i="68"/>
  <c r="J32" i="68"/>
  <c r="M31" i="68"/>
  <c r="AB34" i="43"/>
  <c r="AC33" i="43"/>
  <c r="A32" i="64"/>
  <c r="E31" i="64"/>
  <c r="B31" i="64"/>
  <c r="H31" i="64"/>
  <c r="K30" i="64"/>
  <c r="A31" i="63"/>
  <c r="F30" i="63"/>
  <c r="B30" i="63"/>
  <c r="J30" i="63"/>
  <c r="N29" i="63"/>
  <c r="S19" i="61"/>
  <c r="J60" i="71" l="1"/>
  <c r="H61" i="71"/>
  <c r="B62" i="71"/>
  <c r="D61" i="71"/>
  <c r="E62" i="71"/>
  <c r="G61" i="71"/>
  <c r="B62" i="69"/>
  <c r="K60" i="71"/>
  <c r="M60" i="71" s="1"/>
  <c r="H61" i="69"/>
  <c r="E62" i="69"/>
  <c r="K61" i="72"/>
  <c r="B62" i="72"/>
  <c r="M58" i="72"/>
  <c r="D59" i="72"/>
  <c r="L59" i="72"/>
  <c r="J59" i="72"/>
  <c r="G59" i="72"/>
  <c r="A61" i="72"/>
  <c r="F60" i="72"/>
  <c r="I60" i="72"/>
  <c r="C60" i="72"/>
  <c r="B63" i="49"/>
  <c r="E66" i="49"/>
  <c r="L12" i="68"/>
  <c r="N12" i="68"/>
  <c r="G52" i="70"/>
  <c r="A54" i="70"/>
  <c r="F53" i="70"/>
  <c r="I53" i="70"/>
  <c r="C53" i="70"/>
  <c r="L52" i="70"/>
  <c r="J52" i="70"/>
  <c r="K52" i="70"/>
  <c r="M51" i="70"/>
  <c r="D52" i="70"/>
  <c r="D38" i="69"/>
  <c r="O38" i="69"/>
  <c r="K38" i="69"/>
  <c r="A40" i="69"/>
  <c r="H39" i="69"/>
  <c r="F39" i="69"/>
  <c r="B39" i="69"/>
  <c r="E39" i="69"/>
  <c r="I39" i="69"/>
  <c r="C39" i="69"/>
  <c r="M37" i="69"/>
  <c r="N37" i="69"/>
  <c r="L38" i="69"/>
  <c r="J38" i="69"/>
  <c r="Q38" i="69"/>
  <c r="P38" i="69"/>
  <c r="G38" i="69"/>
  <c r="M32" i="68"/>
  <c r="P33" i="68"/>
  <c r="A34" i="68"/>
  <c r="F33" i="68"/>
  <c r="B33" i="68"/>
  <c r="J33" i="68"/>
  <c r="AC34" i="43"/>
  <c r="AB35" i="43"/>
  <c r="A33" i="64"/>
  <c r="B32" i="64"/>
  <c r="E32" i="64"/>
  <c r="H32" i="64"/>
  <c r="K31" i="64"/>
  <c r="A32" i="63"/>
  <c r="F31" i="63"/>
  <c r="B31" i="63"/>
  <c r="J31" i="63"/>
  <c r="N30" i="63"/>
  <c r="S20" i="61"/>
  <c r="E63" i="69" l="1"/>
  <c r="H62" i="69"/>
  <c r="D62" i="71"/>
  <c r="B63" i="71"/>
  <c r="E63" i="71"/>
  <c r="G62" i="71"/>
  <c r="J61" i="71"/>
  <c r="H62" i="71"/>
  <c r="B63" i="69"/>
  <c r="K61" i="71"/>
  <c r="M61" i="71" s="1"/>
  <c r="K62" i="72"/>
  <c r="B63" i="72"/>
  <c r="A62" i="72"/>
  <c r="F61" i="72"/>
  <c r="I61" i="72"/>
  <c r="C61" i="72"/>
  <c r="M59" i="72"/>
  <c r="D60" i="72"/>
  <c r="L60" i="72"/>
  <c r="J60" i="72"/>
  <c r="G60" i="72"/>
  <c r="E67" i="49"/>
  <c r="E68" i="49" s="1"/>
  <c r="B64" i="49"/>
  <c r="B65" i="49" s="1"/>
  <c r="G13" i="68"/>
  <c r="I13" i="68" s="1"/>
  <c r="K13" i="68"/>
  <c r="C13" i="68"/>
  <c r="E13" i="68" s="1"/>
  <c r="O12" i="68"/>
  <c r="G53" i="70"/>
  <c r="A55" i="70"/>
  <c r="F54" i="70"/>
  <c r="I54" i="70"/>
  <c r="C54" i="70"/>
  <c r="M52" i="70"/>
  <c r="K53" i="70"/>
  <c r="D53" i="70"/>
  <c r="J53" i="70"/>
  <c r="L53" i="70"/>
  <c r="K39" i="69"/>
  <c r="N38" i="69"/>
  <c r="M38" i="69"/>
  <c r="Q39" i="69"/>
  <c r="L39" i="69"/>
  <c r="J39" i="69"/>
  <c r="A41" i="69"/>
  <c r="H40" i="69"/>
  <c r="E40" i="69"/>
  <c r="I40" i="69"/>
  <c r="B40" i="69"/>
  <c r="F40" i="69"/>
  <c r="C40" i="69"/>
  <c r="O39" i="69"/>
  <c r="D39" i="69"/>
  <c r="G39" i="69"/>
  <c r="P39" i="69"/>
  <c r="M33" i="68"/>
  <c r="A35" i="68"/>
  <c r="P34" i="68"/>
  <c r="B34" i="68"/>
  <c r="F34" i="68"/>
  <c r="J34" i="68"/>
  <c r="N31" i="63"/>
  <c r="AC35" i="43"/>
  <c r="AB36" i="43"/>
  <c r="A34" i="64"/>
  <c r="B33" i="64"/>
  <c r="E33" i="64"/>
  <c r="H33" i="64"/>
  <c r="K32" i="64"/>
  <c r="A33" i="63"/>
  <c r="F32" i="63"/>
  <c r="B32" i="63"/>
  <c r="J32" i="63"/>
  <c r="S21" i="61"/>
  <c r="B64" i="69" l="1"/>
  <c r="G63" i="71"/>
  <c r="E64" i="71"/>
  <c r="H63" i="69"/>
  <c r="H63" i="71"/>
  <c r="K63" i="71" s="1"/>
  <c r="M63" i="71" s="1"/>
  <c r="J62" i="71"/>
  <c r="K62" i="71"/>
  <c r="M62" i="71" s="1"/>
  <c r="B64" i="71"/>
  <c r="D63" i="71"/>
  <c r="E64" i="69"/>
  <c r="K63" i="72"/>
  <c r="B64" i="72"/>
  <c r="D61" i="72"/>
  <c r="M60" i="72"/>
  <c r="L61" i="72"/>
  <c r="J61" i="72"/>
  <c r="G61" i="72"/>
  <c r="A63" i="72"/>
  <c r="I62" i="72"/>
  <c r="F62" i="72"/>
  <c r="C62" i="72"/>
  <c r="E69" i="49"/>
  <c r="B66" i="49"/>
  <c r="L13" i="68"/>
  <c r="N13" i="68"/>
  <c r="K54" i="70"/>
  <c r="G54" i="70"/>
  <c r="A56" i="70"/>
  <c r="I55" i="70"/>
  <c r="F55" i="70"/>
  <c r="C55" i="70"/>
  <c r="M53" i="70"/>
  <c r="D54" i="70"/>
  <c r="J54" i="70"/>
  <c r="L54" i="70"/>
  <c r="J40" i="69"/>
  <c r="Q40" i="69"/>
  <c r="L40" i="69"/>
  <c r="O40" i="69"/>
  <c r="D40" i="69"/>
  <c r="N39" i="69"/>
  <c r="M39" i="69"/>
  <c r="G40" i="69"/>
  <c r="P40" i="69"/>
  <c r="K40" i="69"/>
  <c r="A42" i="69"/>
  <c r="A51" i="69" s="1"/>
  <c r="E41" i="69"/>
  <c r="C41" i="69"/>
  <c r="I41" i="69"/>
  <c r="F41" i="69"/>
  <c r="H41" i="69"/>
  <c r="B41" i="69"/>
  <c r="AC36" i="43"/>
  <c r="AB37" i="43"/>
  <c r="M34" i="68"/>
  <c r="P35" i="68"/>
  <c r="A36" i="68"/>
  <c r="F35" i="68"/>
  <c r="B35" i="68"/>
  <c r="J35" i="68"/>
  <c r="K33" i="64"/>
  <c r="A35" i="64"/>
  <c r="E34" i="64"/>
  <c r="B34" i="64"/>
  <c r="H34" i="64"/>
  <c r="N32" i="63"/>
  <c r="A34" i="63"/>
  <c r="F33" i="63"/>
  <c r="B33" i="63"/>
  <c r="J33" i="63"/>
  <c r="S22" i="61"/>
  <c r="E65" i="69" l="1"/>
  <c r="B65" i="71"/>
  <c r="D64" i="71"/>
  <c r="H64" i="69"/>
  <c r="E65" i="71"/>
  <c r="G64" i="71"/>
  <c r="H64" i="71"/>
  <c r="J63" i="71"/>
  <c r="B65" i="69"/>
  <c r="B65" i="72"/>
  <c r="K64" i="72"/>
  <c r="L62" i="72"/>
  <c r="J62" i="72"/>
  <c r="A64" i="72"/>
  <c r="F63" i="72"/>
  <c r="I63" i="72"/>
  <c r="C63" i="72"/>
  <c r="M61" i="72"/>
  <c r="D62" i="72"/>
  <c r="G62" i="72"/>
  <c r="E70" i="49"/>
  <c r="E71" i="49" s="1"/>
  <c r="B67" i="49"/>
  <c r="B68" i="49" s="1"/>
  <c r="O13" i="68"/>
  <c r="G14" i="68"/>
  <c r="I14" i="68" s="1"/>
  <c r="C14" i="68"/>
  <c r="E14" i="68" s="1"/>
  <c r="K14" i="68"/>
  <c r="D55" i="70"/>
  <c r="G55" i="70"/>
  <c r="L55" i="70"/>
  <c r="J55" i="70"/>
  <c r="A57" i="70"/>
  <c r="F56" i="70"/>
  <c r="I56" i="70"/>
  <c r="C56" i="70"/>
  <c r="K55" i="70"/>
  <c r="M54" i="70"/>
  <c r="A52" i="69"/>
  <c r="F51" i="69"/>
  <c r="G51" i="69" s="1"/>
  <c r="I51" i="69"/>
  <c r="J51" i="69" s="1"/>
  <c r="C51" i="69"/>
  <c r="D51" i="69" s="1"/>
  <c r="K41" i="69"/>
  <c r="G41" i="69"/>
  <c r="P41" i="69"/>
  <c r="I42" i="69"/>
  <c r="F44" i="69"/>
  <c r="I44" i="69"/>
  <c r="C44" i="69"/>
  <c r="C42" i="69"/>
  <c r="F42" i="69"/>
  <c r="N40" i="69"/>
  <c r="M40" i="69"/>
  <c r="Q41" i="69"/>
  <c r="L41" i="69"/>
  <c r="J41" i="69"/>
  <c r="O41" i="69"/>
  <c r="D41" i="69"/>
  <c r="AB38" i="43"/>
  <c r="AC37" i="43"/>
  <c r="M35" i="68"/>
  <c r="A37" i="68"/>
  <c r="P36" i="68"/>
  <c r="B36" i="68"/>
  <c r="F36" i="68"/>
  <c r="J36" i="68"/>
  <c r="K34" i="64"/>
  <c r="A36" i="64"/>
  <c r="B35" i="64"/>
  <c r="E35" i="64"/>
  <c r="H35" i="64"/>
  <c r="N33" i="63"/>
  <c r="A35" i="63"/>
  <c r="F34" i="63"/>
  <c r="B34" i="63"/>
  <c r="J34" i="63"/>
  <c r="S23" i="61"/>
  <c r="J64" i="71" l="1"/>
  <c r="H65" i="71"/>
  <c r="B66" i="69"/>
  <c r="G65" i="71"/>
  <c r="E66" i="71"/>
  <c r="H65" i="69"/>
  <c r="B66" i="71"/>
  <c r="D65" i="71"/>
  <c r="K64" i="71"/>
  <c r="M64" i="71" s="1"/>
  <c r="E66" i="69"/>
  <c r="B66" i="72"/>
  <c r="K65" i="72"/>
  <c r="D63" i="72"/>
  <c r="L63" i="72"/>
  <c r="J63" i="72"/>
  <c r="G63" i="72"/>
  <c r="M62" i="72"/>
  <c r="A65" i="72"/>
  <c r="F64" i="72"/>
  <c r="I64" i="72"/>
  <c r="C64" i="72"/>
  <c r="E72" i="49"/>
  <c r="B69" i="49"/>
  <c r="L14" i="68"/>
  <c r="N14" i="68"/>
  <c r="K15" i="68" s="1"/>
  <c r="K56" i="70"/>
  <c r="D56" i="70"/>
  <c r="M55" i="70"/>
  <c r="L56" i="70"/>
  <c r="J56" i="70"/>
  <c r="G56" i="70"/>
  <c r="A58" i="70"/>
  <c r="F57" i="70"/>
  <c r="I57" i="70"/>
  <c r="C57" i="70"/>
  <c r="K51" i="69"/>
  <c r="O51" i="69"/>
  <c r="Q51" i="69"/>
  <c r="L51" i="69"/>
  <c r="P51" i="69"/>
  <c r="A53" i="69"/>
  <c r="F52" i="69"/>
  <c r="G52" i="69" s="1"/>
  <c r="I52" i="69"/>
  <c r="J52" i="69" s="1"/>
  <c r="C52" i="69"/>
  <c r="D52" i="69" s="1"/>
  <c r="L44" i="69"/>
  <c r="P42" i="69"/>
  <c r="G42" i="69"/>
  <c r="F43" i="69"/>
  <c r="F45" i="69" s="1"/>
  <c r="Q42" i="69"/>
  <c r="L42" i="69"/>
  <c r="J42" i="69"/>
  <c r="I43" i="69"/>
  <c r="I45" i="69" s="1"/>
  <c r="O42" i="69"/>
  <c r="D42" i="69"/>
  <c r="C43" i="69"/>
  <c r="C45" i="69" s="1"/>
  <c r="M41" i="69"/>
  <c r="N41" i="69"/>
  <c r="AC38" i="43"/>
  <c r="AB39" i="43"/>
  <c r="M36" i="68"/>
  <c r="P37" i="68"/>
  <c r="A38" i="68"/>
  <c r="B37" i="68"/>
  <c r="F37" i="68"/>
  <c r="J37" i="68"/>
  <c r="K35" i="64"/>
  <c r="A37" i="64"/>
  <c r="E36" i="64"/>
  <c r="B36" i="64"/>
  <c r="H36" i="64"/>
  <c r="N34" i="63"/>
  <c r="A36" i="63"/>
  <c r="B35" i="63"/>
  <c r="F35" i="63"/>
  <c r="J35" i="63"/>
  <c r="S24" i="61"/>
  <c r="E67" i="69" l="1"/>
  <c r="G66" i="71"/>
  <c r="E67" i="71"/>
  <c r="J65" i="71"/>
  <c r="H66" i="71"/>
  <c r="K66" i="71" s="1"/>
  <c r="M66" i="71" s="1"/>
  <c r="H66" i="69"/>
  <c r="B67" i="69"/>
  <c r="K65" i="71"/>
  <c r="M65" i="71" s="1"/>
  <c r="D66" i="71"/>
  <c r="B67" i="71"/>
  <c r="B67" i="72"/>
  <c r="K66" i="72"/>
  <c r="G64" i="72"/>
  <c r="D64" i="72"/>
  <c r="M63" i="72"/>
  <c r="A66" i="72"/>
  <c r="F65" i="72"/>
  <c r="I65" i="72"/>
  <c r="C65" i="72"/>
  <c r="L64" i="72"/>
  <c r="J64" i="72"/>
  <c r="E73" i="49"/>
  <c r="E74" i="49" s="1"/>
  <c r="B70" i="49"/>
  <c r="B71" i="49" s="1"/>
  <c r="L15" i="68"/>
  <c r="C15" i="68"/>
  <c r="E15" i="68" s="1"/>
  <c r="O14" i="68"/>
  <c r="G15" i="68"/>
  <c r="I15" i="68" s="1"/>
  <c r="K57" i="70"/>
  <c r="D57" i="70"/>
  <c r="J57" i="70"/>
  <c r="L57" i="70"/>
  <c r="G57" i="70"/>
  <c r="A59" i="70"/>
  <c r="I58" i="70"/>
  <c r="F58" i="70"/>
  <c r="C58" i="70"/>
  <c r="M56" i="70"/>
  <c r="K52" i="69"/>
  <c r="Q52" i="69"/>
  <c r="P52" i="69"/>
  <c r="A54" i="69"/>
  <c r="I53" i="69"/>
  <c r="J53" i="69" s="1"/>
  <c r="F53" i="69"/>
  <c r="G53" i="69" s="1"/>
  <c r="C53" i="69"/>
  <c r="D53" i="69" s="1"/>
  <c r="N51" i="69"/>
  <c r="M51" i="69"/>
  <c r="L52" i="69"/>
  <c r="O52" i="69"/>
  <c r="M42" i="69"/>
  <c r="N42" i="69"/>
  <c r="L43" i="69"/>
  <c r="L45" i="69" s="1"/>
  <c r="L48" i="69" s="1"/>
  <c r="AC39" i="43"/>
  <c r="AB40" i="43"/>
  <c r="M37" i="68"/>
  <c r="P38" i="68"/>
  <c r="A39" i="68"/>
  <c r="P39" i="68" s="1"/>
  <c r="B38" i="68"/>
  <c r="F38" i="68"/>
  <c r="J38" i="68"/>
  <c r="K36" i="64"/>
  <c r="A38" i="64"/>
  <c r="B37" i="64"/>
  <c r="E37" i="64"/>
  <c r="H37" i="64"/>
  <c r="N35" i="63"/>
  <c r="A37" i="63"/>
  <c r="F36" i="63"/>
  <c r="B36" i="63"/>
  <c r="J36" i="63"/>
  <c r="S25" i="61"/>
  <c r="H67" i="71" l="1"/>
  <c r="K67" i="71" s="1"/>
  <c r="M67" i="71" s="1"/>
  <c r="J66" i="71"/>
  <c r="H67" i="69"/>
  <c r="E68" i="71"/>
  <c r="G67" i="71"/>
  <c r="D67" i="71"/>
  <c r="B68" i="71"/>
  <c r="B68" i="69"/>
  <c r="E68" i="69"/>
  <c r="B68" i="72"/>
  <c r="K67" i="72"/>
  <c r="G65" i="72"/>
  <c r="M64" i="72"/>
  <c r="A67" i="72"/>
  <c r="F66" i="72"/>
  <c r="I66" i="72"/>
  <c r="C66" i="72"/>
  <c r="D65" i="72"/>
  <c r="L65" i="72"/>
  <c r="J65" i="72"/>
  <c r="B72" i="49"/>
  <c r="E75" i="49"/>
  <c r="N15" i="68"/>
  <c r="K58" i="70"/>
  <c r="J58" i="70"/>
  <c r="L58" i="70"/>
  <c r="A60" i="70"/>
  <c r="F59" i="70"/>
  <c r="I59" i="70"/>
  <c r="C59" i="70"/>
  <c r="D58" i="70"/>
  <c r="G58" i="70"/>
  <c r="M57" i="70"/>
  <c r="O53" i="69"/>
  <c r="K53" i="69"/>
  <c r="P53" i="69"/>
  <c r="N52" i="69"/>
  <c r="M52" i="69"/>
  <c r="Q53" i="69"/>
  <c r="L53" i="69"/>
  <c r="A55" i="69"/>
  <c r="I54" i="69"/>
  <c r="J54" i="69" s="1"/>
  <c r="F54" i="69"/>
  <c r="G54" i="69" s="1"/>
  <c r="C54" i="69"/>
  <c r="D54" i="69" s="1"/>
  <c r="AC40" i="43"/>
  <c r="AB41" i="43"/>
  <c r="M38" i="68"/>
  <c r="K37" i="64"/>
  <c r="A39" i="64"/>
  <c r="E38" i="64"/>
  <c r="B38" i="64"/>
  <c r="H38" i="64"/>
  <c r="A38" i="63"/>
  <c r="B37" i="63"/>
  <c r="F37" i="63"/>
  <c r="J37" i="63"/>
  <c r="N36" i="63"/>
  <c r="S26" i="61"/>
  <c r="B69" i="69" l="1"/>
  <c r="B69" i="71"/>
  <c r="D68" i="71"/>
  <c r="H68" i="69"/>
  <c r="E69" i="69"/>
  <c r="E69" i="71"/>
  <c r="G68" i="71"/>
  <c r="H68" i="71"/>
  <c r="K68" i="71" s="1"/>
  <c r="M68" i="71" s="1"/>
  <c r="J67" i="71"/>
  <c r="K68" i="72"/>
  <c r="B69" i="72"/>
  <c r="M65" i="72"/>
  <c r="A68" i="72"/>
  <c r="F67" i="72"/>
  <c r="I67" i="72"/>
  <c r="C67" i="72"/>
  <c r="D66" i="72"/>
  <c r="L66" i="72"/>
  <c r="J66" i="72"/>
  <c r="G66" i="72"/>
  <c r="B73" i="49"/>
  <c r="B74" i="49" s="1"/>
  <c r="E76" i="49"/>
  <c r="E77" i="49" s="1"/>
  <c r="K16" i="68"/>
  <c r="G16" i="68"/>
  <c r="I16" i="68" s="1"/>
  <c r="C16" i="68"/>
  <c r="E16" i="68" s="1"/>
  <c r="O15" i="68"/>
  <c r="K59" i="70"/>
  <c r="G59" i="70"/>
  <c r="A61" i="70"/>
  <c r="F60" i="70"/>
  <c r="I60" i="70"/>
  <c r="C60" i="70"/>
  <c r="M58" i="70"/>
  <c r="D59" i="70"/>
  <c r="L59" i="70"/>
  <c r="J59" i="70"/>
  <c r="K54" i="69"/>
  <c r="Q54" i="69"/>
  <c r="L54" i="69"/>
  <c r="A56" i="69"/>
  <c r="F55" i="69"/>
  <c r="G55" i="69" s="1"/>
  <c r="I55" i="69"/>
  <c r="J55" i="69" s="1"/>
  <c r="C55" i="69"/>
  <c r="D55" i="69" s="1"/>
  <c r="M53" i="69"/>
  <c r="N53" i="69"/>
  <c r="O54" i="69"/>
  <c r="P54" i="69"/>
  <c r="AB42" i="43"/>
  <c r="AC41" i="43"/>
  <c r="K38" i="64"/>
  <c r="N37" i="63"/>
  <c r="A39" i="63"/>
  <c r="B38" i="63"/>
  <c r="F38" i="63"/>
  <c r="J38" i="63"/>
  <c r="S27" i="61"/>
  <c r="E70" i="71" l="1"/>
  <c r="G69" i="71"/>
  <c r="B70" i="69"/>
  <c r="H69" i="71"/>
  <c r="K69" i="71" s="1"/>
  <c r="M69" i="71" s="1"/>
  <c r="J68" i="71"/>
  <c r="E70" i="69"/>
  <c r="H69" i="69"/>
  <c r="D69" i="71"/>
  <c r="B70" i="71"/>
  <c r="K69" i="72"/>
  <c r="B70" i="72"/>
  <c r="D67" i="72"/>
  <c r="M66" i="72"/>
  <c r="G67" i="72"/>
  <c r="L67" i="72"/>
  <c r="J67" i="72"/>
  <c r="A69" i="72"/>
  <c r="F68" i="72"/>
  <c r="I68" i="72"/>
  <c r="C68" i="72"/>
  <c r="B75" i="49"/>
  <c r="E78" i="49"/>
  <c r="L16" i="68"/>
  <c r="N16" i="68"/>
  <c r="L60" i="70"/>
  <c r="J60" i="70"/>
  <c r="G60" i="70"/>
  <c r="A62" i="70"/>
  <c r="F61" i="70"/>
  <c r="I61" i="70"/>
  <c r="C61" i="70"/>
  <c r="M59" i="70"/>
  <c r="D60" i="70"/>
  <c r="K60" i="70"/>
  <c r="O55" i="69"/>
  <c r="K55" i="69"/>
  <c r="M54" i="69"/>
  <c r="N54" i="69"/>
  <c r="Q55" i="69"/>
  <c r="L55" i="69"/>
  <c r="P55" i="69"/>
  <c r="A57" i="69"/>
  <c r="I56" i="69"/>
  <c r="J56" i="69" s="1"/>
  <c r="F56" i="69"/>
  <c r="G56" i="69" s="1"/>
  <c r="C56" i="69"/>
  <c r="D56" i="69" s="1"/>
  <c r="AB43" i="43"/>
  <c r="AC42" i="43"/>
  <c r="N38" i="63"/>
  <c r="S28" i="61"/>
  <c r="H70" i="69" l="1"/>
  <c r="H70" i="71"/>
  <c r="K70" i="71" s="1"/>
  <c r="M70" i="71" s="1"/>
  <c r="J69" i="71"/>
  <c r="E71" i="71"/>
  <c r="G70" i="71"/>
  <c r="B71" i="71"/>
  <c r="D70" i="71"/>
  <c r="E71" i="69"/>
  <c r="B71" i="69"/>
  <c r="K70" i="72"/>
  <c r="B71" i="72"/>
  <c r="G68" i="72"/>
  <c r="A70" i="72"/>
  <c r="F69" i="72"/>
  <c r="I69" i="72"/>
  <c r="C69" i="72"/>
  <c r="D68" i="72"/>
  <c r="M67" i="72"/>
  <c r="L68" i="72"/>
  <c r="J68" i="72"/>
  <c r="E79" i="49"/>
  <c r="E80" i="49" s="1"/>
  <c r="B76" i="49"/>
  <c r="B77" i="49" s="1"/>
  <c r="G17" i="68"/>
  <c r="I17" i="68" s="1"/>
  <c r="C17" i="68"/>
  <c r="E17" i="68" s="1"/>
  <c r="K17" i="68"/>
  <c r="O16" i="68"/>
  <c r="K61" i="70"/>
  <c r="D61" i="70"/>
  <c r="L61" i="70"/>
  <c r="J61" i="70"/>
  <c r="G61" i="70"/>
  <c r="A63" i="70"/>
  <c r="F62" i="70"/>
  <c r="I62" i="70"/>
  <c r="C62" i="70"/>
  <c r="M60" i="70"/>
  <c r="A58" i="69"/>
  <c r="I57" i="69"/>
  <c r="J57" i="69" s="1"/>
  <c r="F57" i="69"/>
  <c r="G57" i="69" s="1"/>
  <c r="C57" i="69"/>
  <c r="D57" i="69" s="1"/>
  <c r="Q56" i="69"/>
  <c r="L56" i="69"/>
  <c r="O56" i="69"/>
  <c r="K56" i="69"/>
  <c r="P56" i="69"/>
  <c r="M55" i="69"/>
  <c r="N55" i="69"/>
  <c r="AC43" i="43"/>
  <c r="AB44" i="43"/>
  <c r="S29" i="61"/>
  <c r="E72" i="69" l="1"/>
  <c r="H71" i="69"/>
  <c r="G71" i="71"/>
  <c r="E72" i="71"/>
  <c r="B72" i="69"/>
  <c r="D71" i="71"/>
  <c r="B72" i="71"/>
  <c r="J70" i="71"/>
  <c r="H71" i="71"/>
  <c r="K71" i="72"/>
  <c r="B72" i="72"/>
  <c r="G69" i="72"/>
  <c r="A71" i="72"/>
  <c r="F70" i="72"/>
  <c r="I70" i="72"/>
  <c r="C70" i="72"/>
  <c r="L69" i="72"/>
  <c r="J69" i="72"/>
  <c r="D69" i="72"/>
  <c r="M68" i="72"/>
  <c r="B78" i="49"/>
  <c r="E81" i="49"/>
  <c r="N17" i="68"/>
  <c r="L17" i="68"/>
  <c r="G62" i="70"/>
  <c r="A64" i="70"/>
  <c r="F63" i="70"/>
  <c r="I63" i="70"/>
  <c r="C63" i="70"/>
  <c r="M61" i="70"/>
  <c r="D62" i="70"/>
  <c r="K62" i="70"/>
  <c r="L62" i="70"/>
  <c r="J62" i="70"/>
  <c r="K57" i="69"/>
  <c r="O57" i="69"/>
  <c r="M56" i="69"/>
  <c r="N56" i="69"/>
  <c r="P57" i="69"/>
  <c r="Q57" i="69"/>
  <c r="L57" i="69"/>
  <c r="A59" i="69"/>
  <c r="F58" i="69"/>
  <c r="G58" i="69" s="1"/>
  <c r="I58" i="69"/>
  <c r="J58" i="69" s="1"/>
  <c r="C58" i="69"/>
  <c r="D58" i="69" s="1"/>
  <c r="AB45" i="43"/>
  <c r="AC44" i="43"/>
  <c r="S30" i="61"/>
  <c r="D72" i="71" l="1"/>
  <c r="B73" i="71"/>
  <c r="E73" i="71"/>
  <c r="G72" i="71"/>
  <c r="E73" i="69"/>
  <c r="J71" i="71"/>
  <c r="H72" i="71"/>
  <c r="K71" i="71"/>
  <c r="M71" i="71" s="1"/>
  <c r="B73" i="69"/>
  <c r="H72" i="69"/>
  <c r="K72" i="72"/>
  <c r="B73" i="72"/>
  <c r="M69" i="72"/>
  <c r="A72" i="72"/>
  <c r="F71" i="72"/>
  <c r="I71" i="72"/>
  <c r="C71" i="72"/>
  <c r="D70" i="72"/>
  <c r="L70" i="72"/>
  <c r="J70" i="72"/>
  <c r="G70" i="72"/>
  <c r="E82" i="49"/>
  <c r="E83" i="49" s="1"/>
  <c r="B79" i="49"/>
  <c r="B80" i="49" s="1"/>
  <c r="C18" i="68"/>
  <c r="E18" i="68" s="1"/>
  <c r="G18" i="68"/>
  <c r="I18" i="68" s="1"/>
  <c r="K18" i="68"/>
  <c r="O17" i="68"/>
  <c r="J63" i="70"/>
  <c r="L63" i="70"/>
  <c r="K63" i="70"/>
  <c r="M62" i="70"/>
  <c r="G63" i="70"/>
  <c r="A65" i="70"/>
  <c r="F64" i="70"/>
  <c r="I64" i="70"/>
  <c r="C64" i="70"/>
  <c r="D63" i="70"/>
  <c r="K58" i="69"/>
  <c r="O58" i="69"/>
  <c r="Q58" i="69"/>
  <c r="L58" i="69"/>
  <c r="P58" i="69"/>
  <c r="A60" i="69"/>
  <c r="I59" i="69"/>
  <c r="J59" i="69" s="1"/>
  <c r="F59" i="69"/>
  <c r="G59" i="69" s="1"/>
  <c r="C59" i="69"/>
  <c r="D59" i="69" s="1"/>
  <c r="M57" i="69"/>
  <c r="N57" i="69"/>
  <c r="AC45" i="43"/>
  <c r="AB46" i="43"/>
  <c r="S31" i="61"/>
  <c r="E74" i="69" l="1"/>
  <c r="D73" i="71"/>
  <c r="B74" i="71"/>
  <c r="J72" i="71"/>
  <c r="H73" i="71"/>
  <c r="G73" i="71"/>
  <c r="E74" i="71"/>
  <c r="B74" i="69"/>
  <c r="K72" i="71"/>
  <c r="M72" i="71" s="1"/>
  <c r="H73" i="69"/>
  <c r="B74" i="72"/>
  <c r="K73" i="72"/>
  <c r="A73" i="72"/>
  <c r="I72" i="72"/>
  <c r="F72" i="72"/>
  <c r="C72" i="72"/>
  <c r="D71" i="72"/>
  <c r="J71" i="72"/>
  <c r="L71" i="72"/>
  <c r="G71" i="72"/>
  <c r="M70" i="72"/>
  <c r="B81" i="49"/>
  <c r="E84" i="49"/>
  <c r="L18" i="68"/>
  <c r="N18" i="68"/>
  <c r="G64" i="70"/>
  <c r="A66" i="70"/>
  <c r="F65" i="70"/>
  <c r="I65" i="70"/>
  <c r="C65" i="70"/>
  <c r="K64" i="70"/>
  <c r="D64" i="70"/>
  <c r="J64" i="70"/>
  <c r="L64" i="70"/>
  <c r="M63" i="70"/>
  <c r="K59" i="69"/>
  <c r="P59" i="69"/>
  <c r="Q59" i="69"/>
  <c r="L59" i="69"/>
  <c r="A61" i="69"/>
  <c r="I60" i="69"/>
  <c r="J60" i="69" s="1"/>
  <c r="F60" i="69"/>
  <c r="G60" i="69" s="1"/>
  <c r="C60" i="69"/>
  <c r="D60" i="69" s="1"/>
  <c r="N58" i="69"/>
  <c r="M58" i="69"/>
  <c r="O59" i="69"/>
  <c r="AB47" i="43"/>
  <c r="AC46" i="43"/>
  <c r="S32" i="61"/>
  <c r="B75" i="71" l="1"/>
  <c r="D74" i="71"/>
  <c r="B75" i="69"/>
  <c r="H74" i="71"/>
  <c r="K74" i="71" s="1"/>
  <c r="M74" i="71" s="1"/>
  <c r="J73" i="71"/>
  <c r="H74" i="69"/>
  <c r="E75" i="71"/>
  <c r="G74" i="71"/>
  <c r="K73" i="71"/>
  <c r="M73" i="71" s="1"/>
  <c r="E75" i="69"/>
  <c r="K74" i="72"/>
  <c r="B75" i="72"/>
  <c r="D72" i="72"/>
  <c r="M71" i="72"/>
  <c r="G72" i="72"/>
  <c r="J72" i="72"/>
  <c r="L72" i="72"/>
  <c r="A74" i="72"/>
  <c r="F73" i="72"/>
  <c r="I73" i="72"/>
  <c r="C73" i="72"/>
  <c r="E85" i="49"/>
  <c r="E86" i="49" s="1"/>
  <c r="B82" i="49"/>
  <c r="B83" i="49" s="1"/>
  <c r="G19" i="68"/>
  <c r="I19" i="68" s="1"/>
  <c r="K19" i="68"/>
  <c r="C19" i="68"/>
  <c r="E19" i="68" s="1"/>
  <c r="O18" i="68"/>
  <c r="D65" i="70"/>
  <c r="L65" i="70"/>
  <c r="J65" i="70"/>
  <c r="M64" i="70"/>
  <c r="G65" i="70"/>
  <c r="A67" i="70"/>
  <c r="I66" i="70"/>
  <c r="F66" i="70"/>
  <c r="C66" i="70"/>
  <c r="K65" i="70"/>
  <c r="M59" i="69"/>
  <c r="N59" i="69"/>
  <c r="O60" i="69"/>
  <c r="K60" i="69"/>
  <c r="P60" i="69"/>
  <c r="Q60" i="69"/>
  <c r="L60" i="69"/>
  <c r="A62" i="69"/>
  <c r="F61" i="69"/>
  <c r="G61" i="69" s="1"/>
  <c r="I61" i="69"/>
  <c r="J61" i="69" s="1"/>
  <c r="C61" i="69"/>
  <c r="D61" i="69" s="1"/>
  <c r="AC47" i="43"/>
  <c r="AB48" i="43"/>
  <c r="S33" i="61"/>
  <c r="H75" i="69" l="1"/>
  <c r="B76" i="69"/>
  <c r="E76" i="69"/>
  <c r="E76" i="71"/>
  <c r="G75" i="71"/>
  <c r="J74" i="71"/>
  <c r="H75" i="71"/>
  <c r="B76" i="71"/>
  <c r="D75" i="71"/>
  <c r="K75" i="72"/>
  <c r="B76" i="72"/>
  <c r="G73" i="72"/>
  <c r="A75" i="72"/>
  <c r="F74" i="72"/>
  <c r="I74" i="72"/>
  <c r="C74" i="72"/>
  <c r="D73" i="72"/>
  <c r="M72" i="72"/>
  <c r="J73" i="72"/>
  <c r="L73" i="72"/>
  <c r="E87" i="49"/>
  <c r="B84" i="49"/>
  <c r="N19" i="68"/>
  <c r="L19" i="68"/>
  <c r="K66" i="70"/>
  <c r="D66" i="70"/>
  <c r="M65" i="70"/>
  <c r="G66" i="70"/>
  <c r="L66" i="70"/>
  <c r="J66" i="70"/>
  <c r="A68" i="70"/>
  <c r="F67" i="70"/>
  <c r="I67" i="70"/>
  <c r="C67" i="70"/>
  <c r="K61" i="69"/>
  <c r="Q61" i="69"/>
  <c r="L61" i="69"/>
  <c r="P61" i="69"/>
  <c r="A63" i="69"/>
  <c r="I62" i="69"/>
  <c r="J62" i="69" s="1"/>
  <c r="F62" i="69"/>
  <c r="G62" i="69" s="1"/>
  <c r="C62" i="69"/>
  <c r="D62" i="69" s="1"/>
  <c r="M60" i="69"/>
  <c r="N60" i="69"/>
  <c r="O61" i="69"/>
  <c r="AB49" i="43"/>
  <c r="AC48" i="43"/>
  <c r="S34" i="61"/>
  <c r="B77" i="71" l="1"/>
  <c r="D76" i="71"/>
  <c r="E77" i="71"/>
  <c r="G76" i="71"/>
  <c r="B77" i="69"/>
  <c r="J75" i="71"/>
  <c r="H76" i="71"/>
  <c r="K76" i="71" s="1"/>
  <c r="M76" i="71" s="1"/>
  <c r="E77" i="69"/>
  <c r="K75" i="71"/>
  <c r="M75" i="71" s="1"/>
  <c r="H76" i="69"/>
  <c r="B77" i="72"/>
  <c r="K76" i="72"/>
  <c r="M73" i="72"/>
  <c r="A76" i="72"/>
  <c r="I75" i="72"/>
  <c r="F75" i="72"/>
  <c r="C75" i="72"/>
  <c r="D74" i="72"/>
  <c r="J74" i="72"/>
  <c r="L74" i="72"/>
  <c r="G74" i="72"/>
  <c r="B85" i="49"/>
  <c r="B86" i="49" s="1"/>
  <c r="E88" i="49"/>
  <c r="E89" i="49" s="1"/>
  <c r="C20" i="68"/>
  <c r="E20" i="68" s="1"/>
  <c r="K20" i="68"/>
  <c r="O19" i="68"/>
  <c r="G20" i="68"/>
  <c r="I20" i="68" s="1"/>
  <c r="D67" i="70"/>
  <c r="K67" i="70"/>
  <c r="J67" i="70"/>
  <c r="L67" i="70"/>
  <c r="M66" i="70"/>
  <c r="G67" i="70"/>
  <c r="A69" i="70"/>
  <c r="I68" i="70"/>
  <c r="F68" i="70"/>
  <c r="C68" i="70"/>
  <c r="K62" i="69"/>
  <c r="O62" i="69"/>
  <c r="P62" i="69"/>
  <c r="M61" i="69"/>
  <c r="N61" i="69"/>
  <c r="Q62" i="69"/>
  <c r="L62" i="69"/>
  <c r="A64" i="69"/>
  <c r="I63" i="69"/>
  <c r="J63" i="69" s="1"/>
  <c r="F63" i="69"/>
  <c r="G63" i="69" s="1"/>
  <c r="C63" i="69"/>
  <c r="D63" i="69" s="1"/>
  <c r="AC49" i="43"/>
  <c r="AB50" i="43"/>
  <c r="S35" i="61"/>
  <c r="G77" i="71" l="1"/>
  <c r="E78" i="71"/>
  <c r="E78" i="69"/>
  <c r="B78" i="69"/>
  <c r="H77" i="69"/>
  <c r="H77" i="71"/>
  <c r="J76" i="71"/>
  <c r="D77" i="71"/>
  <c r="B78" i="71"/>
  <c r="K77" i="71"/>
  <c r="M77" i="71" s="1"/>
  <c r="B78" i="72"/>
  <c r="K77" i="72"/>
  <c r="M74" i="72"/>
  <c r="J75" i="72"/>
  <c r="L75" i="72"/>
  <c r="A77" i="72"/>
  <c r="F76" i="72"/>
  <c r="I76" i="72"/>
  <c r="C76" i="72"/>
  <c r="D75" i="72"/>
  <c r="G75" i="72"/>
  <c r="B87" i="49"/>
  <c r="E90" i="49"/>
  <c r="N20" i="68"/>
  <c r="L20" i="68"/>
  <c r="K68" i="70"/>
  <c r="G68" i="70"/>
  <c r="J68" i="70"/>
  <c r="L68" i="70"/>
  <c r="A70" i="70"/>
  <c r="I69" i="70"/>
  <c r="F69" i="70"/>
  <c r="C69" i="70"/>
  <c r="M67" i="70"/>
  <c r="D68" i="70"/>
  <c r="O63" i="69"/>
  <c r="P63" i="69"/>
  <c r="Q63" i="69"/>
  <c r="L63" i="69"/>
  <c r="A65" i="69"/>
  <c r="F64" i="69"/>
  <c r="G64" i="69" s="1"/>
  <c r="I64" i="69"/>
  <c r="J64" i="69" s="1"/>
  <c r="C64" i="69"/>
  <c r="D64" i="69" s="1"/>
  <c r="K63" i="69"/>
  <c r="M62" i="69"/>
  <c r="N62" i="69"/>
  <c r="AB51" i="43"/>
  <c r="AC50" i="43"/>
  <c r="S36" i="61"/>
  <c r="D78" i="71" l="1"/>
  <c r="B79" i="71"/>
  <c r="E79" i="69"/>
  <c r="H78" i="69"/>
  <c r="B79" i="69"/>
  <c r="G78" i="71"/>
  <c r="E79" i="71"/>
  <c r="J77" i="71"/>
  <c r="H78" i="71"/>
  <c r="K78" i="71" s="1"/>
  <c r="M78" i="71" s="1"/>
  <c r="B79" i="72"/>
  <c r="K78" i="72"/>
  <c r="G76" i="72"/>
  <c r="A78" i="72"/>
  <c r="F77" i="72"/>
  <c r="I77" i="72"/>
  <c r="C77" i="72"/>
  <c r="D76" i="72"/>
  <c r="M75" i="72"/>
  <c r="J76" i="72"/>
  <c r="L76" i="72"/>
  <c r="E91" i="49"/>
  <c r="E92" i="49" s="1"/>
  <c r="B88" i="49"/>
  <c r="B89" i="49" s="1"/>
  <c r="G21" i="68"/>
  <c r="I21" i="68" s="1"/>
  <c r="O20" i="68"/>
  <c r="C21" i="68"/>
  <c r="E21" i="68" s="1"/>
  <c r="K21" i="68"/>
  <c r="M68" i="70"/>
  <c r="D69" i="70"/>
  <c r="K69" i="70"/>
  <c r="G69" i="70"/>
  <c r="L69" i="70"/>
  <c r="J69" i="70"/>
  <c r="A71" i="70"/>
  <c r="I70" i="70"/>
  <c r="F70" i="70"/>
  <c r="C70" i="70"/>
  <c r="K64" i="69"/>
  <c r="P64" i="69"/>
  <c r="A66" i="69"/>
  <c r="F65" i="69"/>
  <c r="G65" i="69" s="1"/>
  <c r="I65" i="69"/>
  <c r="J65" i="69" s="1"/>
  <c r="C65" i="69"/>
  <c r="D65" i="69" s="1"/>
  <c r="M63" i="69"/>
  <c r="N63" i="69"/>
  <c r="O64" i="69"/>
  <c r="Q64" i="69"/>
  <c r="L64" i="69"/>
  <c r="AB52" i="43"/>
  <c r="AC51" i="43"/>
  <c r="S37" i="61"/>
  <c r="B80" i="69" l="1"/>
  <c r="E80" i="71"/>
  <c r="G79" i="71"/>
  <c r="H79" i="69"/>
  <c r="D79" i="71"/>
  <c r="B80" i="71"/>
  <c r="H79" i="71"/>
  <c r="J78" i="71"/>
  <c r="E80" i="69"/>
  <c r="K79" i="72"/>
  <c r="B80" i="72"/>
  <c r="M76" i="72"/>
  <c r="A79" i="72"/>
  <c r="F78" i="72"/>
  <c r="I78" i="72"/>
  <c r="C78" i="72"/>
  <c r="D77" i="72"/>
  <c r="J77" i="72"/>
  <c r="L77" i="72"/>
  <c r="G77" i="72"/>
  <c r="E93" i="49"/>
  <c r="B90" i="49"/>
  <c r="N21" i="68"/>
  <c r="L21" i="68"/>
  <c r="M69" i="70"/>
  <c r="G70" i="70"/>
  <c r="K70" i="70"/>
  <c r="L70" i="70"/>
  <c r="J70" i="70"/>
  <c r="A72" i="70"/>
  <c r="F71" i="70"/>
  <c r="I71" i="70"/>
  <c r="C71" i="70"/>
  <c r="D70" i="70"/>
  <c r="M64" i="69"/>
  <c r="N64" i="69"/>
  <c r="Q65" i="69"/>
  <c r="L65" i="69"/>
  <c r="K65" i="69"/>
  <c r="P65" i="69"/>
  <c r="A67" i="69"/>
  <c r="F66" i="69"/>
  <c r="G66" i="69" s="1"/>
  <c r="I66" i="69"/>
  <c r="J66" i="69" s="1"/>
  <c r="C66" i="69"/>
  <c r="D66" i="69" s="1"/>
  <c r="O65" i="69"/>
  <c r="AC52" i="43"/>
  <c r="AB53" i="43"/>
  <c r="S38" i="61"/>
  <c r="B81" i="71" l="1"/>
  <c r="D80" i="71"/>
  <c r="E81" i="71"/>
  <c r="G80" i="71"/>
  <c r="H80" i="71"/>
  <c r="K80" i="71" s="1"/>
  <c r="M80" i="71" s="1"/>
  <c r="J79" i="71"/>
  <c r="E81" i="69"/>
  <c r="K79" i="71"/>
  <c r="M79" i="71" s="1"/>
  <c r="H80" i="69"/>
  <c r="B81" i="69"/>
  <c r="B81" i="72"/>
  <c r="K80" i="72"/>
  <c r="G78" i="72"/>
  <c r="A80" i="72"/>
  <c r="F79" i="72"/>
  <c r="I79" i="72"/>
  <c r="C79" i="72"/>
  <c r="D78" i="72"/>
  <c r="M77" i="72"/>
  <c r="J78" i="72"/>
  <c r="L78" i="72"/>
  <c r="E94" i="49"/>
  <c r="E95" i="49" s="1"/>
  <c r="B91" i="49"/>
  <c r="B92" i="49" s="1"/>
  <c r="K22" i="68"/>
  <c r="C22" i="68"/>
  <c r="E22" i="68" s="1"/>
  <c r="O21" i="68"/>
  <c r="G22" i="68"/>
  <c r="I22" i="68" s="1"/>
  <c r="G71" i="70"/>
  <c r="A73" i="70"/>
  <c r="F72" i="70"/>
  <c r="I72" i="70"/>
  <c r="C72" i="70"/>
  <c r="D71" i="70"/>
  <c r="L71" i="70"/>
  <c r="J71" i="70"/>
  <c r="K71" i="70"/>
  <c r="M70" i="70"/>
  <c r="K66" i="69"/>
  <c r="O66" i="69"/>
  <c r="Q66" i="69"/>
  <c r="L66" i="69"/>
  <c r="P66" i="69"/>
  <c r="A68" i="69"/>
  <c r="F67" i="69"/>
  <c r="G67" i="69" s="1"/>
  <c r="I67" i="69"/>
  <c r="J67" i="69" s="1"/>
  <c r="C67" i="69"/>
  <c r="D67" i="69" s="1"/>
  <c r="N65" i="69"/>
  <c r="M65" i="69"/>
  <c r="AC53" i="43"/>
  <c r="AB54" i="43"/>
  <c r="S39" i="61"/>
  <c r="H81" i="69" l="1"/>
  <c r="E82" i="71"/>
  <c r="G81" i="71"/>
  <c r="B82" i="69"/>
  <c r="H81" i="71"/>
  <c r="J80" i="71"/>
  <c r="E82" i="69"/>
  <c r="B82" i="71"/>
  <c r="D81" i="71"/>
  <c r="B82" i="72"/>
  <c r="K81" i="72"/>
  <c r="M78" i="72"/>
  <c r="A81" i="72"/>
  <c r="I80" i="72"/>
  <c r="F80" i="72"/>
  <c r="C80" i="72"/>
  <c r="D79" i="72"/>
  <c r="J79" i="72"/>
  <c r="L79" i="72"/>
  <c r="G79" i="72"/>
  <c r="B93" i="49"/>
  <c r="N22" i="68"/>
  <c r="L22" i="68"/>
  <c r="K72" i="70"/>
  <c r="L72" i="70"/>
  <c r="J72" i="70"/>
  <c r="G72" i="70"/>
  <c r="A74" i="70"/>
  <c r="I73" i="70"/>
  <c r="F73" i="70"/>
  <c r="C73" i="70"/>
  <c r="M71" i="70"/>
  <c r="D72" i="70"/>
  <c r="K67" i="69"/>
  <c r="O67" i="69"/>
  <c r="Q67" i="69"/>
  <c r="L67" i="69"/>
  <c r="P67" i="69"/>
  <c r="A69" i="69"/>
  <c r="F68" i="69"/>
  <c r="G68" i="69" s="1"/>
  <c r="I68" i="69"/>
  <c r="J68" i="69" s="1"/>
  <c r="C68" i="69"/>
  <c r="D68" i="69" s="1"/>
  <c r="N66" i="69"/>
  <c r="M66" i="69"/>
  <c r="AB55" i="43"/>
  <c r="AC54" i="43"/>
  <c r="S40" i="61"/>
  <c r="D82" i="71" l="1"/>
  <c r="B83" i="71"/>
  <c r="J81" i="71"/>
  <c r="H82" i="71"/>
  <c r="K82" i="71" s="1"/>
  <c r="M82" i="71" s="1"/>
  <c r="E83" i="71"/>
  <c r="G82" i="71"/>
  <c r="E83" i="69"/>
  <c r="B83" i="69"/>
  <c r="K81" i="71"/>
  <c r="M81" i="71" s="1"/>
  <c r="H82" i="69"/>
  <c r="B83" i="72"/>
  <c r="K82" i="72"/>
  <c r="J80" i="72"/>
  <c r="L80" i="72"/>
  <c r="A82" i="72"/>
  <c r="F81" i="72"/>
  <c r="I81" i="72"/>
  <c r="C81" i="72"/>
  <c r="D80" i="72"/>
  <c r="M79" i="72"/>
  <c r="G80" i="72"/>
  <c r="B94" i="49"/>
  <c r="B95" i="49" s="1"/>
  <c r="C23" i="68"/>
  <c r="E23" i="68" s="1"/>
  <c r="G23" i="68"/>
  <c r="I23" i="68" s="1"/>
  <c r="O22" i="68"/>
  <c r="K23" i="68"/>
  <c r="M72" i="70"/>
  <c r="D73" i="70"/>
  <c r="K73" i="70"/>
  <c r="G73" i="70"/>
  <c r="J73" i="70"/>
  <c r="L73" i="70"/>
  <c r="A75" i="70"/>
  <c r="F74" i="70"/>
  <c r="I74" i="70"/>
  <c r="C74" i="70"/>
  <c r="P68" i="69"/>
  <c r="A70" i="69"/>
  <c r="F69" i="69"/>
  <c r="G69" i="69" s="1"/>
  <c r="I69" i="69"/>
  <c r="J69" i="69" s="1"/>
  <c r="C69" i="69"/>
  <c r="D69" i="69" s="1"/>
  <c r="O68" i="69"/>
  <c r="L68" i="69"/>
  <c r="Q68" i="69"/>
  <c r="K68" i="69"/>
  <c r="N67" i="69"/>
  <c r="M67" i="69"/>
  <c r="AC55" i="43"/>
  <c r="AB56" i="43"/>
  <c r="S41" i="61"/>
  <c r="E84" i="69" l="1"/>
  <c r="B84" i="69"/>
  <c r="G83" i="71"/>
  <c r="E84" i="71"/>
  <c r="D83" i="71"/>
  <c r="B84" i="71"/>
  <c r="H83" i="69"/>
  <c r="H83" i="71"/>
  <c r="J82" i="71"/>
  <c r="B84" i="72"/>
  <c r="K83" i="72"/>
  <c r="D81" i="72"/>
  <c r="M80" i="72"/>
  <c r="J81" i="72"/>
  <c r="L81" i="72"/>
  <c r="G81" i="72"/>
  <c r="A83" i="72"/>
  <c r="F82" i="72"/>
  <c r="I82" i="72"/>
  <c r="C82" i="72"/>
  <c r="L23" i="68"/>
  <c r="N23" i="68"/>
  <c r="J74" i="70"/>
  <c r="L74" i="70"/>
  <c r="K74" i="70"/>
  <c r="G74" i="70"/>
  <c r="A76" i="70"/>
  <c r="I75" i="70"/>
  <c r="F75" i="70"/>
  <c r="C75" i="70"/>
  <c r="M73" i="70"/>
  <c r="D74" i="70"/>
  <c r="N68" i="69"/>
  <c r="M68" i="69"/>
  <c r="L69" i="69"/>
  <c r="Q69" i="69"/>
  <c r="P69" i="69"/>
  <c r="A71" i="69"/>
  <c r="F70" i="69"/>
  <c r="G70" i="69" s="1"/>
  <c r="I70" i="69"/>
  <c r="J70" i="69" s="1"/>
  <c r="C70" i="69"/>
  <c r="D70" i="69" s="1"/>
  <c r="O69" i="69"/>
  <c r="K69" i="69"/>
  <c r="AB57" i="43"/>
  <c r="AC56" i="43"/>
  <c r="S42" i="61"/>
  <c r="H84" i="71" l="1"/>
  <c r="J83" i="71"/>
  <c r="B85" i="71"/>
  <c r="D84" i="71"/>
  <c r="K84" i="71"/>
  <c r="M84" i="71" s="1"/>
  <c r="B85" i="69"/>
  <c r="H84" i="69"/>
  <c r="E85" i="71"/>
  <c r="G84" i="71"/>
  <c r="E85" i="69"/>
  <c r="K83" i="71"/>
  <c r="M83" i="71" s="1"/>
  <c r="K84" i="72"/>
  <c r="B85" i="72"/>
  <c r="G82" i="72"/>
  <c r="A84" i="72"/>
  <c r="F83" i="72"/>
  <c r="I83" i="72"/>
  <c r="C83" i="72"/>
  <c r="D82" i="72"/>
  <c r="M81" i="72"/>
  <c r="J82" i="72"/>
  <c r="L82" i="72"/>
  <c r="K24" i="68"/>
  <c r="C24" i="68"/>
  <c r="E24" i="68" s="1"/>
  <c r="O23" i="68"/>
  <c r="G24" i="68"/>
  <c r="I24" i="68" s="1"/>
  <c r="K75" i="70"/>
  <c r="G75" i="70"/>
  <c r="D75" i="70"/>
  <c r="A77" i="70"/>
  <c r="F76" i="70"/>
  <c r="I76" i="70"/>
  <c r="C76" i="70"/>
  <c r="M74" i="70"/>
  <c r="L75" i="70"/>
  <c r="J75" i="70"/>
  <c r="P70" i="69"/>
  <c r="A72" i="69"/>
  <c r="I71" i="69"/>
  <c r="J71" i="69" s="1"/>
  <c r="F71" i="69"/>
  <c r="G71" i="69" s="1"/>
  <c r="C71" i="69"/>
  <c r="D71" i="69" s="1"/>
  <c r="N69" i="69"/>
  <c r="M69" i="69"/>
  <c r="O70" i="69"/>
  <c r="L70" i="69"/>
  <c r="Q70" i="69"/>
  <c r="K70" i="69"/>
  <c r="AC57" i="43"/>
  <c r="AB58" i="43"/>
  <c r="S43" i="61"/>
  <c r="E86" i="69" l="1"/>
  <c r="D85" i="71"/>
  <c r="B86" i="71"/>
  <c r="G85" i="71"/>
  <c r="E86" i="71"/>
  <c r="B86" i="69"/>
  <c r="H85" i="69"/>
  <c r="J84" i="71"/>
  <c r="H85" i="71"/>
  <c r="B86" i="72"/>
  <c r="K85" i="72"/>
  <c r="A85" i="72"/>
  <c r="I84" i="72"/>
  <c r="F84" i="72"/>
  <c r="C84" i="72"/>
  <c r="M82" i="72"/>
  <c r="D83" i="72"/>
  <c r="J83" i="72"/>
  <c r="L83" i="72"/>
  <c r="G83" i="72"/>
  <c r="L24" i="68"/>
  <c r="N24" i="68"/>
  <c r="C25" i="68" s="1"/>
  <c r="E25" i="68" s="1"/>
  <c r="K76" i="70"/>
  <c r="G76" i="70"/>
  <c r="A78" i="70"/>
  <c r="F77" i="70"/>
  <c r="I77" i="70"/>
  <c r="C77" i="70"/>
  <c r="M75" i="70"/>
  <c r="D76" i="70"/>
  <c r="L76" i="70"/>
  <c r="J76" i="70"/>
  <c r="O71" i="69"/>
  <c r="P71" i="69"/>
  <c r="N70" i="69"/>
  <c r="M70" i="69"/>
  <c r="L71" i="69"/>
  <c r="N71" i="69" s="1"/>
  <c r="Q71" i="69"/>
  <c r="A73" i="69"/>
  <c r="F72" i="69"/>
  <c r="G72" i="69" s="1"/>
  <c r="I72" i="69"/>
  <c r="J72" i="69" s="1"/>
  <c r="C72" i="69"/>
  <c r="D72" i="69" s="1"/>
  <c r="K71" i="69"/>
  <c r="AB59" i="43"/>
  <c r="AC58" i="43"/>
  <c r="O13" i="61"/>
  <c r="O14" i="61"/>
  <c r="O15" i="61"/>
  <c r="O16" i="61"/>
  <c r="O17" i="61"/>
  <c r="O18" i="61"/>
  <c r="O19" i="61"/>
  <c r="O20" i="61"/>
  <c r="O21" i="61"/>
  <c r="O22" i="61"/>
  <c r="O23" i="61"/>
  <c r="O24" i="61"/>
  <c r="O25" i="61"/>
  <c r="O26" i="61"/>
  <c r="O27" i="61"/>
  <c r="O28" i="61"/>
  <c r="O29" i="61"/>
  <c r="O30" i="61"/>
  <c r="O31" i="61"/>
  <c r="O32" i="61"/>
  <c r="O33" i="61"/>
  <c r="O34" i="61"/>
  <c r="O35" i="61"/>
  <c r="O36" i="61"/>
  <c r="O37" i="61"/>
  <c r="O38" i="61"/>
  <c r="O39" i="61"/>
  <c r="O40" i="61"/>
  <c r="O41" i="61"/>
  <c r="O42" i="61"/>
  <c r="O43" i="61"/>
  <c r="O12" i="61"/>
  <c r="N43" i="61"/>
  <c r="F43" i="61"/>
  <c r="W43" i="61" s="1"/>
  <c r="B43" i="61"/>
  <c r="T43" i="61" s="1"/>
  <c r="A13" i="61"/>
  <c r="A14" i="61" s="1"/>
  <c r="N12" i="61"/>
  <c r="G12" i="61"/>
  <c r="F12" i="61"/>
  <c r="W12" i="61" s="1"/>
  <c r="C12" i="61"/>
  <c r="B12" i="61"/>
  <c r="T12" i="61" s="1"/>
  <c r="B87" i="71" l="1"/>
  <c r="D86" i="71"/>
  <c r="E87" i="71"/>
  <c r="G86" i="71"/>
  <c r="H86" i="69"/>
  <c r="E87" i="69"/>
  <c r="J85" i="71"/>
  <c r="H86" i="71"/>
  <c r="B87" i="69"/>
  <c r="K85" i="71"/>
  <c r="M85" i="71" s="1"/>
  <c r="B87" i="72"/>
  <c r="K86" i="72"/>
  <c r="D84" i="72"/>
  <c r="G84" i="72"/>
  <c r="J84" i="72"/>
  <c r="L84" i="72"/>
  <c r="M83" i="72"/>
  <c r="A86" i="72"/>
  <c r="F85" i="72"/>
  <c r="I85" i="72"/>
  <c r="C85" i="72"/>
  <c r="G25" i="68"/>
  <c r="I25" i="68" s="1"/>
  <c r="K25" i="68"/>
  <c r="O24" i="68"/>
  <c r="K77" i="70"/>
  <c r="G77" i="70"/>
  <c r="A79" i="70"/>
  <c r="F78" i="70"/>
  <c r="I78" i="70"/>
  <c r="C78" i="70"/>
  <c r="J77" i="70"/>
  <c r="L77" i="70"/>
  <c r="M76" i="70"/>
  <c r="D77" i="70"/>
  <c r="M71" i="69"/>
  <c r="Q72" i="69"/>
  <c r="L72" i="69"/>
  <c r="P72" i="69"/>
  <c r="A74" i="69"/>
  <c r="I73" i="69"/>
  <c r="J73" i="69" s="1"/>
  <c r="F73" i="69"/>
  <c r="G73" i="69" s="1"/>
  <c r="C73" i="69"/>
  <c r="D73" i="69" s="1"/>
  <c r="K72" i="69"/>
  <c r="O72" i="69"/>
  <c r="AC59" i="43"/>
  <c r="AB60" i="43"/>
  <c r="U12" i="61"/>
  <c r="C13" i="61"/>
  <c r="C14" i="61" s="1"/>
  <c r="C15" i="61" s="1"/>
  <c r="C16" i="61" s="1"/>
  <c r="C17" i="61" s="1"/>
  <c r="C18" i="61" s="1"/>
  <c r="C19" i="61" s="1"/>
  <c r="C20" i="61" s="1"/>
  <c r="C21" i="61" s="1"/>
  <c r="C22" i="61" s="1"/>
  <c r="C23" i="61" s="1"/>
  <c r="C24" i="61" s="1"/>
  <c r="C25" i="61" s="1"/>
  <c r="C26" i="61" s="1"/>
  <c r="C27" i="61" s="1"/>
  <c r="C28" i="61" s="1"/>
  <c r="C29" i="61" s="1"/>
  <c r="C30" i="61" s="1"/>
  <c r="C31" i="61" s="1"/>
  <c r="C32" i="61" s="1"/>
  <c r="C33" i="61" s="1"/>
  <c r="C34" i="61" s="1"/>
  <c r="C35" i="61" s="1"/>
  <c r="C36" i="61" s="1"/>
  <c r="C37" i="61" s="1"/>
  <c r="C38" i="61" s="1"/>
  <c r="C39" i="61" s="1"/>
  <c r="C40" i="61" s="1"/>
  <c r="C41" i="61" s="1"/>
  <c r="C42" i="61" s="1"/>
  <c r="C43" i="61" s="1"/>
  <c r="X12" i="61"/>
  <c r="Y12" i="61" s="1"/>
  <c r="G13" i="61"/>
  <c r="G14" i="61" s="1"/>
  <c r="G15" i="61" s="1"/>
  <c r="G16" i="61" s="1"/>
  <c r="G17" i="61" s="1"/>
  <c r="G18" i="61" s="1"/>
  <c r="G19" i="61" s="1"/>
  <c r="G20" i="61" s="1"/>
  <c r="G21" i="61" s="1"/>
  <c r="G22" i="61" s="1"/>
  <c r="G23" i="61" s="1"/>
  <c r="G24" i="61" s="1"/>
  <c r="G25" i="61" s="1"/>
  <c r="G26" i="61" s="1"/>
  <c r="G27" i="61" s="1"/>
  <c r="G28" i="61" s="1"/>
  <c r="G29" i="61" s="1"/>
  <c r="G30" i="61" s="1"/>
  <c r="G31" i="61" s="1"/>
  <c r="G32" i="61" s="1"/>
  <c r="G33" i="61" s="1"/>
  <c r="G34" i="61" s="1"/>
  <c r="G35" i="61" s="1"/>
  <c r="G36" i="61" s="1"/>
  <c r="G37" i="61" s="1"/>
  <c r="G38" i="61" s="1"/>
  <c r="G39" i="61" s="1"/>
  <c r="G40" i="61" s="1"/>
  <c r="G41" i="61" s="1"/>
  <c r="G42" i="61" s="1"/>
  <c r="G43" i="61" s="1"/>
  <c r="O44" i="61"/>
  <c r="J12" i="61"/>
  <c r="Z12" i="61" s="1"/>
  <c r="E12" i="61"/>
  <c r="I12" i="61"/>
  <c r="J43" i="61"/>
  <c r="Z43" i="61" s="1"/>
  <c r="AH14" i="61"/>
  <c r="A15" i="61"/>
  <c r="F14" i="61"/>
  <c r="W14" i="61" s="1"/>
  <c r="B14" i="61"/>
  <c r="T14" i="61" s="1"/>
  <c r="AH13" i="61"/>
  <c r="K12" i="61"/>
  <c r="F13" i="61"/>
  <c r="W13" i="61" s="1"/>
  <c r="B13" i="61"/>
  <c r="T13" i="61" s="1"/>
  <c r="B46" i="52"/>
  <c r="B47" i="52"/>
  <c r="B50" i="52"/>
  <c r="B88" i="69" l="1"/>
  <c r="E88" i="69"/>
  <c r="G87" i="71"/>
  <c r="E88" i="71"/>
  <c r="H87" i="71"/>
  <c r="K87" i="71" s="1"/>
  <c r="M87" i="71" s="1"/>
  <c r="J86" i="71"/>
  <c r="K86" i="71"/>
  <c r="M86" i="71" s="1"/>
  <c r="H87" i="69"/>
  <c r="D87" i="71"/>
  <c r="B88" i="71"/>
  <c r="K87" i="72"/>
  <c r="B88" i="72"/>
  <c r="D85" i="72"/>
  <c r="L85" i="72"/>
  <c r="J85" i="72"/>
  <c r="G85" i="72"/>
  <c r="M84" i="72"/>
  <c r="A87" i="72"/>
  <c r="F86" i="72"/>
  <c r="I86" i="72"/>
  <c r="C86" i="72"/>
  <c r="N25" i="68"/>
  <c r="L25" i="68"/>
  <c r="G78" i="70"/>
  <c r="A80" i="70"/>
  <c r="F79" i="70"/>
  <c r="I79" i="70"/>
  <c r="C79" i="70"/>
  <c r="J78" i="70"/>
  <c r="L78" i="70"/>
  <c r="M77" i="70"/>
  <c r="D78" i="70"/>
  <c r="K78" i="70"/>
  <c r="K73" i="69"/>
  <c r="O73" i="69"/>
  <c r="P73" i="69"/>
  <c r="N72" i="69"/>
  <c r="M72" i="69"/>
  <c r="Q73" i="69"/>
  <c r="L73" i="69"/>
  <c r="A75" i="69"/>
  <c r="F74" i="69"/>
  <c r="G74" i="69" s="1"/>
  <c r="I74" i="69"/>
  <c r="J74" i="69" s="1"/>
  <c r="C74" i="69"/>
  <c r="D74" i="69" s="1"/>
  <c r="AC60" i="43"/>
  <c r="AB61" i="43"/>
  <c r="AA12" i="61"/>
  <c r="AG12" i="61" s="1"/>
  <c r="AI12" i="61" s="1"/>
  <c r="K13" i="6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K24" i="61" s="1"/>
  <c r="K25" i="61" s="1"/>
  <c r="K26" i="61" s="1"/>
  <c r="K27" i="61" s="1"/>
  <c r="K28" i="61" s="1"/>
  <c r="K29" i="61" s="1"/>
  <c r="K30" i="61" s="1"/>
  <c r="K31" i="61" s="1"/>
  <c r="K32" i="61" s="1"/>
  <c r="K33" i="61" s="1"/>
  <c r="K34" i="61" s="1"/>
  <c r="K35" i="61" s="1"/>
  <c r="K36" i="61" s="1"/>
  <c r="K37" i="61" s="1"/>
  <c r="K38" i="61" s="1"/>
  <c r="K39" i="61" s="1"/>
  <c r="K40" i="61" s="1"/>
  <c r="K41" i="61" s="1"/>
  <c r="K42" i="61" s="1"/>
  <c r="K43" i="61" s="1"/>
  <c r="J14" i="61"/>
  <c r="J13" i="61"/>
  <c r="AH15" i="61"/>
  <c r="A16" i="61"/>
  <c r="F15" i="61"/>
  <c r="W15" i="61" s="1"/>
  <c r="J15" i="61"/>
  <c r="Z15" i="61" s="1"/>
  <c r="M12" i="61"/>
  <c r="P12" i="61"/>
  <c r="Q12" i="61" s="1"/>
  <c r="D12" i="61" s="1"/>
  <c r="B15" i="61"/>
  <c r="T15" i="61" s="1"/>
  <c r="J12" i="59"/>
  <c r="Q12" i="59"/>
  <c r="R35" i="59"/>
  <c r="R25" i="59"/>
  <c r="R29" i="59" s="1"/>
  <c r="R33" i="59" s="1"/>
  <c r="D25" i="59"/>
  <c r="D29" i="59" s="1"/>
  <c r="E89" i="71" l="1"/>
  <c r="G88" i="71"/>
  <c r="E89" i="69"/>
  <c r="J87" i="71"/>
  <c r="H88" i="71"/>
  <c r="K88" i="71" s="1"/>
  <c r="M88" i="71" s="1"/>
  <c r="H88" i="69"/>
  <c r="B89" i="71"/>
  <c r="D88" i="71"/>
  <c r="B89" i="69"/>
  <c r="B89" i="72"/>
  <c r="K88" i="72"/>
  <c r="D86" i="72"/>
  <c r="G86" i="72"/>
  <c r="M85" i="72"/>
  <c r="A88" i="72"/>
  <c r="I87" i="72"/>
  <c r="F87" i="72"/>
  <c r="C87" i="72"/>
  <c r="J86" i="72"/>
  <c r="L86" i="72"/>
  <c r="K26" i="68"/>
  <c r="G26" i="68"/>
  <c r="I26" i="68" s="1"/>
  <c r="O25" i="68"/>
  <c r="C26" i="68"/>
  <c r="E26" i="68" s="1"/>
  <c r="M78" i="70"/>
  <c r="L79" i="70"/>
  <c r="J79" i="70"/>
  <c r="G79" i="70"/>
  <c r="A81" i="70"/>
  <c r="I80" i="70"/>
  <c r="F80" i="70"/>
  <c r="C80" i="70"/>
  <c r="D79" i="70"/>
  <c r="K79" i="70"/>
  <c r="K74" i="69"/>
  <c r="O74" i="69"/>
  <c r="M73" i="69"/>
  <c r="N73" i="69"/>
  <c r="Q74" i="69"/>
  <c r="L74" i="69"/>
  <c r="P74" i="69"/>
  <c r="A76" i="69"/>
  <c r="F75" i="69"/>
  <c r="G75" i="69" s="1"/>
  <c r="I75" i="69"/>
  <c r="J75" i="69" s="1"/>
  <c r="C75" i="69"/>
  <c r="D75" i="69" s="1"/>
  <c r="AB62" i="43"/>
  <c r="AC61" i="43"/>
  <c r="L12" i="61"/>
  <c r="H12" i="61"/>
  <c r="AB12" i="61"/>
  <c r="N13" i="61"/>
  <c r="Z13" i="61"/>
  <c r="N14" i="61"/>
  <c r="Z14" i="61"/>
  <c r="N15" i="61"/>
  <c r="AH16" i="61"/>
  <c r="F16" i="61"/>
  <c r="W16" i="61" s="1"/>
  <c r="A17" i="61"/>
  <c r="J16" i="61"/>
  <c r="Z16" i="61" s="1"/>
  <c r="B16" i="61"/>
  <c r="T16" i="61" s="1"/>
  <c r="K25" i="59"/>
  <c r="K29" i="59" s="1"/>
  <c r="K33" i="59"/>
  <c r="H89" i="69" l="1"/>
  <c r="E90" i="69"/>
  <c r="J88" i="71"/>
  <c r="H89" i="71"/>
  <c r="K89" i="71" s="1"/>
  <c r="M89" i="71" s="1"/>
  <c r="B90" i="69"/>
  <c r="B90" i="71"/>
  <c r="D89" i="71"/>
  <c r="G89" i="71"/>
  <c r="E90" i="71"/>
  <c r="K89" i="72"/>
  <c r="B90" i="72"/>
  <c r="M86" i="72"/>
  <c r="D87" i="72"/>
  <c r="G87" i="72"/>
  <c r="J87" i="72"/>
  <c r="L87" i="72"/>
  <c r="A89" i="72"/>
  <c r="I88" i="72"/>
  <c r="F88" i="72"/>
  <c r="C88" i="72"/>
  <c r="L26" i="68"/>
  <c r="N26" i="68"/>
  <c r="K27" i="68" s="1"/>
  <c r="L27" i="68" s="1"/>
  <c r="L80" i="70"/>
  <c r="J80" i="70"/>
  <c r="A82" i="70"/>
  <c r="I81" i="70"/>
  <c r="F81" i="70"/>
  <c r="C81" i="70"/>
  <c r="M79" i="70"/>
  <c r="K80" i="70"/>
  <c r="D80" i="70"/>
  <c r="G80" i="70"/>
  <c r="O75" i="69"/>
  <c r="K75" i="69"/>
  <c r="Q75" i="69"/>
  <c r="L75" i="69"/>
  <c r="M74" i="69"/>
  <c r="N74" i="69"/>
  <c r="P75" i="69"/>
  <c r="A77" i="69"/>
  <c r="F76" i="69"/>
  <c r="G76" i="69" s="1"/>
  <c r="I76" i="69"/>
  <c r="J76" i="69" s="1"/>
  <c r="C76" i="69"/>
  <c r="D76" i="69" s="1"/>
  <c r="AB63" i="43"/>
  <c r="AC62" i="43"/>
  <c r="AD12" i="61"/>
  <c r="AC12" i="61"/>
  <c r="V12" i="61"/>
  <c r="N16" i="61"/>
  <c r="A18" i="61"/>
  <c r="F17" i="61"/>
  <c r="W17" i="61" s="1"/>
  <c r="AH17" i="61"/>
  <c r="J17" i="61"/>
  <c r="Z17" i="61" s="1"/>
  <c r="B17" i="61"/>
  <c r="T17" i="61" s="1"/>
  <c r="C50" i="52"/>
  <c r="C15" i="60" s="1"/>
  <c r="C46" i="52"/>
  <c r="C11" i="60" s="1"/>
  <c r="C47" i="52"/>
  <c r="C12" i="59"/>
  <c r="B11" i="60"/>
  <c r="B12" i="60"/>
  <c r="B15" i="60"/>
  <c r="C6" i="60"/>
  <c r="D33" i="59"/>
  <c r="K35" i="59"/>
  <c r="D35" i="59"/>
  <c r="B91" i="69" l="1"/>
  <c r="E91" i="69"/>
  <c r="H90" i="71"/>
  <c r="K90" i="71" s="1"/>
  <c r="M90" i="71" s="1"/>
  <c r="J89" i="71"/>
  <c r="E91" i="71"/>
  <c r="G90" i="71"/>
  <c r="B91" i="71"/>
  <c r="D90" i="71"/>
  <c r="H90" i="69"/>
  <c r="B91" i="72"/>
  <c r="K90" i="72"/>
  <c r="D88" i="72"/>
  <c r="M87" i="72"/>
  <c r="G88" i="72"/>
  <c r="J88" i="72"/>
  <c r="L88" i="72"/>
  <c r="A90" i="72"/>
  <c r="F89" i="72"/>
  <c r="I89" i="72"/>
  <c r="C89" i="72"/>
  <c r="C27" i="68"/>
  <c r="E27" i="68" s="1"/>
  <c r="O26" i="68"/>
  <c r="G27" i="68"/>
  <c r="J81" i="70"/>
  <c r="L81" i="70"/>
  <c r="A83" i="70"/>
  <c r="F82" i="70"/>
  <c r="I82" i="70"/>
  <c r="C82" i="70"/>
  <c r="D81" i="70"/>
  <c r="G81" i="70"/>
  <c r="K81" i="70"/>
  <c r="M80" i="70"/>
  <c r="K76" i="69"/>
  <c r="L76" i="69"/>
  <c r="Q76" i="69"/>
  <c r="P76" i="69"/>
  <c r="A78" i="69"/>
  <c r="I77" i="69"/>
  <c r="J77" i="69" s="1"/>
  <c r="F77" i="69"/>
  <c r="G77" i="69" s="1"/>
  <c r="C77" i="69"/>
  <c r="D77" i="69" s="1"/>
  <c r="M75" i="69"/>
  <c r="N75" i="69"/>
  <c r="O76" i="69"/>
  <c r="AC63" i="43"/>
  <c r="AB64" i="43"/>
  <c r="AF12" i="61"/>
  <c r="N17" i="61"/>
  <c r="AH18" i="61"/>
  <c r="F18" i="61"/>
  <c r="W18" i="61" s="1"/>
  <c r="A19" i="61"/>
  <c r="J18" i="61"/>
  <c r="Z18" i="61" s="1"/>
  <c r="B18" i="61"/>
  <c r="T18" i="61" s="1"/>
  <c r="C12" i="60"/>
  <c r="Q11" i="59"/>
  <c r="J11" i="59"/>
  <c r="AH19" i="59"/>
  <c r="AE19" i="59"/>
  <c r="AG19" i="59"/>
  <c r="AD19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T37" i="59"/>
  <c r="P18" i="59"/>
  <c r="P19" i="59" s="1"/>
  <c r="T19" i="59" s="1"/>
  <c r="T17" i="59"/>
  <c r="M37" i="59"/>
  <c r="I18" i="59"/>
  <c r="I19" i="59" s="1"/>
  <c r="I20" i="59" s="1"/>
  <c r="I21" i="59" s="1"/>
  <c r="M17" i="59"/>
  <c r="X20" i="59"/>
  <c r="X21" i="59" s="1"/>
  <c r="X22" i="59" s="1"/>
  <c r="F37" i="59"/>
  <c r="B18" i="59"/>
  <c r="F18" i="59" s="1"/>
  <c r="F17" i="59"/>
  <c r="R10" i="59"/>
  <c r="K10" i="59"/>
  <c r="D10" i="59"/>
  <c r="P115" i="59"/>
  <c r="P112" i="59"/>
  <c r="P98" i="59"/>
  <c r="P119" i="59"/>
  <c r="P116" i="59"/>
  <c r="P111" i="59"/>
  <c r="P107" i="59"/>
  <c r="P106" i="59"/>
  <c r="P102" i="59"/>
  <c r="P94" i="59"/>
  <c r="P117" i="59"/>
  <c r="P114" i="59"/>
  <c r="P109" i="59"/>
  <c r="P108" i="59"/>
  <c r="P103" i="59"/>
  <c r="P101" i="59"/>
  <c r="P100" i="59"/>
  <c r="P95" i="59"/>
  <c r="P93" i="59"/>
  <c r="P92" i="59"/>
  <c r="P90" i="59"/>
  <c r="P118" i="59"/>
  <c r="P113" i="59"/>
  <c r="P110" i="59"/>
  <c r="P105" i="59"/>
  <c r="P104" i="59"/>
  <c r="P99" i="59"/>
  <c r="P97" i="59"/>
  <c r="P96" i="59"/>
  <c r="P91" i="59"/>
  <c r="C6" i="49"/>
  <c r="F6" i="49"/>
  <c r="K42" i="58"/>
  <c r="E42" i="58"/>
  <c r="E51" i="58" s="1"/>
  <c r="E52" i="58" s="1"/>
  <c r="E53" i="58" s="1"/>
  <c r="E54" i="58" s="1"/>
  <c r="E55" i="58" s="1"/>
  <c r="E56" i="58" s="1"/>
  <c r="E57" i="58" s="1"/>
  <c r="E58" i="58" s="1"/>
  <c r="E59" i="58" s="1"/>
  <c r="E60" i="58" s="1"/>
  <c r="E61" i="58" s="1"/>
  <c r="E62" i="58" s="1"/>
  <c r="E63" i="58" s="1"/>
  <c r="E64" i="58" s="1"/>
  <c r="E65" i="58" s="1"/>
  <c r="E66" i="58" s="1"/>
  <c r="E67" i="58" s="1"/>
  <c r="E68" i="58" s="1"/>
  <c r="E69" i="58" s="1"/>
  <c r="E70" i="58" s="1"/>
  <c r="E71" i="58" s="1"/>
  <c r="E72" i="58" s="1"/>
  <c r="E73" i="58" s="1"/>
  <c r="E74" i="58" s="1"/>
  <c r="E75" i="58" s="1"/>
  <c r="E76" i="58" s="1"/>
  <c r="E77" i="58" s="1"/>
  <c r="E78" i="58" s="1"/>
  <c r="E79" i="58" s="1"/>
  <c r="E80" i="58" s="1"/>
  <c r="E81" i="58" s="1"/>
  <c r="E82" i="58" s="1"/>
  <c r="E83" i="58" s="1"/>
  <c r="E84" i="58" s="1"/>
  <c r="E85" i="58" s="1"/>
  <c r="E86" i="58" s="1"/>
  <c r="E87" i="58" s="1"/>
  <c r="E88" i="58" s="1"/>
  <c r="E89" i="58" s="1"/>
  <c r="E90" i="58" s="1"/>
  <c r="E91" i="58" s="1"/>
  <c r="E92" i="58" s="1"/>
  <c r="E93" i="58" s="1"/>
  <c r="E94" i="58" s="1"/>
  <c r="E95" i="58" s="1"/>
  <c r="E96" i="58" s="1"/>
  <c r="E97" i="58" s="1"/>
  <c r="E98" i="58" s="1"/>
  <c r="E99" i="58" s="1"/>
  <c r="E100" i="58" s="1"/>
  <c r="B42" i="58"/>
  <c r="B51" i="58" s="1"/>
  <c r="B52" i="58" s="1"/>
  <c r="B53" i="58" s="1"/>
  <c r="B54" i="58" s="1"/>
  <c r="B55" i="58" s="1"/>
  <c r="B56" i="58" s="1"/>
  <c r="B57" i="58" s="1"/>
  <c r="B58" i="58" s="1"/>
  <c r="B59" i="58" s="1"/>
  <c r="B60" i="58" s="1"/>
  <c r="B61" i="58" s="1"/>
  <c r="B62" i="58" s="1"/>
  <c r="B63" i="58" s="1"/>
  <c r="B64" i="58" s="1"/>
  <c r="B65" i="58" s="1"/>
  <c r="B66" i="58" s="1"/>
  <c r="B67" i="58" s="1"/>
  <c r="B68" i="58" s="1"/>
  <c r="B69" i="58" s="1"/>
  <c r="B70" i="58" s="1"/>
  <c r="B71" i="58" s="1"/>
  <c r="B72" i="58" s="1"/>
  <c r="B73" i="58" s="1"/>
  <c r="B74" i="58" s="1"/>
  <c r="B75" i="58" s="1"/>
  <c r="B76" i="58" s="1"/>
  <c r="B77" i="58" s="1"/>
  <c r="B78" i="58" s="1"/>
  <c r="B79" i="58" s="1"/>
  <c r="B80" i="58" s="1"/>
  <c r="B81" i="58" s="1"/>
  <c r="B82" i="58" s="1"/>
  <c r="B83" i="58" s="1"/>
  <c r="B84" i="58" s="1"/>
  <c r="B85" i="58" s="1"/>
  <c r="B86" i="58" s="1"/>
  <c r="B87" i="58" s="1"/>
  <c r="B88" i="58" s="1"/>
  <c r="B89" i="58" s="1"/>
  <c r="B90" i="58" s="1"/>
  <c r="B91" i="58" s="1"/>
  <c r="B92" i="58" s="1"/>
  <c r="B93" i="58" s="1"/>
  <c r="B94" i="58" s="1"/>
  <c r="B95" i="58" s="1"/>
  <c r="B96" i="58" s="1"/>
  <c r="B97" i="58" s="1"/>
  <c r="B98" i="58" s="1"/>
  <c r="B99" i="58" s="1"/>
  <c r="B100" i="58" s="1"/>
  <c r="A12" i="58"/>
  <c r="K11" i="58"/>
  <c r="F11" i="58"/>
  <c r="E11" i="58"/>
  <c r="C11" i="58"/>
  <c r="B11" i="58"/>
  <c r="B45" i="52"/>
  <c r="K39" i="56"/>
  <c r="E39" i="56"/>
  <c r="B39" i="56"/>
  <c r="A9" i="56"/>
  <c r="A10" i="56" s="1"/>
  <c r="A11" i="56" s="1"/>
  <c r="A12" i="56" s="1"/>
  <c r="A13" i="56" s="1"/>
  <c r="A14" i="56" s="1"/>
  <c r="A15" i="56" s="1"/>
  <c r="K8" i="56"/>
  <c r="F8" i="56"/>
  <c r="E8" i="56"/>
  <c r="C8" i="56"/>
  <c r="B8" i="56"/>
  <c r="K39" i="55"/>
  <c r="E39" i="55"/>
  <c r="B39" i="55"/>
  <c r="A9" i="55"/>
  <c r="K8" i="55"/>
  <c r="F8" i="55"/>
  <c r="E8" i="55"/>
  <c r="C8" i="55"/>
  <c r="B8" i="55"/>
  <c r="K39" i="46"/>
  <c r="E39" i="46"/>
  <c r="E45" i="46" s="1"/>
  <c r="B39" i="46"/>
  <c r="B45" i="46" s="1"/>
  <c r="A9" i="46"/>
  <c r="N9" i="46" s="1"/>
  <c r="K8" i="46"/>
  <c r="F8" i="46"/>
  <c r="E8" i="46"/>
  <c r="C8" i="46"/>
  <c r="B8" i="46"/>
  <c r="K42" i="43"/>
  <c r="E42" i="43"/>
  <c r="E48" i="43" s="1"/>
  <c r="B42" i="43"/>
  <c r="B48" i="43" s="1"/>
  <c r="A12" i="43"/>
  <c r="K11" i="43"/>
  <c r="F11" i="43"/>
  <c r="Q11" i="72" s="1"/>
  <c r="E11" i="43"/>
  <c r="C11" i="43"/>
  <c r="P11" i="72" s="1"/>
  <c r="B11" i="43"/>
  <c r="F8" i="31"/>
  <c r="F11" i="31" s="1" a="1"/>
  <c r="B21" i="31"/>
  <c r="C21" i="31"/>
  <c r="E21" i="31"/>
  <c r="F21" i="31"/>
  <c r="K21" i="31"/>
  <c r="A22" i="31"/>
  <c r="A23" i="31" s="1"/>
  <c r="A24" i="31" s="1"/>
  <c r="A25" i="31" s="1"/>
  <c r="A26" i="31" s="1"/>
  <c r="B52" i="31"/>
  <c r="E52" i="31"/>
  <c r="K52" i="31"/>
  <c r="D9" i="49"/>
  <c r="G9" i="49"/>
  <c r="H9" i="49"/>
  <c r="I9" i="49"/>
  <c r="N9" i="49"/>
  <c r="A10" i="49"/>
  <c r="A11" i="49" s="1"/>
  <c r="N10" i="49"/>
  <c r="N11" i="49"/>
  <c r="N12" i="49"/>
  <c r="N13" i="49"/>
  <c r="N14" i="49"/>
  <c r="N15" i="49"/>
  <c r="N16" i="49"/>
  <c r="N17" i="49"/>
  <c r="N18" i="49"/>
  <c r="N19" i="49"/>
  <c r="N20" i="49"/>
  <c r="N21" i="49"/>
  <c r="N22" i="49"/>
  <c r="N23" i="49"/>
  <c r="N24" i="49"/>
  <c r="N25" i="49"/>
  <c r="N26" i="49"/>
  <c r="N27" i="49"/>
  <c r="N28" i="49"/>
  <c r="N29" i="49"/>
  <c r="N30" i="49"/>
  <c r="N31" i="49"/>
  <c r="N32" i="49"/>
  <c r="N33" i="49"/>
  <c r="N34" i="49"/>
  <c r="N35" i="49"/>
  <c r="N36" i="49"/>
  <c r="N37" i="49"/>
  <c r="N38" i="49"/>
  <c r="N39" i="49"/>
  <c r="H40" i="49"/>
  <c r="H46" i="49" s="1"/>
  <c r="H47" i="49" s="1"/>
  <c r="N40" i="49"/>
  <c r="B41" i="52"/>
  <c r="B6" i="60" s="1"/>
  <c r="B42" i="52"/>
  <c r="B7" i="60" s="1"/>
  <c r="B25" i="62" s="1"/>
  <c r="C42" i="52"/>
  <c r="C7" i="60" s="1"/>
  <c r="B43" i="52"/>
  <c r="B8" i="60" s="1"/>
  <c r="B21" i="62" s="1"/>
  <c r="C43" i="52"/>
  <c r="C8" i="60" s="1"/>
  <c r="B44" i="52"/>
  <c r="B9" i="60" s="1"/>
  <c r="C44" i="52"/>
  <c r="C9" i="60" s="1"/>
  <c r="B7" i="53"/>
  <c r="B8" i="53" s="1"/>
  <c r="B9" i="53" s="1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B28" i="53" s="1"/>
  <c r="B29" i="53" s="1"/>
  <c r="B30" i="53" s="1"/>
  <c r="B31" i="53" s="1"/>
  <c r="B32" i="53" s="1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 s="1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N12" i="43"/>
  <c r="A13" i="43"/>
  <c r="N13" i="43" s="1"/>
  <c r="I89" i="59"/>
  <c r="B89" i="59"/>
  <c r="B110" i="59"/>
  <c r="P89" i="59"/>
  <c r="B119" i="59"/>
  <c r="B117" i="59"/>
  <c r="B100" i="59"/>
  <c r="B104" i="59"/>
  <c r="B105" i="59"/>
  <c r="B108" i="59"/>
  <c r="B116" i="59"/>
  <c r="B118" i="59"/>
  <c r="B94" i="59"/>
  <c r="B96" i="59"/>
  <c r="B95" i="59"/>
  <c r="B111" i="59"/>
  <c r="B113" i="59"/>
  <c r="B107" i="59"/>
  <c r="B102" i="59"/>
  <c r="B93" i="59"/>
  <c r="B90" i="59"/>
  <c r="B91" i="59"/>
  <c r="B114" i="59"/>
  <c r="B101" i="59"/>
  <c r="B98" i="59"/>
  <c r="B99" i="59"/>
  <c r="B106" i="59"/>
  <c r="B109" i="59"/>
  <c r="B92" i="59"/>
  <c r="B97" i="59"/>
  <c r="B112" i="59"/>
  <c r="B115" i="59"/>
  <c r="C11" i="59"/>
  <c r="B103" i="59"/>
  <c r="I93" i="59"/>
  <c r="I95" i="59"/>
  <c r="I111" i="59"/>
  <c r="I113" i="59"/>
  <c r="I118" i="59"/>
  <c r="I98" i="59"/>
  <c r="I103" i="59"/>
  <c r="I97" i="59"/>
  <c r="I115" i="59"/>
  <c r="I91" i="59"/>
  <c r="I114" i="59"/>
  <c r="I99" i="59"/>
  <c r="I117" i="59"/>
  <c r="I107" i="59"/>
  <c r="I108" i="59"/>
  <c r="I110" i="59"/>
  <c r="I90" i="59"/>
  <c r="I96" i="59"/>
  <c r="I92" i="59"/>
  <c r="I109" i="59"/>
  <c r="I104" i="59"/>
  <c r="I112" i="59"/>
  <c r="I101" i="59"/>
  <c r="I94" i="59"/>
  <c r="I106" i="59"/>
  <c r="I119" i="59"/>
  <c r="I100" i="59"/>
  <c r="I102" i="59"/>
  <c r="I105" i="59"/>
  <c r="I116" i="59"/>
  <c r="B46" i="46" l="1"/>
  <c r="E46" i="46"/>
  <c r="H91" i="69"/>
  <c r="E92" i="71"/>
  <c r="G91" i="71"/>
  <c r="E92" i="69"/>
  <c r="B92" i="69"/>
  <c r="D91" i="71"/>
  <c r="B92" i="71"/>
  <c r="J90" i="71"/>
  <c r="H91" i="71"/>
  <c r="K91" i="71" s="1"/>
  <c r="M91" i="71" s="1"/>
  <c r="R11" i="70"/>
  <c r="Z101" i="59"/>
  <c r="B49" i="43"/>
  <c r="E49" i="43"/>
  <c r="B92" i="72"/>
  <c r="K91" i="72"/>
  <c r="D89" i="72"/>
  <c r="M88" i="72"/>
  <c r="J89" i="72"/>
  <c r="L89" i="72"/>
  <c r="G89" i="72"/>
  <c r="A91" i="72"/>
  <c r="I90" i="72"/>
  <c r="F90" i="72"/>
  <c r="C90" i="72"/>
  <c r="H48" i="49"/>
  <c r="K47" i="49"/>
  <c r="I47" i="49" s="1"/>
  <c r="K46" i="49"/>
  <c r="I46" i="49" s="1"/>
  <c r="I27" i="68"/>
  <c r="N27" i="68"/>
  <c r="C21" i="49"/>
  <c r="P23" i="70" s="1"/>
  <c r="C29" i="49"/>
  <c r="P31" i="70" s="1"/>
  <c r="G82" i="70"/>
  <c r="A84" i="70"/>
  <c r="F83" i="70"/>
  <c r="I83" i="70"/>
  <c r="C83" i="70"/>
  <c r="K82" i="70"/>
  <c r="M81" i="70"/>
  <c r="D82" i="70"/>
  <c r="L82" i="70"/>
  <c r="J82" i="70"/>
  <c r="U8" i="63"/>
  <c r="R8" i="64"/>
  <c r="Q96" i="59"/>
  <c r="R105" i="59"/>
  <c r="R90" i="59"/>
  <c r="Q100" i="59"/>
  <c r="R109" i="59"/>
  <c r="R102" i="59"/>
  <c r="R116" i="59"/>
  <c r="Q115" i="59"/>
  <c r="O77" i="69"/>
  <c r="P77" i="69"/>
  <c r="Q77" i="69"/>
  <c r="L77" i="69"/>
  <c r="A79" i="69"/>
  <c r="I78" i="69"/>
  <c r="J78" i="69" s="1"/>
  <c r="F78" i="69"/>
  <c r="G78" i="69" s="1"/>
  <c r="C78" i="69"/>
  <c r="D78" i="69" s="1"/>
  <c r="K77" i="69"/>
  <c r="M76" i="69"/>
  <c r="N76" i="69"/>
  <c r="A10" i="55"/>
  <c r="N10" i="55" s="1"/>
  <c r="N9" i="55"/>
  <c r="AB65" i="43"/>
  <c r="AC64" i="43"/>
  <c r="AK19" i="59"/>
  <c r="AL19" i="59" s="1"/>
  <c r="A10" i="46"/>
  <c r="A11" i="46" s="1"/>
  <c r="N11" i="46" s="1"/>
  <c r="Q18" i="59"/>
  <c r="M18" i="59"/>
  <c r="T18" i="59"/>
  <c r="F19" i="49"/>
  <c r="Q21" i="70" s="1"/>
  <c r="H8" i="46"/>
  <c r="B9" i="46"/>
  <c r="H8" i="56"/>
  <c r="D21" i="31"/>
  <c r="E11" i="49"/>
  <c r="A12" i="49"/>
  <c r="A13" i="49" s="1"/>
  <c r="A14" i="49" s="1"/>
  <c r="A15" i="49" s="1"/>
  <c r="E15" i="49" s="1"/>
  <c r="B10" i="49"/>
  <c r="B19" i="59"/>
  <c r="B20" i="59" s="1"/>
  <c r="F20" i="59" s="1"/>
  <c r="F39" i="56"/>
  <c r="G39" i="56" s="1"/>
  <c r="M20" i="59"/>
  <c r="M19" i="59"/>
  <c r="G8" i="46"/>
  <c r="E9" i="46"/>
  <c r="D8" i="56"/>
  <c r="L9" i="49"/>
  <c r="M9" i="49" s="1"/>
  <c r="J9" i="49"/>
  <c r="D11" i="43"/>
  <c r="D8" i="55"/>
  <c r="F32" i="49"/>
  <c r="Q34" i="70" s="1"/>
  <c r="F16" i="49"/>
  <c r="Q18" i="70" s="1"/>
  <c r="F38" i="49"/>
  <c r="Q40" i="70" s="1"/>
  <c r="H43" i="49"/>
  <c r="B12" i="43"/>
  <c r="I8" i="55"/>
  <c r="A14" i="43"/>
  <c r="E14" i="43" s="1"/>
  <c r="F30" i="49"/>
  <c r="Q32" i="70" s="1"/>
  <c r="I8" i="56"/>
  <c r="L8" i="56" s="1"/>
  <c r="M8" i="56" s="1"/>
  <c r="AF19" i="59"/>
  <c r="K12" i="59" s="1"/>
  <c r="G8" i="55"/>
  <c r="H11" i="49"/>
  <c r="AJ19" i="59"/>
  <c r="Y19" i="59" s="1"/>
  <c r="AA19" i="59" s="1"/>
  <c r="C28" i="49"/>
  <c r="P30" i="70" s="1"/>
  <c r="F21" i="49"/>
  <c r="Q23" i="70" s="1"/>
  <c r="F20" i="49"/>
  <c r="Q22" i="70" s="1"/>
  <c r="I6" i="49"/>
  <c r="I35" i="49" s="1"/>
  <c r="R37" i="70" s="1"/>
  <c r="B13" i="43"/>
  <c r="H39" i="56"/>
  <c r="I39" i="56" s="1"/>
  <c r="J39" i="56" s="1"/>
  <c r="B14" i="43"/>
  <c r="H52" i="31"/>
  <c r="C17" i="49"/>
  <c r="P19" i="70" s="1"/>
  <c r="C22" i="49"/>
  <c r="P24" i="70" s="1"/>
  <c r="C10" i="49"/>
  <c r="P12" i="70" s="1"/>
  <c r="C35" i="49"/>
  <c r="P37" i="70" s="1"/>
  <c r="C36" i="49"/>
  <c r="P38" i="70" s="1"/>
  <c r="C33" i="49"/>
  <c r="P35" i="70" s="1"/>
  <c r="C39" i="49"/>
  <c r="P41" i="70" s="1"/>
  <c r="C20" i="49"/>
  <c r="P22" i="70" s="1"/>
  <c r="C24" i="49"/>
  <c r="P26" i="70" s="1"/>
  <c r="C12" i="49"/>
  <c r="P14" i="70" s="1"/>
  <c r="H39" i="46"/>
  <c r="H45" i="46" s="1"/>
  <c r="C37" i="49"/>
  <c r="P39" i="70" s="1"/>
  <c r="C13" i="49"/>
  <c r="P15" i="70" s="1"/>
  <c r="C16" i="49"/>
  <c r="P18" i="70" s="1"/>
  <c r="C31" i="49"/>
  <c r="P33" i="70" s="1"/>
  <c r="C40" i="49"/>
  <c r="P42" i="70" s="1"/>
  <c r="C18" i="49"/>
  <c r="P20" i="70" s="1"/>
  <c r="C25" i="49"/>
  <c r="P27" i="70" s="1"/>
  <c r="C26" i="49"/>
  <c r="P28" i="70" s="1"/>
  <c r="A11" i="55"/>
  <c r="N11" i="55" s="1"/>
  <c r="F17" i="49"/>
  <c r="Q19" i="70" s="1"/>
  <c r="B10" i="60"/>
  <c r="C45" i="52"/>
  <c r="C10" i="60" s="1"/>
  <c r="I12" i="31"/>
  <c r="G15" i="31" s="1"/>
  <c r="F12" i="31"/>
  <c r="I11" i="31"/>
  <c r="F15" i="31" s="1"/>
  <c r="G11" i="43"/>
  <c r="E13" i="43"/>
  <c r="E12" i="43"/>
  <c r="H11" i="43"/>
  <c r="E9" i="55"/>
  <c r="E10" i="56"/>
  <c r="G8" i="56"/>
  <c r="E15" i="56"/>
  <c r="E9" i="56"/>
  <c r="E12" i="56"/>
  <c r="E13" i="56"/>
  <c r="B12" i="56"/>
  <c r="B13" i="56"/>
  <c r="C39" i="56"/>
  <c r="D39" i="56" s="1"/>
  <c r="E14" i="56"/>
  <c r="H11" i="31"/>
  <c r="I21" i="31"/>
  <c r="L21" i="31" s="1"/>
  <c r="M21" i="31" s="1"/>
  <c r="G21" i="31"/>
  <c r="F40" i="49"/>
  <c r="Q42" i="70" s="1"/>
  <c r="C30" i="49"/>
  <c r="P32" i="70" s="1"/>
  <c r="C27" i="49"/>
  <c r="P29" i="70" s="1"/>
  <c r="F27" i="49"/>
  <c r="Q29" i="70" s="1"/>
  <c r="C23" i="49"/>
  <c r="P25" i="70" s="1"/>
  <c r="F23" i="49"/>
  <c r="Q25" i="70" s="1"/>
  <c r="C19" i="49"/>
  <c r="P21" i="70" s="1"/>
  <c r="F11" i="49"/>
  <c r="Q13" i="70" s="1"/>
  <c r="B23" i="31"/>
  <c r="B25" i="31"/>
  <c r="B26" i="31"/>
  <c r="B22" i="31"/>
  <c r="B15" i="56"/>
  <c r="A16" i="56"/>
  <c r="B16" i="56" s="1"/>
  <c r="C38" i="49"/>
  <c r="P40" i="70" s="1"/>
  <c r="F34" i="49"/>
  <c r="Q36" i="70" s="1"/>
  <c r="A27" i="31"/>
  <c r="E27" i="31" s="1"/>
  <c r="E26" i="31"/>
  <c r="F28" i="49"/>
  <c r="Q30" i="70" s="1"/>
  <c r="F35" i="49"/>
  <c r="Q37" i="70" s="1"/>
  <c r="F26" i="49"/>
  <c r="Q28" i="70" s="1"/>
  <c r="F13" i="49"/>
  <c r="Q15" i="70" s="1"/>
  <c r="F25" i="49"/>
  <c r="Q27" i="70" s="1"/>
  <c r="F36" i="49"/>
  <c r="Q38" i="70" s="1"/>
  <c r="F10" i="49"/>
  <c r="Q12" i="70" s="1"/>
  <c r="F33" i="49"/>
  <c r="Q35" i="70" s="1"/>
  <c r="F31" i="49"/>
  <c r="Q33" i="70" s="1"/>
  <c r="F39" i="49"/>
  <c r="Q41" i="70" s="1"/>
  <c r="F12" i="49"/>
  <c r="Q14" i="70" s="1"/>
  <c r="F37" i="49"/>
  <c r="Q39" i="70" s="1"/>
  <c r="B11" i="56"/>
  <c r="B11" i="49"/>
  <c r="F29" i="49"/>
  <c r="Q31" i="70" s="1"/>
  <c r="B9" i="56"/>
  <c r="F22" i="49"/>
  <c r="Q24" i="70" s="1"/>
  <c r="F18" i="49"/>
  <c r="Q20" i="70" s="1"/>
  <c r="F14" i="49"/>
  <c r="Q16" i="70" s="1"/>
  <c r="H8" i="55"/>
  <c r="E11" i="56"/>
  <c r="B14" i="56"/>
  <c r="B10" i="56"/>
  <c r="F24" i="49"/>
  <c r="Q26" i="70" s="1"/>
  <c r="G11" i="58"/>
  <c r="AH19" i="61"/>
  <c r="A20" i="61"/>
  <c r="F19" i="61"/>
  <c r="W19" i="61" s="1"/>
  <c r="B19" i="61"/>
  <c r="T19" i="61" s="1"/>
  <c r="J19" i="61"/>
  <c r="Z19" i="61" s="1"/>
  <c r="N18" i="61"/>
  <c r="F15" i="49"/>
  <c r="Q17" i="70" s="1"/>
  <c r="C15" i="49"/>
  <c r="P17" i="70" s="1"/>
  <c r="B24" i="31"/>
  <c r="A12" i="46"/>
  <c r="E11" i="46"/>
  <c r="I11" i="43"/>
  <c r="R11" i="72" s="1"/>
  <c r="B10" i="46"/>
  <c r="B9" i="55"/>
  <c r="H39" i="55"/>
  <c r="E24" i="31"/>
  <c r="E22" i="31"/>
  <c r="I8" i="46"/>
  <c r="D8" i="46"/>
  <c r="E10" i="49"/>
  <c r="H10" i="49"/>
  <c r="H42" i="43"/>
  <c r="H48" i="43" s="1"/>
  <c r="C32" i="49"/>
  <c r="P34" i="70" s="1"/>
  <c r="C11" i="49"/>
  <c r="P13" i="70" s="1"/>
  <c r="C34" i="49"/>
  <c r="P36" i="70" s="1"/>
  <c r="E25" i="31"/>
  <c r="E23" i="31"/>
  <c r="H21" i="31"/>
  <c r="C14" i="49"/>
  <c r="P16" i="70" s="1"/>
  <c r="G12" i="31"/>
  <c r="I13" i="31"/>
  <c r="H15" i="31" s="1"/>
  <c r="G11" i="31"/>
  <c r="H12" i="31"/>
  <c r="F11" i="31"/>
  <c r="F13" i="31"/>
  <c r="H13" i="31"/>
  <c r="G13" i="31"/>
  <c r="X23" i="59"/>
  <c r="AC19" i="59"/>
  <c r="D12" i="59" s="1"/>
  <c r="J19" i="59"/>
  <c r="L19" i="59" s="1"/>
  <c r="C18" i="59"/>
  <c r="R97" i="59"/>
  <c r="Q114" i="59"/>
  <c r="R112" i="59"/>
  <c r="Q92" i="59"/>
  <c r="Q116" i="59"/>
  <c r="Q105" i="59"/>
  <c r="R115" i="59"/>
  <c r="H42" i="58"/>
  <c r="H51" i="58" s="1"/>
  <c r="H52" i="58" s="1"/>
  <c r="H53" i="58" s="1"/>
  <c r="H54" i="58" s="1"/>
  <c r="H55" i="58" s="1"/>
  <c r="H56" i="58" s="1"/>
  <c r="H57" i="58" s="1"/>
  <c r="H58" i="58" s="1"/>
  <c r="H59" i="58" s="1"/>
  <c r="H60" i="58" s="1"/>
  <c r="H61" i="58" s="1"/>
  <c r="H62" i="58" s="1"/>
  <c r="H63" i="58" s="1"/>
  <c r="H64" i="58" s="1"/>
  <c r="H65" i="58" s="1"/>
  <c r="H66" i="58" s="1"/>
  <c r="H67" i="58" s="1"/>
  <c r="H68" i="58" s="1"/>
  <c r="H69" i="58" s="1"/>
  <c r="H70" i="58" s="1"/>
  <c r="H71" i="58" s="1"/>
  <c r="H72" i="58" s="1"/>
  <c r="H73" i="58" s="1"/>
  <c r="H74" i="58" s="1"/>
  <c r="H75" i="58" s="1"/>
  <c r="H76" i="58" s="1"/>
  <c r="H77" i="58" s="1"/>
  <c r="H78" i="58" s="1"/>
  <c r="H79" i="58" s="1"/>
  <c r="H80" i="58" s="1"/>
  <c r="H81" i="58" s="1"/>
  <c r="H82" i="58" s="1"/>
  <c r="H83" i="58" s="1"/>
  <c r="H84" i="58" s="1"/>
  <c r="H85" i="58" s="1"/>
  <c r="H86" i="58" s="1"/>
  <c r="H87" i="58" s="1"/>
  <c r="H88" i="58" s="1"/>
  <c r="H89" i="58" s="1"/>
  <c r="H90" i="58" s="1"/>
  <c r="H91" i="58" s="1"/>
  <c r="H92" i="58" s="1"/>
  <c r="H93" i="58" s="1"/>
  <c r="H94" i="58" s="1"/>
  <c r="H95" i="58" s="1"/>
  <c r="H96" i="58" s="1"/>
  <c r="H97" i="58" s="1"/>
  <c r="H98" i="58" s="1"/>
  <c r="H99" i="58" s="1"/>
  <c r="H100" i="58" s="1"/>
  <c r="Q99" i="59"/>
  <c r="R113" i="59"/>
  <c r="Q93" i="59"/>
  <c r="R91" i="59"/>
  <c r="R104" i="59"/>
  <c r="R103" i="59"/>
  <c r="Q117" i="59"/>
  <c r="R107" i="59"/>
  <c r="Q98" i="59"/>
  <c r="Q118" i="59"/>
  <c r="Q95" i="59"/>
  <c r="Q108" i="59"/>
  <c r="K106" i="59"/>
  <c r="J108" i="59"/>
  <c r="J114" i="59"/>
  <c r="J97" i="59"/>
  <c r="K113" i="59"/>
  <c r="J18" i="59"/>
  <c r="K116" i="59"/>
  <c r="J119" i="59"/>
  <c r="J112" i="59"/>
  <c r="J96" i="59"/>
  <c r="J107" i="59"/>
  <c r="K91" i="59"/>
  <c r="J103" i="59"/>
  <c r="K111" i="59"/>
  <c r="J20" i="59"/>
  <c r="D110" i="59"/>
  <c r="D105" i="59"/>
  <c r="C108" i="59"/>
  <c r="D11" i="58"/>
  <c r="J105" i="59"/>
  <c r="J106" i="59"/>
  <c r="J104" i="59"/>
  <c r="J90" i="59"/>
  <c r="K96" i="59"/>
  <c r="K108" i="59"/>
  <c r="J102" i="59"/>
  <c r="K94" i="59"/>
  <c r="K109" i="59"/>
  <c r="K110" i="59"/>
  <c r="J117" i="59"/>
  <c r="J91" i="59"/>
  <c r="K98" i="59"/>
  <c r="K95" i="59"/>
  <c r="J98" i="59"/>
  <c r="J100" i="59"/>
  <c r="J110" i="59"/>
  <c r="K99" i="59"/>
  <c r="J115" i="59"/>
  <c r="K118" i="59"/>
  <c r="Q94" i="59"/>
  <c r="R111" i="59"/>
  <c r="Q112" i="59"/>
  <c r="Q102" i="59"/>
  <c r="Q109" i="59"/>
  <c r="R118" i="59"/>
  <c r="R96" i="59"/>
  <c r="R100" i="59"/>
  <c r="R119" i="59"/>
  <c r="Q90" i="59"/>
  <c r="Q97" i="59"/>
  <c r="R110" i="59"/>
  <c r="R92" i="59"/>
  <c r="Q101" i="59"/>
  <c r="R114" i="59"/>
  <c r="Q106" i="59"/>
  <c r="Q119" i="59"/>
  <c r="Q107" i="59"/>
  <c r="D113" i="59"/>
  <c r="D94" i="59"/>
  <c r="D119" i="59"/>
  <c r="Q111" i="59"/>
  <c r="J113" i="59"/>
  <c r="K97" i="59"/>
  <c r="R95" i="59"/>
  <c r="D96" i="59"/>
  <c r="C119" i="59"/>
  <c r="C101" i="59"/>
  <c r="C111" i="59"/>
  <c r="D118" i="59"/>
  <c r="Q113" i="59"/>
  <c r="J116" i="59"/>
  <c r="J94" i="59"/>
  <c r="K107" i="59"/>
  <c r="J99" i="59"/>
  <c r="C102" i="59"/>
  <c r="C100" i="59"/>
  <c r="D95" i="59"/>
  <c r="D114" i="59"/>
  <c r="C95" i="59"/>
  <c r="C116" i="59"/>
  <c r="R94" i="59"/>
  <c r="Q104" i="59"/>
  <c r="D92" i="59"/>
  <c r="C105" i="59"/>
  <c r="J95" i="59"/>
  <c r="K102" i="59"/>
  <c r="C114" i="59"/>
  <c r="R108" i="59"/>
  <c r="Q91" i="59"/>
  <c r="K112" i="59"/>
  <c r="K119" i="59"/>
  <c r="J109" i="59"/>
  <c r="K90" i="59"/>
  <c r="K117" i="59"/>
  <c r="K114" i="59"/>
  <c r="K115" i="59"/>
  <c r="K103" i="59"/>
  <c r="D116" i="59"/>
  <c r="D103" i="59"/>
  <c r="D97" i="59"/>
  <c r="C99" i="59"/>
  <c r="C91" i="59"/>
  <c r="D107" i="59"/>
  <c r="C96" i="59"/>
  <c r="D108" i="59"/>
  <c r="C117" i="59"/>
  <c r="Q103" i="59"/>
  <c r="R117" i="59"/>
  <c r="R99" i="59"/>
  <c r="K104" i="59"/>
  <c r="D106" i="59"/>
  <c r="C98" i="59"/>
  <c r="C90" i="59"/>
  <c r="C113" i="59"/>
  <c r="C94" i="59"/>
  <c r="R98" i="59"/>
  <c r="R93" i="59"/>
  <c r="C107" i="59"/>
  <c r="C106" i="59"/>
  <c r="C92" i="59"/>
  <c r="C118" i="59"/>
  <c r="D90" i="59"/>
  <c r="D101" i="59"/>
  <c r="D117" i="59"/>
  <c r="D112" i="59"/>
  <c r="C97" i="59"/>
  <c r="C93" i="59"/>
  <c r="D111" i="59"/>
  <c r="D104" i="59"/>
  <c r="D98" i="59"/>
  <c r="D100" i="59"/>
  <c r="C115" i="59"/>
  <c r="D109" i="59"/>
  <c r="D93" i="59"/>
  <c r="C104" i="59"/>
  <c r="R106" i="59"/>
  <c r="R101" i="59"/>
  <c r="Q110" i="59"/>
  <c r="D99" i="59"/>
  <c r="K105" i="59"/>
  <c r="K100" i="59"/>
  <c r="C110" i="59"/>
  <c r="D102" i="59"/>
  <c r="C112" i="59"/>
  <c r="C109" i="59"/>
  <c r="D115" i="59"/>
  <c r="K93" i="59"/>
  <c r="J93" i="59"/>
  <c r="K101" i="59"/>
  <c r="J101" i="59"/>
  <c r="J92" i="59"/>
  <c r="K92" i="59"/>
  <c r="J118" i="59"/>
  <c r="J111" i="59"/>
  <c r="M21" i="59"/>
  <c r="J21" i="59"/>
  <c r="L21" i="59" s="1"/>
  <c r="I22" i="59"/>
  <c r="D91" i="59"/>
  <c r="C103" i="59"/>
  <c r="P20" i="59"/>
  <c r="Q19" i="59"/>
  <c r="S19" i="59" s="1"/>
  <c r="I11" i="58"/>
  <c r="A13" i="58"/>
  <c r="B13" i="58" s="1"/>
  <c r="E12" i="58"/>
  <c r="B12" i="58"/>
  <c r="H11" i="58"/>
  <c r="H13" i="49" l="1"/>
  <c r="E14" i="49"/>
  <c r="G14" i="49" s="1"/>
  <c r="AH110" i="59"/>
  <c r="AH115" i="59" s="1"/>
  <c r="AH111" i="59"/>
  <c r="AH112" i="59"/>
  <c r="AE112" i="59"/>
  <c r="AE111" i="59"/>
  <c r="AE110" i="59"/>
  <c r="AE115" i="59" s="1"/>
  <c r="AK111" i="59"/>
  <c r="AK110" i="59"/>
  <c r="AK115" i="59" s="1"/>
  <c r="AK112" i="59"/>
  <c r="E47" i="46"/>
  <c r="H46" i="46"/>
  <c r="K45" i="46"/>
  <c r="I45" i="46" s="1"/>
  <c r="B47" i="46"/>
  <c r="K46" i="46"/>
  <c r="M46" i="46" s="1"/>
  <c r="B93" i="69"/>
  <c r="E93" i="71"/>
  <c r="G92" i="71"/>
  <c r="B93" i="71"/>
  <c r="D92" i="71"/>
  <c r="H92" i="71"/>
  <c r="J91" i="71"/>
  <c r="E93" i="69"/>
  <c r="H92" i="69"/>
  <c r="AH109" i="59"/>
  <c r="AH114" i="59" s="1"/>
  <c r="AE109" i="59"/>
  <c r="AE114" i="59" s="1"/>
  <c r="AK109" i="59"/>
  <c r="AK114" i="59" s="1"/>
  <c r="F19" i="59"/>
  <c r="L113" i="59"/>
  <c r="C20" i="59"/>
  <c r="E101" i="59"/>
  <c r="L109" i="59"/>
  <c r="B93" i="72"/>
  <c r="K92" i="72"/>
  <c r="H49" i="43"/>
  <c r="K48" i="43"/>
  <c r="I48" i="43" s="1"/>
  <c r="E50" i="43"/>
  <c r="B50" i="43"/>
  <c r="K49" i="43"/>
  <c r="M49" i="43" s="1"/>
  <c r="D90" i="72"/>
  <c r="G90" i="72"/>
  <c r="J90" i="72"/>
  <c r="L90" i="72"/>
  <c r="A92" i="72"/>
  <c r="I91" i="72"/>
  <c r="F91" i="72"/>
  <c r="C91" i="72"/>
  <c r="M89" i="72"/>
  <c r="E10" i="46"/>
  <c r="B11" i="46"/>
  <c r="B15" i="49"/>
  <c r="D15" i="49" s="1"/>
  <c r="N10" i="46"/>
  <c r="J46" i="49"/>
  <c r="R51" i="70"/>
  <c r="M47" i="49"/>
  <c r="F47" i="49"/>
  <c r="C47" i="49"/>
  <c r="H49" i="49"/>
  <c r="H50" i="49" s="1"/>
  <c r="K48" i="49"/>
  <c r="I48" i="49" s="1"/>
  <c r="J47" i="49"/>
  <c r="R52" i="70"/>
  <c r="M46" i="49"/>
  <c r="C46" i="49"/>
  <c r="F46" i="49"/>
  <c r="O27" i="68"/>
  <c r="K28" i="68"/>
  <c r="C28" i="68"/>
  <c r="E28" i="68" s="1"/>
  <c r="G28" i="68"/>
  <c r="I28" i="68" s="1"/>
  <c r="M82" i="70"/>
  <c r="L83" i="70"/>
  <c r="J83" i="70"/>
  <c r="G83" i="70"/>
  <c r="A85" i="70"/>
  <c r="I84" i="70"/>
  <c r="F84" i="70"/>
  <c r="C84" i="70"/>
  <c r="D83" i="70"/>
  <c r="K83" i="70"/>
  <c r="C19" i="59"/>
  <c r="E19" i="59" s="1"/>
  <c r="B21" i="59"/>
  <c r="C21" i="59" s="1"/>
  <c r="E21" i="59" s="1"/>
  <c r="E10" i="55"/>
  <c r="B10" i="55"/>
  <c r="K78" i="69"/>
  <c r="Q78" i="69"/>
  <c r="L78" i="69"/>
  <c r="A80" i="69"/>
  <c r="I79" i="69"/>
  <c r="J79" i="69" s="1"/>
  <c r="F79" i="69"/>
  <c r="G79" i="69" s="1"/>
  <c r="C79" i="69"/>
  <c r="D79" i="69" s="1"/>
  <c r="N77" i="69"/>
  <c r="M77" i="69"/>
  <c r="O78" i="69"/>
  <c r="P78" i="69"/>
  <c r="AB66" i="43"/>
  <c r="AC65" i="43"/>
  <c r="B13" i="49"/>
  <c r="D13" i="49" s="1"/>
  <c r="H14" i="49"/>
  <c r="B12" i="49"/>
  <c r="D12" i="49" s="1"/>
  <c r="E13" i="49"/>
  <c r="G13" i="49" s="1"/>
  <c r="B14" i="49"/>
  <c r="D14" i="49" s="1"/>
  <c r="K11" i="59"/>
  <c r="N21" i="59" s="1"/>
  <c r="L8" i="55"/>
  <c r="M8" i="55" s="1"/>
  <c r="H14" i="56"/>
  <c r="K14" i="56" s="1"/>
  <c r="I14" i="56" s="1"/>
  <c r="J14" i="56" s="1"/>
  <c r="G40" i="49"/>
  <c r="D40" i="49"/>
  <c r="L91" i="59"/>
  <c r="L112" i="59"/>
  <c r="L110" i="59"/>
  <c r="A28" i="31"/>
  <c r="E28" i="31" s="1"/>
  <c r="L108" i="59"/>
  <c r="L92" i="59"/>
  <c r="L114" i="59"/>
  <c r="L104" i="59"/>
  <c r="L101" i="59"/>
  <c r="B27" i="31"/>
  <c r="H12" i="49"/>
  <c r="H15" i="49"/>
  <c r="L90" i="59"/>
  <c r="A16" i="49"/>
  <c r="G11" i="49"/>
  <c r="H12" i="56"/>
  <c r="K12" i="56" s="1"/>
  <c r="F12" i="56" s="1"/>
  <c r="G12" i="56" s="1"/>
  <c r="N25" i="31"/>
  <c r="L93" i="59"/>
  <c r="L111" i="59"/>
  <c r="L105" i="59"/>
  <c r="L96" i="59"/>
  <c r="E12" i="49"/>
  <c r="L11" i="58"/>
  <c r="L95" i="59"/>
  <c r="L119" i="59"/>
  <c r="H11" i="46"/>
  <c r="L118" i="59"/>
  <c r="L107" i="59"/>
  <c r="L97" i="59"/>
  <c r="L103" i="59"/>
  <c r="L117" i="59"/>
  <c r="L116" i="59"/>
  <c r="L98" i="59"/>
  <c r="L94" i="59"/>
  <c r="L99" i="59"/>
  <c r="L115" i="59"/>
  <c r="L106" i="59"/>
  <c r="L100" i="59"/>
  <c r="L102" i="59"/>
  <c r="H11" i="55"/>
  <c r="D10" i="49"/>
  <c r="J8" i="56"/>
  <c r="J8" i="55"/>
  <c r="AI19" i="59"/>
  <c r="R12" i="59" s="1"/>
  <c r="K11" i="49"/>
  <c r="I34" i="49"/>
  <c r="R36" i="70" s="1"/>
  <c r="I22" i="49"/>
  <c r="R24" i="70" s="1"/>
  <c r="I18" i="49"/>
  <c r="R20" i="70" s="1"/>
  <c r="H12" i="46"/>
  <c r="H9" i="46"/>
  <c r="K9" i="46" s="1"/>
  <c r="A15" i="43"/>
  <c r="H15" i="43" s="1"/>
  <c r="N14" i="43"/>
  <c r="E105" i="59"/>
  <c r="E116" i="59"/>
  <c r="D11" i="59"/>
  <c r="E111" i="59"/>
  <c r="E89" i="59"/>
  <c r="E108" i="59"/>
  <c r="E107" i="59"/>
  <c r="E109" i="59"/>
  <c r="E93" i="59"/>
  <c r="E106" i="59"/>
  <c r="E91" i="59"/>
  <c r="E114" i="59"/>
  <c r="E95" i="59"/>
  <c r="I32" i="49"/>
  <c r="R34" i="70" s="1"/>
  <c r="I36" i="49"/>
  <c r="R38" i="70" s="1"/>
  <c r="I40" i="49"/>
  <c r="R42" i="70" s="1"/>
  <c r="I24" i="49"/>
  <c r="R26" i="70" s="1"/>
  <c r="I38" i="49"/>
  <c r="R40" i="70" s="1"/>
  <c r="I21" i="49"/>
  <c r="R23" i="70" s="1"/>
  <c r="I15" i="49"/>
  <c r="R17" i="70" s="1"/>
  <c r="I10" i="49"/>
  <c r="R12" i="70" s="1"/>
  <c r="I20" i="49"/>
  <c r="R22" i="70" s="1"/>
  <c r="I39" i="49"/>
  <c r="R41" i="70" s="1"/>
  <c r="I25" i="49"/>
  <c r="R27" i="70" s="1"/>
  <c r="I29" i="49"/>
  <c r="R31" i="70" s="1"/>
  <c r="I30" i="49"/>
  <c r="R32" i="70" s="1"/>
  <c r="I11" i="49"/>
  <c r="R13" i="70" s="1"/>
  <c r="I28" i="49"/>
  <c r="R30" i="70" s="1"/>
  <c r="I37" i="49"/>
  <c r="R39" i="70" s="1"/>
  <c r="I23" i="49"/>
  <c r="R25" i="70" s="1"/>
  <c r="I27" i="49"/>
  <c r="R29" i="70" s="1"/>
  <c r="I12" i="49"/>
  <c r="R14" i="70" s="1"/>
  <c r="I31" i="49"/>
  <c r="R33" i="70" s="1"/>
  <c r="L35" i="49"/>
  <c r="N34" i="64" s="1"/>
  <c r="H11" i="56"/>
  <c r="K11" i="56" s="1"/>
  <c r="I11" i="56" s="1"/>
  <c r="I17" i="49"/>
  <c r="R19" i="70" s="1"/>
  <c r="I13" i="49"/>
  <c r="R15" i="70" s="1"/>
  <c r="I33" i="49"/>
  <c r="R35" i="70" s="1"/>
  <c r="H9" i="56"/>
  <c r="K9" i="56" s="1"/>
  <c r="F9" i="56" s="1"/>
  <c r="G9" i="56" s="1"/>
  <c r="I14" i="49"/>
  <c r="R16" i="70" s="1"/>
  <c r="L6" i="49"/>
  <c r="H13" i="56"/>
  <c r="K13" i="56" s="1"/>
  <c r="C13" i="56" s="1"/>
  <c r="D13" i="56" s="1"/>
  <c r="I19" i="49"/>
  <c r="R21" i="70" s="1"/>
  <c r="I26" i="49"/>
  <c r="R28" i="70" s="1"/>
  <c r="I16" i="49"/>
  <c r="R18" i="70" s="1"/>
  <c r="H15" i="56"/>
  <c r="K15" i="56" s="1"/>
  <c r="F15" i="56" s="1"/>
  <c r="G15" i="56" s="1"/>
  <c r="G10" i="49"/>
  <c r="L39" i="56"/>
  <c r="M39" i="56" s="1"/>
  <c r="H10" i="56"/>
  <c r="K10" i="56" s="1"/>
  <c r="H10" i="46"/>
  <c r="E11" i="55"/>
  <c r="A12" i="55"/>
  <c r="B11" i="55"/>
  <c r="E16" i="56"/>
  <c r="A17" i="56"/>
  <c r="H16" i="56"/>
  <c r="N19" i="61"/>
  <c r="AH20" i="61"/>
  <c r="A21" i="61"/>
  <c r="F20" i="61"/>
  <c r="W20" i="61" s="1"/>
  <c r="B20" i="61"/>
  <c r="T20" i="61" s="1"/>
  <c r="J20" i="61"/>
  <c r="Z20" i="61" s="1"/>
  <c r="H14" i="43"/>
  <c r="K14" i="43" s="1"/>
  <c r="H13" i="43"/>
  <c r="K13" i="43" s="1"/>
  <c r="H12" i="43"/>
  <c r="K12" i="43" s="1"/>
  <c r="G15" i="49"/>
  <c r="D11" i="49"/>
  <c r="C41" i="49"/>
  <c r="H23" i="31"/>
  <c r="K23" i="31" s="1"/>
  <c r="H25" i="31"/>
  <c r="K25" i="31" s="1"/>
  <c r="H22" i="31"/>
  <c r="K22" i="31" s="1"/>
  <c r="H27" i="31"/>
  <c r="J21" i="31"/>
  <c r="H24" i="31"/>
  <c r="K24" i="31" s="1"/>
  <c r="H26" i="31"/>
  <c r="K26" i="31" s="1"/>
  <c r="J8" i="46"/>
  <c r="L8" i="46"/>
  <c r="J11" i="43"/>
  <c r="L11" i="43"/>
  <c r="A13" i="46"/>
  <c r="B12" i="46"/>
  <c r="N12" i="46"/>
  <c r="E12" i="46"/>
  <c r="H9" i="55"/>
  <c r="H10" i="55"/>
  <c r="F41" i="49"/>
  <c r="K10" i="49"/>
  <c r="N23" i="31"/>
  <c r="N26" i="31"/>
  <c r="N24" i="31"/>
  <c r="N27" i="31"/>
  <c r="N21" i="31"/>
  <c r="N22" i="31"/>
  <c r="F21" i="59"/>
  <c r="E99" i="59"/>
  <c r="E117" i="59"/>
  <c r="E98" i="59"/>
  <c r="E118" i="59"/>
  <c r="E103" i="59"/>
  <c r="E113" i="59"/>
  <c r="E102" i="59"/>
  <c r="S89" i="59"/>
  <c r="E92" i="59"/>
  <c r="L89" i="59"/>
  <c r="E100" i="59"/>
  <c r="X24" i="59"/>
  <c r="E115" i="59"/>
  <c r="E96" i="59"/>
  <c r="E90" i="59"/>
  <c r="E112" i="59"/>
  <c r="E104" i="59"/>
  <c r="E97" i="59"/>
  <c r="E94" i="59"/>
  <c r="E119" i="59"/>
  <c r="E110" i="59"/>
  <c r="M22" i="59"/>
  <c r="I23" i="59"/>
  <c r="J22" i="59"/>
  <c r="T20" i="59"/>
  <c r="Q20" i="59"/>
  <c r="P21" i="59"/>
  <c r="H12" i="58"/>
  <c r="K12" i="58" s="1"/>
  <c r="H13" i="58"/>
  <c r="J11" i="58"/>
  <c r="A14" i="58"/>
  <c r="E13" i="58"/>
  <c r="F5" i="58" l="1"/>
  <c r="C5" i="58"/>
  <c r="I5" i="58"/>
  <c r="F46" i="46"/>
  <c r="G46" i="46" s="1"/>
  <c r="C46" i="46"/>
  <c r="D46" i="46" s="1"/>
  <c r="AK117" i="59"/>
  <c r="AH117" i="59"/>
  <c r="AE117" i="59"/>
  <c r="AK116" i="59"/>
  <c r="AH116" i="59"/>
  <c r="AE116" i="59"/>
  <c r="I46" i="46"/>
  <c r="J46" i="46" s="1"/>
  <c r="H47" i="46"/>
  <c r="K47" i="46" s="1"/>
  <c r="B48" i="46"/>
  <c r="J45" i="46"/>
  <c r="M45" i="46"/>
  <c r="F45" i="46"/>
  <c r="C45" i="46"/>
  <c r="E48" i="46"/>
  <c r="AC53" i="59"/>
  <c r="AC71" i="59"/>
  <c r="K10" i="46"/>
  <c r="K15" i="49"/>
  <c r="H93" i="71"/>
  <c r="K93" i="71" s="1"/>
  <c r="M93" i="71" s="1"/>
  <c r="J92" i="71"/>
  <c r="E94" i="71"/>
  <c r="G93" i="71"/>
  <c r="E94" i="69"/>
  <c r="K92" i="71"/>
  <c r="M92" i="71" s="1"/>
  <c r="B94" i="69"/>
  <c r="H93" i="69"/>
  <c r="B94" i="71"/>
  <c r="D93" i="71"/>
  <c r="AM115" i="59"/>
  <c r="AM114" i="59"/>
  <c r="AF94" i="59"/>
  <c r="AF66" i="59"/>
  <c r="AF58" i="59"/>
  <c r="AF96" i="59"/>
  <c r="AF99" i="59"/>
  <c r="AF77" i="59"/>
  <c r="AF64" i="59"/>
  <c r="AF97" i="59"/>
  <c r="AF83" i="59"/>
  <c r="AF60" i="59"/>
  <c r="AF70" i="59"/>
  <c r="AF81" i="59"/>
  <c r="AF73" i="59"/>
  <c r="AC86" i="59"/>
  <c r="AC69" i="59"/>
  <c r="AC63" i="59"/>
  <c r="AC96" i="59"/>
  <c r="AC55" i="59"/>
  <c r="AC50" i="59"/>
  <c r="AC99" i="59"/>
  <c r="AC88" i="59"/>
  <c r="AC93" i="59"/>
  <c r="AC75" i="59"/>
  <c r="AC80" i="59"/>
  <c r="AC78" i="59"/>
  <c r="AC54" i="59"/>
  <c r="AC91" i="59"/>
  <c r="AC74" i="59"/>
  <c r="AC85" i="59"/>
  <c r="AC67" i="59"/>
  <c r="AC76" i="59"/>
  <c r="AC52" i="59"/>
  <c r="AC83" i="59"/>
  <c r="AC59" i="59"/>
  <c r="AC94" i="59"/>
  <c r="AC56" i="59"/>
  <c r="AC65" i="59"/>
  <c r="AC61" i="59"/>
  <c r="AC87" i="59"/>
  <c r="AC92" i="59"/>
  <c r="AC72" i="59"/>
  <c r="AC97" i="59"/>
  <c r="AC98" i="59"/>
  <c r="AC82" i="59"/>
  <c r="AC58" i="59"/>
  <c r="AC81" i="59"/>
  <c r="AC66" i="59"/>
  <c r="AC51" i="59"/>
  <c r="AC62" i="59"/>
  <c r="AC68" i="59"/>
  <c r="AF92" i="59"/>
  <c r="AF93" i="59"/>
  <c r="AF68" i="59"/>
  <c r="AF90" i="59"/>
  <c r="AF95" i="59"/>
  <c r="AF69" i="59"/>
  <c r="AF80" i="59"/>
  <c r="AF65" i="59"/>
  <c r="AF76" i="59"/>
  <c r="AF50" i="59"/>
  <c r="AF72" i="59"/>
  <c r="AF57" i="59"/>
  <c r="AF51" i="59"/>
  <c r="S113" i="59"/>
  <c r="AF88" i="59"/>
  <c r="AF89" i="59"/>
  <c r="AF53" i="59"/>
  <c r="AF86" i="59"/>
  <c r="AF91" i="59"/>
  <c r="AF54" i="59"/>
  <c r="AF79" i="59"/>
  <c r="AF63" i="59"/>
  <c r="AF62" i="59"/>
  <c r="AF75" i="59"/>
  <c r="AF71" i="59"/>
  <c r="AF56" i="59"/>
  <c r="AC95" i="59"/>
  <c r="AC100" i="59"/>
  <c r="AC84" i="59"/>
  <c r="AC57" i="59"/>
  <c r="AC89" i="59"/>
  <c r="AC90" i="59"/>
  <c r="AC73" i="59"/>
  <c r="AC70" i="59"/>
  <c r="AC79" i="59"/>
  <c r="AC64" i="59"/>
  <c r="AC77" i="59"/>
  <c r="AC60" i="59"/>
  <c r="AF100" i="59"/>
  <c r="AF84" i="59"/>
  <c r="AF85" i="59"/>
  <c r="AF98" i="59"/>
  <c r="AF82" i="59"/>
  <c r="AF87" i="59"/>
  <c r="AF52" i="59"/>
  <c r="AF67" i="59"/>
  <c r="AF78" i="59"/>
  <c r="AF61" i="59"/>
  <c r="AF74" i="59"/>
  <c r="AF59" i="59"/>
  <c r="AF55" i="59"/>
  <c r="AC20" i="59"/>
  <c r="AC48" i="59"/>
  <c r="AC49" i="59"/>
  <c r="K11" i="46"/>
  <c r="F91" i="59"/>
  <c r="G107" i="59"/>
  <c r="J48" i="43"/>
  <c r="R51" i="72"/>
  <c r="B51" i="43"/>
  <c r="M48" i="43"/>
  <c r="F48" i="43"/>
  <c r="C48" i="43"/>
  <c r="H50" i="43"/>
  <c r="K50" i="43" s="1"/>
  <c r="I49" i="43"/>
  <c r="F49" i="43"/>
  <c r="C49" i="43"/>
  <c r="E51" i="43"/>
  <c r="B94" i="72"/>
  <c r="K93" i="72"/>
  <c r="J91" i="72"/>
  <c r="L91" i="72"/>
  <c r="A93" i="72"/>
  <c r="F92" i="72"/>
  <c r="I92" i="72"/>
  <c r="C92" i="72"/>
  <c r="D91" i="72"/>
  <c r="M90" i="72"/>
  <c r="G91" i="72"/>
  <c r="B22" i="59"/>
  <c r="F22" i="59" s="1"/>
  <c r="G22" i="59" s="1"/>
  <c r="D46" i="49"/>
  <c r="P51" i="70"/>
  <c r="H51" i="49"/>
  <c r="K50" i="49"/>
  <c r="I50" i="49" s="1"/>
  <c r="K49" i="49"/>
  <c r="I49" i="49" s="1"/>
  <c r="F48" i="49"/>
  <c r="M48" i="49"/>
  <c r="C48" i="49"/>
  <c r="D47" i="49"/>
  <c r="P52" i="70"/>
  <c r="G46" i="49"/>
  <c r="Q51" i="70"/>
  <c r="J48" i="49"/>
  <c r="R53" i="70"/>
  <c r="G47" i="49"/>
  <c r="Q52" i="70"/>
  <c r="M49" i="49"/>
  <c r="L28" i="68"/>
  <c r="N28" i="68"/>
  <c r="K84" i="70"/>
  <c r="J84" i="70"/>
  <c r="L84" i="70"/>
  <c r="A86" i="70"/>
  <c r="I85" i="70"/>
  <c r="F85" i="70"/>
  <c r="C85" i="70"/>
  <c r="M83" i="70"/>
  <c r="D84" i="70"/>
  <c r="G84" i="70"/>
  <c r="AC40" i="59"/>
  <c r="AC36" i="59"/>
  <c r="AF34" i="59"/>
  <c r="N19" i="59"/>
  <c r="AF46" i="59"/>
  <c r="N102" i="59"/>
  <c r="M99" i="59"/>
  <c r="M117" i="59"/>
  <c r="N118" i="59"/>
  <c r="N111" i="59"/>
  <c r="AF36" i="59"/>
  <c r="N18" i="59"/>
  <c r="AF42" i="59"/>
  <c r="AF26" i="59"/>
  <c r="M114" i="59"/>
  <c r="AF35" i="59"/>
  <c r="AF45" i="59"/>
  <c r="N114" i="59"/>
  <c r="N110" i="59"/>
  <c r="K10" i="55"/>
  <c r="I10" i="55" s="1"/>
  <c r="M101" i="59"/>
  <c r="M108" i="59"/>
  <c r="K14" i="49"/>
  <c r="Q79" i="69"/>
  <c r="L79" i="69"/>
  <c r="A81" i="69"/>
  <c r="I80" i="69"/>
  <c r="J80" i="69" s="1"/>
  <c r="F80" i="69"/>
  <c r="G80" i="69" s="1"/>
  <c r="C80" i="69"/>
  <c r="D80" i="69" s="1"/>
  <c r="M78" i="69"/>
  <c r="N78" i="69"/>
  <c r="O79" i="69"/>
  <c r="P79" i="69"/>
  <c r="K79" i="69"/>
  <c r="M11" i="58"/>
  <c r="F6" i="58"/>
  <c r="F8" i="58" s="1"/>
  <c r="I6" i="58"/>
  <c r="I8" i="58" s="1"/>
  <c r="I13" i="58" s="1"/>
  <c r="AB67" i="43"/>
  <c r="AC66" i="43"/>
  <c r="AC29" i="59"/>
  <c r="K13" i="49"/>
  <c r="G18" i="59"/>
  <c r="AC38" i="59"/>
  <c r="F101" i="59"/>
  <c r="AC45" i="59"/>
  <c r="AC23" i="59"/>
  <c r="G97" i="59"/>
  <c r="F96" i="59"/>
  <c r="AF23" i="59"/>
  <c r="AF32" i="59"/>
  <c r="AF24" i="59"/>
  <c r="AF40" i="59"/>
  <c r="AF28" i="59"/>
  <c r="AF37" i="59"/>
  <c r="AF49" i="59"/>
  <c r="AF39" i="59"/>
  <c r="AF31" i="59"/>
  <c r="AF44" i="59"/>
  <c r="M106" i="59"/>
  <c r="N98" i="59"/>
  <c r="N97" i="59"/>
  <c r="N119" i="59"/>
  <c r="N96" i="59"/>
  <c r="N108" i="59"/>
  <c r="N22" i="59"/>
  <c r="N113" i="59"/>
  <c r="AF33" i="59"/>
  <c r="M110" i="59"/>
  <c r="AF21" i="59"/>
  <c r="N101" i="59"/>
  <c r="M100" i="59"/>
  <c r="M94" i="59"/>
  <c r="M103" i="59"/>
  <c r="M93" i="59"/>
  <c r="M92" i="59"/>
  <c r="N112" i="59"/>
  <c r="M90" i="59"/>
  <c r="M109" i="59"/>
  <c r="N91" i="59"/>
  <c r="M113" i="59"/>
  <c r="AF48" i="59"/>
  <c r="AF29" i="59"/>
  <c r="AF22" i="59"/>
  <c r="AF47" i="59"/>
  <c r="N90" i="59"/>
  <c r="N109" i="59"/>
  <c r="M91" i="59"/>
  <c r="AF38" i="59"/>
  <c r="AF43" i="59"/>
  <c r="N20" i="59"/>
  <c r="AF25" i="59"/>
  <c r="AF20" i="59"/>
  <c r="AF27" i="59"/>
  <c r="AF41" i="59"/>
  <c r="AF30" i="59"/>
  <c r="M115" i="59"/>
  <c r="N116" i="59"/>
  <c r="N107" i="59"/>
  <c r="N95" i="59"/>
  <c r="N105" i="59"/>
  <c r="N104" i="59"/>
  <c r="N94" i="59"/>
  <c r="M104" i="59"/>
  <c r="M112" i="59"/>
  <c r="N103" i="59"/>
  <c r="N93" i="59"/>
  <c r="AC28" i="59"/>
  <c r="AC44" i="59"/>
  <c r="N92" i="59"/>
  <c r="F110" i="59"/>
  <c r="G104" i="59"/>
  <c r="K27" i="31"/>
  <c r="C27" i="31" s="1"/>
  <c r="D27" i="31" s="1"/>
  <c r="L33" i="49"/>
  <c r="L23" i="49"/>
  <c r="L30" i="49"/>
  <c r="L20" i="49"/>
  <c r="L38" i="49"/>
  <c r="L32" i="49"/>
  <c r="L18" i="49"/>
  <c r="L34" i="49"/>
  <c r="L16" i="49"/>
  <c r="L13" i="49"/>
  <c r="L31" i="49"/>
  <c r="L37" i="49"/>
  <c r="L29" i="49"/>
  <c r="L10" i="49"/>
  <c r="L24" i="49"/>
  <c r="G92" i="59"/>
  <c r="F103" i="59"/>
  <c r="F99" i="59"/>
  <c r="L26" i="49"/>
  <c r="J14" i="49"/>
  <c r="L12" i="49"/>
  <c r="L28" i="49"/>
  <c r="L25" i="49"/>
  <c r="J15" i="49"/>
  <c r="J40" i="49"/>
  <c r="L22" i="49"/>
  <c r="K12" i="49"/>
  <c r="L19" i="49"/>
  <c r="L27" i="49"/>
  <c r="J11" i="49"/>
  <c r="L39" i="49"/>
  <c r="L21" i="49"/>
  <c r="L36" i="49"/>
  <c r="N28" i="31"/>
  <c r="B28" i="31"/>
  <c r="H28" i="31"/>
  <c r="N99" i="59"/>
  <c r="A29" i="31"/>
  <c r="A30" i="31" s="1"/>
  <c r="A17" i="49"/>
  <c r="H16" i="49"/>
  <c r="J16" i="49" s="1"/>
  <c r="B16" i="49"/>
  <c r="E16" i="49"/>
  <c r="G16" i="49" s="1"/>
  <c r="M119" i="59"/>
  <c r="M97" i="59"/>
  <c r="M96" i="59"/>
  <c r="M98" i="59"/>
  <c r="S101" i="59"/>
  <c r="S115" i="59"/>
  <c r="M118" i="59"/>
  <c r="M111" i="59"/>
  <c r="M102" i="59"/>
  <c r="G20" i="59"/>
  <c r="F107" i="59"/>
  <c r="AC39" i="59"/>
  <c r="F92" i="59"/>
  <c r="AC41" i="59"/>
  <c r="AC34" i="59"/>
  <c r="AC26" i="59"/>
  <c r="AC42" i="59"/>
  <c r="AC32" i="59"/>
  <c r="AC30" i="59"/>
  <c r="AC31" i="59"/>
  <c r="G91" i="59"/>
  <c r="N100" i="59"/>
  <c r="G119" i="59"/>
  <c r="F112" i="59"/>
  <c r="F100" i="59"/>
  <c r="G102" i="59"/>
  <c r="F98" i="59"/>
  <c r="G12" i="49"/>
  <c r="F95" i="59"/>
  <c r="G93" i="59"/>
  <c r="G105" i="59"/>
  <c r="AC25" i="59"/>
  <c r="G101" i="59"/>
  <c r="F97" i="59"/>
  <c r="AC37" i="59"/>
  <c r="AC35" i="59"/>
  <c r="AC22" i="59"/>
  <c r="AC43" i="59"/>
  <c r="AC33" i="59"/>
  <c r="G19" i="59"/>
  <c r="AC24" i="59"/>
  <c r="F94" i="59"/>
  <c r="G90" i="59"/>
  <c r="F113" i="59"/>
  <c r="F117" i="59"/>
  <c r="G21" i="59"/>
  <c r="G114" i="59"/>
  <c r="F109" i="59"/>
  <c r="G111" i="59"/>
  <c r="G99" i="59"/>
  <c r="AC27" i="59"/>
  <c r="AC46" i="59"/>
  <c r="AC47" i="59"/>
  <c r="AC21" i="59"/>
  <c r="G110" i="59"/>
  <c r="F104" i="59"/>
  <c r="G115" i="59"/>
  <c r="F118" i="59"/>
  <c r="G106" i="59"/>
  <c r="F108" i="59"/>
  <c r="F116" i="59"/>
  <c r="N115" i="59"/>
  <c r="M95" i="59"/>
  <c r="M105" i="59"/>
  <c r="M107" i="59"/>
  <c r="N117" i="59"/>
  <c r="M116" i="59"/>
  <c r="N106" i="59"/>
  <c r="G116" i="59"/>
  <c r="G96" i="59"/>
  <c r="G109" i="59"/>
  <c r="F106" i="59"/>
  <c r="G108" i="59"/>
  <c r="S102" i="59"/>
  <c r="S114" i="59"/>
  <c r="S111" i="59"/>
  <c r="S112" i="59"/>
  <c r="S98" i="59"/>
  <c r="C9" i="56"/>
  <c r="D9" i="56" s="1"/>
  <c r="S93" i="59"/>
  <c r="S92" i="59"/>
  <c r="R11" i="59"/>
  <c r="AI22" i="59" s="1"/>
  <c r="S95" i="59"/>
  <c r="S117" i="59"/>
  <c r="S94" i="59"/>
  <c r="S106" i="59"/>
  <c r="S97" i="59"/>
  <c r="S116" i="59"/>
  <c r="S91" i="59"/>
  <c r="S103" i="59"/>
  <c r="S105" i="59"/>
  <c r="S110" i="59"/>
  <c r="S96" i="59"/>
  <c r="S107" i="59"/>
  <c r="S118" i="59"/>
  <c r="S109" i="59"/>
  <c r="S104" i="59"/>
  <c r="S99" i="59"/>
  <c r="S119" i="59"/>
  <c r="S108" i="59"/>
  <c r="F105" i="59"/>
  <c r="G103" i="59"/>
  <c r="F93" i="59"/>
  <c r="F90" i="59"/>
  <c r="G117" i="59"/>
  <c r="G118" i="59"/>
  <c r="F115" i="59"/>
  <c r="I9" i="56"/>
  <c r="J9" i="56" s="1"/>
  <c r="C14" i="56"/>
  <c r="D14" i="56" s="1"/>
  <c r="S90" i="59"/>
  <c r="S100" i="59"/>
  <c r="I9" i="46"/>
  <c r="J9" i="46" s="1"/>
  <c r="I12" i="56"/>
  <c r="J12" i="56" s="1"/>
  <c r="L11" i="49"/>
  <c r="I12" i="43"/>
  <c r="F14" i="56"/>
  <c r="G14" i="56" s="1"/>
  <c r="F114" i="59"/>
  <c r="F111" i="59"/>
  <c r="N15" i="43"/>
  <c r="A16" i="43"/>
  <c r="B15" i="43"/>
  <c r="E15" i="43"/>
  <c r="L40" i="49"/>
  <c r="L15" i="49"/>
  <c r="G100" i="59"/>
  <c r="J12" i="49"/>
  <c r="G98" i="59"/>
  <c r="F102" i="59"/>
  <c r="G95" i="59"/>
  <c r="J10" i="49"/>
  <c r="F119" i="59"/>
  <c r="J13" i="49"/>
  <c r="G113" i="59"/>
  <c r="I41" i="49"/>
  <c r="L17" i="49"/>
  <c r="L14" i="49"/>
  <c r="C12" i="56"/>
  <c r="D12" i="56" s="1"/>
  <c r="K11" i="55"/>
  <c r="F11" i="55" s="1"/>
  <c r="F10" i="56"/>
  <c r="G10" i="56" s="1"/>
  <c r="I10" i="56"/>
  <c r="J10" i="56" s="1"/>
  <c r="C10" i="56"/>
  <c r="D10" i="56" s="1"/>
  <c r="J11" i="56"/>
  <c r="F13" i="56"/>
  <c r="G13" i="56" s="1"/>
  <c r="A18" i="56"/>
  <c r="H17" i="56"/>
  <c r="E17" i="56"/>
  <c r="B17" i="56"/>
  <c r="I13" i="56"/>
  <c r="N12" i="55"/>
  <c r="A13" i="55"/>
  <c r="B12" i="55"/>
  <c r="H12" i="55"/>
  <c r="E12" i="55"/>
  <c r="K16" i="56"/>
  <c r="C16" i="56" s="1"/>
  <c r="D16" i="56" s="1"/>
  <c r="C11" i="56"/>
  <c r="D11" i="56" s="1"/>
  <c r="F11" i="56"/>
  <c r="G11" i="56" s="1"/>
  <c r="C15" i="56"/>
  <c r="D15" i="56" s="1"/>
  <c r="I15" i="56"/>
  <c r="N20" i="61"/>
  <c r="AH21" i="61"/>
  <c r="A22" i="61"/>
  <c r="F21" i="61"/>
  <c r="W21" i="61" s="1"/>
  <c r="B21" i="61"/>
  <c r="T21" i="61" s="1"/>
  <c r="J21" i="61"/>
  <c r="Z21" i="61" s="1"/>
  <c r="C10" i="55"/>
  <c r="D10" i="55" s="1"/>
  <c r="F25" i="31"/>
  <c r="G25" i="31" s="1"/>
  <c r="C25" i="31"/>
  <c r="D25" i="31" s="1"/>
  <c r="I25" i="31"/>
  <c r="J25" i="31" s="1"/>
  <c r="K9" i="55"/>
  <c r="I9" i="55" s="1"/>
  <c r="G94" i="59"/>
  <c r="K12" i="46"/>
  <c r="C9" i="46"/>
  <c r="F9" i="46"/>
  <c r="M8" i="46"/>
  <c r="N13" i="46"/>
  <c r="E13" i="46"/>
  <c r="A14" i="46"/>
  <c r="B13" i="46"/>
  <c r="H13" i="46"/>
  <c r="M11" i="43"/>
  <c r="F12" i="43"/>
  <c r="Q12" i="72" s="1"/>
  <c r="C12" i="43"/>
  <c r="P12" i="72" s="1"/>
  <c r="F22" i="31"/>
  <c r="I22" i="31"/>
  <c r="C22" i="31"/>
  <c r="I26" i="31"/>
  <c r="F26" i="31"/>
  <c r="G26" i="31" s="1"/>
  <c r="C26" i="31"/>
  <c r="D26" i="31" s="1"/>
  <c r="F23" i="31"/>
  <c r="G23" i="31" s="1"/>
  <c r="C23" i="31"/>
  <c r="D23" i="31" s="1"/>
  <c r="I23" i="31"/>
  <c r="F24" i="31"/>
  <c r="G24" i="31" s="1"/>
  <c r="C24" i="31"/>
  <c r="D24" i="31" s="1"/>
  <c r="I24" i="31"/>
  <c r="G112" i="59"/>
  <c r="X25" i="59"/>
  <c r="K13" i="58"/>
  <c r="P22" i="59"/>
  <c r="T21" i="59"/>
  <c r="Q21" i="59"/>
  <c r="S21" i="59" s="1"/>
  <c r="I24" i="59"/>
  <c r="M23" i="59"/>
  <c r="N23" i="59" s="1"/>
  <c r="J23" i="59"/>
  <c r="A15" i="58"/>
  <c r="B14" i="58"/>
  <c r="E14" i="58"/>
  <c r="H14" i="58"/>
  <c r="AM117" i="59" l="1"/>
  <c r="AM116" i="59"/>
  <c r="M47" i="46"/>
  <c r="F47" i="46"/>
  <c r="G47" i="46" s="1"/>
  <c r="C47" i="46"/>
  <c r="D47" i="46" s="1"/>
  <c r="B49" i="46"/>
  <c r="E49" i="46"/>
  <c r="D45" i="46"/>
  <c r="H48" i="46"/>
  <c r="I47" i="46"/>
  <c r="G45" i="46"/>
  <c r="C22" i="59"/>
  <c r="B23" i="59"/>
  <c r="B24" i="59" s="1"/>
  <c r="E95" i="71"/>
  <c r="G94" i="71"/>
  <c r="H94" i="69"/>
  <c r="D94" i="71"/>
  <c r="B95" i="71"/>
  <c r="B95" i="69"/>
  <c r="E95" i="69"/>
  <c r="J93" i="71"/>
  <c r="H94" i="71"/>
  <c r="AI80" i="59"/>
  <c r="AI74" i="59"/>
  <c r="AI55" i="59"/>
  <c r="AI93" i="59"/>
  <c r="AI85" i="59"/>
  <c r="AI53" i="59"/>
  <c r="AI65" i="59"/>
  <c r="AI72" i="59"/>
  <c r="AI99" i="59"/>
  <c r="AI91" i="59"/>
  <c r="AI83" i="59"/>
  <c r="AI78" i="59"/>
  <c r="AI79" i="59"/>
  <c r="AI77" i="59"/>
  <c r="AI59" i="59"/>
  <c r="AI97" i="59"/>
  <c r="AI89" i="59"/>
  <c r="AI70" i="59"/>
  <c r="AI60" i="59"/>
  <c r="AI64" i="59"/>
  <c r="AI62" i="59"/>
  <c r="AI57" i="59"/>
  <c r="AI95" i="59"/>
  <c r="AI87" i="59"/>
  <c r="AI68" i="59"/>
  <c r="AI66" i="59"/>
  <c r="AI67" i="59"/>
  <c r="AI76" i="59"/>
  <c r="AI73" i="59"/>
  <c r="AI58" i="59"/>
  <c r="AI100" i="59"/>
  <c r="AI96" i="59"/>
  <c r="AI92" i="59"/>
  <c r="AI88" i="59"/>
  <c r="AI84" i="59"/>
  <c r="AI69" i="59"/>
  <c r="AI52" i="59"/>
  <c r="AI50" i="59"/>
  <c r="AI81" i="59"/>
  <c r="AI51" i="59"/>
  <c r="AI63" i="59"/>
  <c r="AI75" i="59"/>
  <c r="AI71" i="59"/>
  <c r="AI56" i="59"/>
  <c r="AI98" i="59"/>
  <c r="AI94" i="59"/>
  <c r="AI90" i="59"/>
  <c r="AI86" i="59"/>
  <c r="AI82" i="59"/>
  <c r="AI54" i="59"/>
  <c r="AI61" i="59"/>
  <c r="M50" i="43"/>
  <c r="F50" i="43"/>
  <c r="Q53" i="72" s="1"/>
  <c r="C50" i="43"/>
  <c r="P53" i="72" s="1"/>
  <c r="D49" i="43"/>
  <c r="P52" i="72"/>
  <c r="H51" i="43"/>
  <c r="K51" i="43" s="1"/>
  <c r="M51" i="43" s="1"/>
  <c r="I50" i="43"/>
  <c r="B52" i="43"/>
  <c r="B95" i="72"/>
  <c r="K94" i="72"/>
  <c r="G49" i="43"/>
  <c r="Q52" i="72"/>
  <c r="D48" i="43"/>
  <c r="P51" i="72"/>
  <c r="E52" i="43"/>
  <c r="G48" i="43"/>
  <c r="Q51" i="72"/>
  <c r="J49" i="43"/>
  <c r="R52" i="72"/>
  <c r="J12" i="43"/>
  <c r="R12" i="72"/>
  <c r="D92" i="72"/>
  <c r="M91" i="72"/>
  <c r="J92" i="72"/>
  <c r="L92" i="72"/>
  <c r="G92" i="72"/>
  <c r="A94" i="72"/>
  <c r="F93" i="72"/>
  <c r="I93" i="72"/>
  <c r="C93" i="72"/>
  <c r="C49" i="49"/>
  <c r="P54" i="70" s="1"/>
  <c r="F49" i="49"/>
  <c r="G49" i="49" s="1"/>
  <c r="G48" i="49"/>
  <c r="Q53" i="70"/>
  <c r="H52" i="49"/>
  <c r="K51" i="49"/>
  <c r="J50" i="49"/>
  <c r="R55" i="70"/>
  <c r="J49" i="49"/>
  <c r="R54" i="70"/>
  <c r="D48" i="49"/>
  <c r="P53" i="70"/>
  <c r="C50" i="49"/>
  <c r="M50" i="49"/>
  <c r="F50" i="49"/>
  <c r="K29" i="68"/>
  <c r="O28" i="68"/>
  <c r="G29" i="68"/>
  <c r="I29" i="68" s="1"/>
  <c r="C29" i="68"/>
  <c r="E29" i="68" s="1"/>
  <c r="K85" i="70"/>
  <c r="J85" i="70"/>
  <c r="L85" i="70"/>
  <c r="A87" i="70"/>
  <c r="F86" i="70"/>
  <c r="I86" i="70"/>
  <c r="C86" i="70"/>
  <c r="M84" i="70"/>
  <c r="D85" i="70"/>
  <c r="G85" i="70"/>
  <c r="F10" i="55"/>
  <c r="G10" i="55" s="1"/>
  <c r="U96" i="59"/>
  <c r="U104" i="59"/>
  <c r="T106" i="59"/>
  <c r="T91" i="59"/>
  <c r="K80" i="69"/>
  <c r="O80" i="69"/>
  <c r="I12" i="58"/>
  <c r="Q12" i="58" s="1"/>
  <c r="P80" i="69"/>
  <c r="M79" i="69"/>
  <c r="N79" i="69"/>
  <c r="F14" i="58"/>
  <c r="G14" i="58" s="1"/>
  <c r="L80" i="69"/>
  <c r="Q80" i="69"/>
  <c r="A82" i="69"/>
  <c r="I81" i="69"/>
  <c r="J81" i="69" s="1"/>
  <c r="F81" i="69"/>
  <c r="G81" i="69" s="1"/>
  <c r="C81" i="69"/>
  <c r="D81" i="69" s="1"/>
  <c r="I14" i="58"/>
  <c r="Q14" i="58" s="1"/>
  <c r="F12" i="58"/>
  <c r="F13" i="58"/>
  <c r="L5" i="58"/>
  <c r="C6" i="58"/>
  <c r="C8" i="58" s="1"/>
  <c r="J13" i="58"/>
  <c r="AC67" i="43"/>
  <c r="AB68" i="43"/>
  <c r="B29" i="31"/>
  <c r="F27" i="31"/>
  <c r="G27" i="31" s="1"/>
  <c r="M13" i="49"/>
  <c r="I27" i="31"/>
  <c r="J27" i="31" s="1"/>
  <c r="M9" i="63"/>
  <c r="K9" i="63" s="1"/>
  <c r="U9" i="63" s="1"/>
  <c r="M10" i="63"/>
  <c r="G11" i="55"/>
  <c r="M10" i="49"/>
  <c r="M13" i="63"/>
  <c r="K28" i="31"/>
  <c r="F28" i="31" s="1"/>
  <c r="G28" i="31" s="1"/>
  <c r="M12" i="63"/>
  <c r="M39" i="63"/>
  <c r="N24" i="64"/>
  <c r="C24" i="64" s="1"/>
  <c r="P24" i="64" s="1"/>
  <c r="N30" i="64"/>
  <c r="I13" i="63"/>
  <c r="E13" i="63"/>
  <c r="N21" i="64"/>
  <c r="I21" i="64" s="1"/>
  <c r="R21" i="64" s="1"/>
  <c r="N27" i="64"/>
  <c r="F27" i="64" s="1"/>
  <c r="Q27" i="64" s="1"/>
  <c r="E9" i="63"/>
  <c r="I9" i="63"/>
  <c r="N12" i="64"/>
  <c r="I12" i="64" s="1"/>
  <c r="R12" i="64" s="1"/>
  <c r="I12" i="63"/>
  <c r="E12" i="63"/>
  <c r="N31" i="64"/>
  <c r="N22" i="64"/>
  <c r="C22" i="64" s="1"/>
  <c r="P22" i="64" s="1"/>
  <c r="N38" i="64"/>
  <c r="N25" i="64"/>
  <c r="F25" i="64" s="1"/>
  <c r="Q25" i="64" s="1"/>
  <c r="N17" i="64"/>
  <c r="C17" i="64" s="1"/>
  <c r="P17" i="64" s="1"/>
  <c r="N16" i="64"/>
  <c r="I16" i="64" s="1"/>
  <c r="R16" i="64" s="1"/>
  <c r="E14" i="63"/>
  <c r="I14" i="63"/>
  <c r="N35" i="64"/>
  <c r="N26" i="64"/>
  <c r="F26" i="64" s="1"/>
  <c r="Q26" i="64" s="1"/>
  <c r="E11" i="63"/>
  <c r="I11" i="63"/>
  <c r="N28" i="64"/>
  <c r="N15" i="64"/>
  <c r="F15" i="64" s="1"/>
  <c r="Q15" i="64" s="1"/>
  <c r="N37" i="64"/>
  <c r="N32" i="64"/>
  <c r="M11" i="63"/>
  <c r="N23" i="64"/>
  <c r="I23" i="64" s="1"/>
  <c r="R23" i="64" s="1"/>
  <c r="N29" i="64"/>
  <c r="I39" i="63"/>
  <c r="E39" i="63"/>
  <c r="V39" i="63" s="1"/>
  <c r="E10" i="63"/>
  <c r="I10" i="63"/>
  <c r="N20" i="64"/>
  <c r="F20" i="64" s="1"/>
  <c r="Q20" i="64" s="1"/>
  <c r="N18" i="64"/>
  <c r="F18" i="64" s="1"/>
  <c r="Q18" i="64" s="1"/>
  <c r="N36" i="64"/>
  <c r="N33" i="64"/>
  <c r="N19" i="64"/>
  <c r="C19" i="64" s="1"/>
  <c r="P19" i="64" s="1"/>
  <c r="M14" i="63"/>
  <c r="I26" i="64"/>
  <c r="R26" i="64" s="1"/>
  <c r="N11" i="64"/>
  <c r="I25" i="64"/>
  <c r="R25" i="64" s="1"/>
  <c r="N9" i="64"/>
  <c r="I15" i="64"/>
  <c r="R15" i="64" s="1"/>
  <c r="E29" i="31"/>
  <c r="M15" i="49"/>
  <c r="N14" i="64"/>
  <c r="M40" i="49"/>
  <c r="N39" i="64"/>
  <c r="M11" i="49"/>
  <c r="N10" i="64"/>
  <c r="M14" i="49"/>
  <c r="N13" i="64"/>
  <c r="M12" i="49"/>
  <c r="D16" i="49"/>
  <c r="K16" i="49"/>
  <c r="M16" i="49" s="1"/>
  <c r="E17" i="49"/>
  <c r="G17" i="49" s="1"/>
  <c r="H17" i="49"/>
  <c r="J17" i="49" s="1"/>
  <c r="A18" i="49"/>
  <c r="B17" i="49"/>
  <c r="H29" i="31"/>
  <c r="N29" i="31"/>
  <c r="AI41" i="59"/>
  <c r="U91" i="59"/>
  <c r="I15" i="58"/>
  <c r="AI35" i="59"/>
  <c r="T112" i="59"/>
  <c r="AI49" i="59"/>
  <c r="U92" i="59"/>
  <c r="T102" i="59"/>
  <c r="T104" i="59"/>
  <c r="AI34" i="59"/>
  <c r="U106" i="59"/>
  <c r="T108" i="59"/>
  <c r="T116" i="59"/>
  <c r="AI39" i="59"/>
  <c r="AI25" i="59"/>
  <c r="AI42" i="59"/>
  <c r="AI28" i="59"/>
  <c r="T96" i="59"/>
  <c r="T115" i="59"/>
  <c r="U102" i="59"/>
  <c r="T94" i="59"/>
  <c r="U115" i="59"/>
  <c r="AI43" i="59"/>
  <c r="U21" i="59"/>
  <c r="AI36" i="59"/>
  <c r="U19" i="59"/>
  <c r="T103" i="59"/>
  <c r="AI29" i="59"/>
  <c r="AI48" i="59"/>
  <c r="AI40" i="59"/>
  <c r="AI26" i="59"/>
  <c r="AI45" i="59"/>
  <c r="AI47" i="59"/>
  <c r="U107" i="59"/>
  <c r="U90" i="59"/>
  <c r="T99" i="59"/>
  <c r="T107" i="59"/>
  <c r="U103" i="59"/>
  <c r="U95" i="59"/>
  <c r="AI44" i="59"/>
  <c r="AI21" i="59"/>
  <c r="T114" i="59"/>
  <c r="AI20" i="59"/>
  <c r="T113" i="59"/>
  <c r="AI24" i="59"/>
  <c r="T101" i="59"/>
  <c r="AI30" i="59"/>
  <c r="AI46" i="59"/>
  <c r="T119" i="59"/>
  <c r="T118" i="59"/>
  <c r="T97" i="59"/>
  <c r="U93" i="59"/>
  <c r="U111" i="59"/>
  <c r="AI38" i="59"/>
  <c r="T95" i="59"/>
  <c r="L9" i="56"/>
  <c r="M9" i="56" s="1"/>
  <c r="U99" i="59"/>
  <c r="U98" i="59"/>
  <c r="T105" i="59"/>
  <c r="T110" i="59"/>
  <c r="AI37" i="59"/>
  <c r="T98" i="59"/>
  <c r="T109" i="59"/>
  <c r="U119" i="59"/>
  <c r="U20" i="59"/>
  <c r="U18" i="59"/>
  <c r="AI23" i="59"/>
  <c r="AI33" i="59"/>
  <c r="U116" i="59"/>
  <c r="U110" i="59"/>
  <c r="AI31" i="59"/>
  <c r="U108" i="59"/>
  <c r="U94" i="59"/>
  <c r="T92" i="59"/>
  <c r="T90" i="59"/>
  <c r="U101" i="59"/>
  <c r="U105" i="59"/>
  <c r="U114" i="59"/>
  <c r="U112" i="59"/>
  <c r="U97" i="59"/>
  <c r="AI32" i="59"/>
  <c r="U113" i="59"/>
  <c r="T111" i="59"/>
  <c r="U109" i="59"/>
  <c r="T117" i="59"/>
  <c r="U118" i="59"/>
  <c r="U117" i="59"/>
  <c r="AI27" i="59"/>
  <c r="U100" i="59"/>
  <c r="T93" i="59"/>
  <c r="T100" i="59"/>
  <c r="L14" i="56"/>
  <c r="M14" i="56" s="1"/>
  <c r="K15" i="43"/>
  <c r="H16" i="43"/>
  <c r="E16" i="43"/>
  <c r="B16" i="43"/>
  <c r="N16" i="43"/>
  <c r="A17" i="43"/>
  <c r="I11" i="55"/>
  <c r="C11" i="55"/>
  <c r="L10" i="56"/>
  <c r="M10" i="56" s="1"/>
  <c r="L41" i="49"/>
  <c r="L12" i="56"/>
  <c r="M12" i="56" s="1"/>
  <c r="L25" i="31"/>
  <c r="M25" i="31" s="1"/>
  <c r="L15" i="56"/>
  <c r="M15" i="56" s="1"/>
  <c r="J15" i="56"/>
  <c r="A14" i="55"/>
  <c r="N13" i="55"/>
  <c r="E13" i="55"/>
  <c r="B13" i="55"/>
  <c r="H13" i="55"/>
  <c r="K17" i="56"/>
  <c r="C17" i="56" s="1"/>
  <c r="D17" i="56" s="1"/>
  <c r="I16" i="56"/>
  <c r="F16" i="56"/>
  <c r="G16" i="56" s="1"/>
  <c r="K12" i="55"/>
  <c r="F12" i="55" s="1"/>
  <c r="J13" i="56"/>
  <c r="L13" i="56"/>
  <c r="M13" i="56" s="1"/>
  <c r="H18" i="56"/>
  <c r="A19" i="56"/>
  <c r="E18" i="56"/>
  <c r="B18" i="56"/>
  <c r="L11" i="56"/>
  <c r="M11" i="56" s="1"/>
  <c r="N21" i="61"/>
  <c r="AH22" i="61"/>
  <c r="A23" i="61"/>
  <c r="F22" i="61"/>
  <c r="W22" i="61" s="1"/>
  <c r="J22" i="61"/>
  <c r="Z22" i="61" s="1"/>
  <c r="B22" i="61"/>
  <c r="T22" i="61" s="1"/>
  <c r="J9" i="55"/>
  <c r="G9" i="46"/>
  <c r="A31" i="31"/>
  <c r="E30" i="31"/>
  <c r="B30" i="31"/>
  <c r="H30" i="31"/>
  <c r="N30" i="31"/>
  <c r="D12" i="43"/>
  <c r="K13" i="46"/>
  <c r="D9" i="46"/>
  <c r="C9" i="55"/>
  <c r="F9" i="55"/>
  <c r="J10" i="55"/>
  <c r="G12" i="43"/>
  <c r="E14" i="46"/>
  <c r="H14" i="46"/>
  <c r="B14" i="46"/>
  <c r="A15" i="46"/>
  <c r="N14" i="46"/>
  <c r="L9" i="46"/>
  <c r="C10" i="46" s="1"/>
  <c r="L12" i="43"/>
  <c r="C13" i="43" s="1"/>
  <c r="P13" i="72" s="1"/>
  <c r="G22" i="31"/>
  <c r="D22" i="31"/>
  <c r="J23" i="31"/>
  <c r="L23" i="31"/>
  <c r="M23" i="31" s="1"/>
  <c r="L26" i="31"/>
  <c r="M26" i="31" s="1"/>
  <c r="J26" i="31"/>
  <c r="L24" i="31"/>
  <c r="M24" i="31" s="1"/>
  <c r="J24" i="31"/>
  <c r="L22" i="31"/>
  <c r="J22" i="31"/>
  <c r="F23" i="59"/>
  <c r="G23" i="59" s="1"/>
  <c r="C23" i="59"/>
  <c r="X26" i="59"/>
  <c r="Q22" i="59"/>
  <c r="T22" i="59"/>
  <c r="U22" i="59" s="1"/>
  <c r="P23" i="59"/>
  <c r="M24" i="59"/>
  <c r="N24" i="59" s="1"/>
  <c r="I25" i="59"/>
  <c r="J24" i="59"/>
  <c r="K14" i="58"/>
  <c r="A16" i="58"/>
  <c r="E15" i="58"/>
  <c r="F15" i="58"/>
  <c r="B15" i="58"/>
  <c r="H15" i="58"/>
  <c r="B50" i="46" l="1"/>
  <c r="H49" i="46"/>
  <c r="J47" i="46"/>
  <c r="E50" i="46"/>
  <c r="K48" i="46"/>
  <c r="I48" i="46" s="1"/>
  <c r="J48" i="46" s="1"/>
  <c r="B96" i="69"/>
  <c r="E96" i="69"/>
  <c r="B96" i="71"/>
  <c r="D95" i="71"/>
  <c r="H95" i="69"/>
  <c r="L10" i="55"/>
  <c r="M10" i="55" s="1"/>
  <c r="H95" i="71"/>
  <c r="J94" i="71"/>
  <c r="K94" i="71"/>
  <c r="M94" i="71" s="1"/>
  <c r="E96" i="71"/>
  <c r="G95" i="71"/>
  <c r="D50" i="43"/>
  <c r="G50" i="43"/>
  <c r="F51" i="43"/>
  <c r="Q54" i="72" s="1"/>
  <c r="P15" i="58"/>
  <c r="E53" i="43"/>
  <c r="C51" i="43"/>
  <c r="H52" i="43"/>
  <c r="K52" i="43" s="1"/>
  <c r="I51" i="43"/>
  <c r="K95" i="72"/>
  <c r="B96" i="72"/>
  <c r="B53" i="43"/>
  <c r="J50" i="43"/>
  <c r="R53" i="72"/>
  <c r="D93" i="72"/>
  <c r="J93" i="72"/>
  <c r="L93" i="72"/>
  <c r="G93" i="72"/>
  <c r="A95" i="72"/>
  <c r="I94" i="72"/>
  <c r="F94" i="72"/>
  <c r="C94" i="72"/>
  <c r="M92" i="72"/>
  <c r="Q54" i="70"/>
  <c r="D49" i="49"/>
  <c r="D50" i="49"/>
  <c r="P55" i="70"/>
  <c r="H53" i="49"/>
  <c r="K52" i="49"/>
  <c r="M51" i="49"/>
  <c r="F51" i="49"/>
  <c r="C51" i="49"/>
  <c r="I51" i="49"/>
  <c r="G50" i="49"/>
  <c r="Q55" i="70"/>
  <c r="L44" i="49"/>
  <c r="L98" i="49"/>
  <c r="L29" i="68"/>
  <c r="N29" i="68"/>
  <c r="K86" i="70"/>
  <c r="G9" i="63"/>
  <c r="T9" i="63" s="1"/>
  <c r="M85" i="70"/>
  <c r="G86" i="70"/>
  <c r="D86" i="70"/>
  <c r="A88" i="70"/>
  <c r="F87" i="70"/>
  <c r="I87" i="70"/>
  <c r="C87" i="70"/>
  <c r="L86" i="70"/>
  <c r="J86" i="70"/>
  <c r="V12" i="63"/>
  <c r="K81" i="69"/>
  <c r="J14" i="58"/>
  <c r="J12" i="58"/>
  <c r="Q13" i="58"/>
  <c r="Q15" i="58"/>
  <c r="C15" i="58"/>
  <c r="D15" i="58" s="1"/>
  <c r="Q81" i="69"/>
  <c r="L81" i="69"/>
  <c r="A83" i="69"/>
  <c r="I82" i="69"/>
  <c r="J82" i="69" s="1"/>
  <c r="F82" i="69"/>
  <c r="G82" i="69" s="1"/>
  <c r="C82" i="69"/>
  <c r="D82" i="69" s="1"/>
  <c r="P14" i="58"/>
  <c r="O81" i="69"/>
  <c r="P81" i="69"/>
  <c r="N80" i="69"/>
  <c r="M80" i="69"/>
  <c r="L27" i="31"/>
  <c r="M27" i="31" s="1"/>
  <c r="P13" i="58"/>
  <c r="G13" i="58"/>
  <c r="C14" i="58"/>
  <c r="C13" i="58"/>
  <c r="C12" i="58"/>
  <c r="P12" i="58"/>
  <c r="G12" i="58"/>
  <c r="AB69" i="43"/>
  <c r="AC68" i="43"/>
  <c r="I28" i="31"/>
  <c r="J28" i="31" s="1"/>
  <c r="C27" i="64"/>
  <c r="V10" i="63"/>
  <c r="C28" i="31"/>
  <c r="D28" i="31" s="1"/>
  <c r="I27" i="64"/>
  <c r="R27" i="64" s="1"/>
  <c r="F21" i="64"/>
  <c r="Q21" i="64" s="1"/>
  <c r="I22" i="64"/>
  <c r="R22" i="64" s="1"/>
  <c r="V13" i="63"/>
  <c r="D11" i="55"/>
  <c r="G12" i="55"/>
  <c r="J11" i="55"/>
  <c r="F12" i="64"/>
  <c r="I24" i="64"/>
  <c r="R24" i="64" s="1"/>
  <c r="I18" i="64"/>
  <c r="R18" i="64" s="1"/>
  <c r="F23" i="64"/>
  <c r="F22" i="64"/>
  <c r="C21" i="64"/>
  <c r="C23" i="64"/>
  <c r="C12" i="64"/>
  <c r="P12" i="64" s="1"/>
  <c r="F24" i="64"/>
  <c r="Q24" i="64" s="1"/>
  <c r="C16" i="64"/>
  <c r="F19" i="64"/>
  <c r="C25" i="64"/>
  <c r="P25" i="64" s="1"/>
  <c r="C20" i="64"/>
  <c r="V11" i="63"/>
  <c r="V14" i="63"/>
  <c r="I20" i="64"/>
  <c r="K29" i="31"/>
  <c r="F29" i="31" s="1"/>
  <c r="G29" i="31" s="1"/>
  <c r="C9" i="63"/>
  <c r="S9" i="63" s="1"/>
  <c r="V9" i="63"/>
  <c r="C18" i="64"/>
  <c r="I17" i="64"/>
  <c r="R17" i="64" s="1"/>
  <c r="C26" i="64"/>
  <c r="P26" i="64" s="1"/>
  <c r="F17" i="64"/>
  <c r="F16" i="64"/>
  <c r="Q16" i="64" s="1"/>
  <c r="I19" i="64"/>
  <c r="C15" i="64"/>
  <c r="P15" i="64" s="1"/>
  <c r="E15" i="63"/>
  <c r="I15" i="63"/>
  <c r="M15" i="63"/>
  <c r="J15" i="64"/>
  <c r="G26" i="64"/>
  <c r="F13" i="64"/>
  <c r="Q13" i="64" s="1"/>
  <c r="C13" i="64"/>
  <c r="P13" i="64" s="1"/>
  <c r="I13" i="64"/>
  <c r="R13" i="64" s="1"/>
  <c r="J23" i="64"/>
  <c r="G15" i="64"/>
  <c r="J25" i="64"/>
  <c r="F11" i="64"/>
  <c r="Q11" i="64" s="1"/>
  <c r="I11" i="64"/>
  <c r="R11" i="64" s="1"/>
  <c r="C11" i="64"/>
  <c r="P11" i="64" s="1"/>
  <c r="G20" i="64"/>
  <c r="J12" i="64"/>
  <c r="G27" i="64"/>
  <c r="J26" i="64"/>
  <c r="D24" i="64"/>
  <c r="J21" i="64"/>
  <c r="G18" i="64"/>
  <c r="C10" i="64"/>
  <c r="P10" i="64" s="1"/>
  <c r="F10" i="64"/>
  <c r="Q10" i="64" s="1"/>
  <c r="I10" i="64"/>
  <c r="R10" i="64" s="1"/>
  <c r="D22" i="64"/>
  <c r="D17" i="64"/>
  <c r="C14" i="64"/>
  <c r="P14" i="64" s="1"/>
  <c r="I14" i="64"/>
  <c r="R14" i="64" s="1"/>
  <c r="F14" i="64"/>
  <c r="Q14" i="64" s="1"/>
  <c r="J16" i="64"/>
  <c r="D19" i="64"/>
  <c r="I9" i="64"/>
  <c r="R9" i="64" s="1"/>
  <c r="F9" i="64"/>
  <c r="Q9" i="64" s="1"/>
  <c r="C9" i="64"/>
  <c r="P9" i="64" s="1"/>
  <c r="G25" i="64"/>
  <c r="C28" i="64"/>
  <c r="P28" i="64" s="1"/>
  <c r="I28" i="64"/>
  <c r="R28" i="64" s="1"/>
  <c r="F28" i="64"/>
  <c r="Q28" i="64" s="1"/>
  <c r="D17" i="49"/>
  <c r="K17" i="49"/>
  <c r="M17" i="49" s="1"/>
  <c r="H18" i="49"/>
  <c r="A19" i="49"/>
  <c r="B18" i="49"/>
  <c r="E18" i="49"/>
  <c r="K16" i="43"/>
  <c r="E17" i="43"/>
  <c r="H17" i="43"/>
  <c r="N17" i="43"/>
  <c r="A18" i="43"/>
  <c r="B17" i="43"/>
  <c r="L11" i="55"/>
  <c r="F17" i="56"/>
  <c r="G17" i="56" s="1"/>
  <c r="I17" i="56"/>
  <c r="J17" i="56" s="1"/>
  <c r="K18" i="56"/>
  <c r="I18" i="56" s="1"/>
  <c r="C12" i="55"/>
  <c r="N14" i="55"/>
  <c r="B14" i="55"/>
  <c r="A15" i="55"/>
  <c r="E14" i="55"/>
  <c r="H14" i="55"/>
  <c r="K30" i="31"/>
  <c r="I30" i="31" s="1"/>
  <c r="E19" i="56"/>
  <c r="A20" i="56"/>
  <c r="H19" i="56"/>
  <c r="B19" i="56"/>
  <c r="I12" i="55"/>
  <c r="K13" i="55"/>
  <c r="I13" i="55" s="1"/>
  <c r="F10" i="46"/>
  <c r="G10" i="46" s="1"/>
  <c r="J16" i="56"/>
  <c r="L16" i="56"/>
  <c r="M16" i="56" s="1"/>
  <c r="AH23" i="61"/>
  <c r="A24" i="61"/>
  <c r="F23" i="61"/>
  <c r="W23" i="61" s="1"/>
  <c r="J23" i="61"/>
  <c r="Z23" i="61" s="1"/>
  <c r="B23" i="61"/>
  <c r="T23" i="61" s="1"/>
  <c r="N22" i="61"/>
  <c r="D10" i="46"/>
  <c r="G9" i="55"/>
  <c r="D13" i="43"/>
  <c r="M9" i="46"/>
  <c r="I10" i="46"/>
  <c r="N15" i="46"/>
  <c r="B15" i="46"/>
  <c r="E15" i="46"/>
  <c r="A16" i="46"/>
  <c r="H15" i="46"/>
  <c r="D9" i="55"/>
  <c r="B31" i="31"/>
  <c r="E31" i="31"/>
  <c r="A32" i="31"/>
  <c r="H31" i="31"/>
  <c r="N31" i="31"/>
  <c r="M12" i="43"/>
  <c r="I13" i="43"/>
  <c r="R13" i="72" s="1"/>
  <c r="K14" i="46"/>
  <c r="F13" i="43"/>
  <c r="Q13" i="72" s="1"/>
  <c r="L9" i="55"/>
  <c r="M22" i="31"/>
  <c r="F24" i="59"/>
  <c r="G24" i="59" s="1"/>
  <c r="B25" i="59"/>
  <c r="C24" i="59"/>
  <c r="X27" i="59"/>
  <c r="G15" i="58"/>
  <c r="M25" i="59"/>
  <c r="N25" i="59" s="1"/>
  <c r="I26" i="59"/>
  <c r="J25" i="59"/>
  <c r="L25" i="59" s="1"/>
  <c r="Q23" i="59"/>
  <c r="T23" i="59"/>
  <c r="U23" i="59" s="1"/>
  <c r="P24" i="59"/>
  <c r="J15" i="58"/>
  <c r="E16" i="58"/>
  <c r="B16" i="58"/>
  <c r="F16" i="58"/>
  <c r="P16" i="58" s="1"/>
  <c r="A17" i="58"/>
  <c r="H16" i="58"/>
  <c r="I16" i="58"/>
  <c r="Q16" i="58" s="1"/>
  <c r="C16" i="58"/>
  <c r="K15" i="58"/>
  <c r="I120" i="49" l="1"/>
  <c r="F120" i="49"/>
  <c r="I119" i="49"/>
  <c r="I124" i="49" s="1"/>
  <c r="I121" i="49"/>
  <c r="I126" i="49" s="1"/>
  <c r="F121" i="49"/>
  <c r="I122" i="49"/>
  <c r="F122" i="49"/>
  <c r="F127" i="49" s="1"/>
  <c r="F119" i="49"/>
  <c r="F124" i="49" s="1"/>
  <c r="C122" i="49"/>
  <c r="C127" i="49" s="1"/>
  <c r="C121" i="49"/>
  <c r="C126" i="49" s="1"/>
  <c r="C120" i="49"/>
  <c r="C125" i="49" s="1"/>
  <c r="C119" i="49"/>
  <c r="C124" i="49" s="1"/>
  <c r="I125" i="49"/>
  <c r="F126" i="49"/>
  <c r="I127" i="49"/>
  <c r="F125" i="49"/>
  <c r="H50" i="46"/>
  <c r="K50" i="46" s="1"/>
  <c r="M50" i="46" s="1"/>
  <c r="E51" i="46"/>
  <c r="M48" i="46"/>
  <c r="C48" i="46"/>
  <c r="F48" i="46"/>
  <c r="K49" i="46"/>
  <c r="I49" i="46" s="1"/>
  <c r="B51" i="46"/>
  <c r="C110" i="49"/>
  <c r="C115" i="49" s="1"/>
  <c r="F110" i="49"/>
  <c r="F115" i="49" s="1"/>
  <c r="I110" i="49"/>
  <c r="I115" i="49" s="1"/>
  <c r="I111" i="49"/>
  <c r="I116" i="49" s="1"/>
  <c r="C111" i="49"/>
  <c r="C116" i="49" s="1"/>
  <c r="F111" i="49"/>
  <c r="F116" i="49" s="1"/>
  <c r="H96" i="69"/>
  <c r="H96" i="71"/>
  <c r="J95" i="71"/>
  <c r="K95" i="71"/>
  <c r="M95" i="71" s="1"/>
  <c r="E97" i="69"/>
  <c r="G96" i="71"/>
  <c r="E97" i="71"/>
  <c r="B97" i="71"/>
  <c r="D96" i="71"/>
  <c r="K96" i="71"/>
  <c r="M96" i="71" s="1"/>
  <c r="B97" i="69"/>
  <c r="C109" i="49"/>
  <c r="C114" i="49" s="1"/>
  <c r="F109" i="49"/>
  <c r="F114" i="49" s="1"/>
  <c r="I109" i="49"/>
  <c r="I114" i="49" s="1"/>
  <c r="C108" i="49"/>
  <c r="C113" i="49" s="1"/>
  <c r="I108" i="49"/>
  <c r="I113" i="49" s="1"/>
  <c r="F108" i="49"/>
  <c r="F113" i="49" s="1"/>
  <c r="L101" i="49"/>
  <c r="G51" i="43"/>
  <c r="C52" i="43"/>
  <c r="M52" i="43"/>
  <c r="D51" i="43"/>
  <c r="P54" i="72"/>
  <c r="B54" i="43"/>
  <c r="F52" i="43"/>
  <c r="B97" i="72"/>
  <c r="K96" i="72"/>
  <c r="J51" i="43"/>
  <c r="R54" i="72"/>
  <c r="E54" i="43"/>
  <c r="H53" i="43"/>
  <c r="K53" i="43" s="1"/>
  <c r="I52" i="43"/>
  <c r="J94" i="72"/>
  <c r="L94" i="72"/>
  <c r="A96" i="72"/>
  <c r="I95" i="72"/>
  <c r="F95" i="72"/>
  <c r="C95" i="72"/>
  <c r="M93" i="72"/>
  <c r="D94" i="72"/>
  <c r="G94" i="72"/>
  <c r="D51" i="49"/>
  <c r="P56" i="70"/>
  <c r="G51" i="49"/>
  <c r="Q56" i="70"/>
  <c r="J51" i="49"/>
  <c r="R56" i="70"/>
  <c r="H54" i="49"/>
  <c r="K53" i="49"/>
  <c r="I52" i="49"/>
  <c r="C52" i="49"/>
  <c r="F52" i="49"/>
  <c r="M52" i="49"/>
  <c r="C30" i="68"/>
  <c r="E30" i="68" s="1"/>
  <c r="K30" i="68"/>
  <c r="G30" i="68"/>
  <c r="I30" i="68" s="1"/>
  <c r="O29" i="68"/>
  <c r="L87" i="70"/>
  <c r="J87" i="70"/>
  <c r="M86" i="70"/>
  <c r="G87" i="70"/>
  <c r="A89" i="70"/>
  <c r="F88" i="70"/>
  <c r="I88" i="70"/>
  <c r="C88" i="70"/>
  <c r="D87" i="70"/>
  <c r="K87" i="70"/>
  <c r="D20" i="64"/>
  <c r="P20" i="64"/>
  <c r="G22" i="64"/>
  <c r="Q22" i="64"/>
  <c r="G12" i="64"/>
  <c r="Q12" i="64"/>
  <c r="G17" i="64"/>
  <c r="Q17" i="64"/>
  <c r="D18" i="64"/>
  <c r="P18" i="64"/>
  <c r="J20" i="64"/>
  <c r="R20" i="64"/>
  <c r="G23" i="64"/>
  <c r="Q23" i="64"/>
  <c r="G19" i="64"/>
  <c r="Q19" i="64"/>
  <c r="D23" i="64"/>
  <c r="P23" i="64"/>
  <c r="D27" i="64"/>
  <c r="P27" i="64"/>
  <c r="J19" i="64"/>
  <c r="R19" i="64"/>
  <c r="D16" i="64"/>
  <c r="P16" i="64"/>
  <c r="D21" i="64"/>
  <c r="P21" i="64"/>
  <c r="L15" i="58"/>
  <c r="M15" i="58" s="1"/>
  <c r="O16" i="58"/>
  <c r="Q82" i="69"/>
  <c r="L82" i="69"/>
  <c r="A84" i="69"/>
  <c r="I83" i="69"/>
  <c r="J83" i="69" s="1"/>
  <c r="F83" i="69"/>
  <c r="G83" i="69" s="1"/>
  <c r="C83" i="69"/>
  <c r="D83" i="69" s="1"/>
  <c r="K82" i="69"/>
  <c r="N81" i="69"/>
  <c r="M81" i="69"/>
  <c r="O82" i="69"/>
  <c r="P82" i="69"/>
  <c r="O12" i="58"/>
  <c r="L12" i="58"/>
  <c r="D12" i="58"/>
  <c r="L13" i="58"/>
  <c r="D13" i="58"/>
  <c r="O13" i="58"/>
  <c r="O14" i="58"/>
  <c r="D14" i="58"/>
  <c r="L14" i="58"/>
  <c r="O15" i="58"/>
  <c r="J27" i="64"/>
  <c r="AB70" i="43"/>
  <c r="AC69" i="43"/>
  <c r="L28" i="31"/>
  <c r="M28" i="31" s="1"/>
  <c r="L27" i="64"/>
  <c r="M27" i="64" s="1"/>
  <c r="J22" i="64"/>
  <c r="J24" i="64"/>
  <c r="G21" i="64"/>
  <c r="L22" i="64"/>
  <c r="M22" i="64" s="1"/>
  <c r="D25" i="64"/>
  <c r="C29" i="31"/>
  <c r="D29" i="31" s="1"/>
  <c r="L20" i="64"/>
  <c r="M20" i="64" s="1"/>
  <c r="G16" i="64"/>
  <c r="G24" i="64"/>
  <c r="L24" i="64"/>
  <c r="M24" i="64" s="1"/>
  <c r="I29" i="31"/>
  <c r="L16" i="64"/>
  <c r="M16" i="64" s="1"/>
  <c r="J18" i="64"/>
  <c r="D12" i="55"/>
  <c r="L12" i="64"/>
  <c r="M12" i="64" s="1"/>
  <c r="M11" i="55"/>
  <c r="D12" i="64"/>
  <c r="L25" i="64"/>
  <c r="M25" i="64" s="1"/>
  <c r="L18" i="64"/>
  <c r="M18" i="64" s="1"/>
  <c r="D15" i="64"/>
  <c r="L17" i="64"/>
  <c r="M17" i="64" s="1"/>
  <c r="D26" i="64"/>
  <c r="L21" i="64"/>
  <c r="M21" i="64" s="1"/>
  <c r="L26" i="64"/>
  <c r="M26" i="64" s="1"/>
  <c r="L23" i="64"/>
  <c r="M23" i="64" s="1"/>
  <c r="J17" i="64"/>
  <c r="L19" i="64"/>
  <c r="M19" i="64" s="1"/>
  <c r="V15" i="63"/>
  <c r="L15" i="64"/>
  <c r="M15" i="64" s="1"/>
  <c r="J18" i="49"/>
  <c r="M16" i="63"/>
  <c r="G18" i="49"/>
  <c r="I16" i="63"/>
  <c r="E16" i="63"/>
  <c r="J9" i="64"/>
  <c r="L9" i="64"/>
  <c r="M9" i="64" s="1"/>
  <c r="D14" i="64"/>
  <c r="G10" i="64"/>
  <c r="G11" i="64"/>
  <c r="D10" i="64"/>
  <c r="J13" i="64"/>
  <c r="L13" i="64"/>
  <c r="M13" i="64" s="1"/>
  <c r="D9" i="64"/>
  <c r="G14" i="64"/>
  <c r="D11" i="64"/>
  <c r="D13" i="64"/>
  <c r="G9" i="64"/>
  <c r="L14" i="64"/>
  <c r="M14" i="64" s="1"/>
  <c r="J14" i="64"/>
  <c r="L10" i="64"/>
  <c r="M10" i="64" s="1"/>
  <c r="J10" i="64"/>
  <c r="L11" i="64"/>
  <c r="M11" i="64" s="1"/>
  <c r="J11" i="64"/>
  <c r="G13" i="64"/>
  <c r="G28" i="64"/>
  <c r="L28" i="64"/>
  <c r="M28" i="64" s="1"/>
  <c r="J28" i="64"/>
  <c r="D28" i="64"/>
  <c r="A20" i="49"/>
  <c r="H19" i="49"/>
  <c r="B19" i="49"/>
  <c r="E19" i="49"/>
  <c r="K18" i="49"/>
  <c r="M18" i="49" s="1"/>
  <c r="D18" i="49"/>
  <c r="K17" i="43"/>
  <c r="F18" i="56"/>
  <c r="G18" i="56" s="1"/>
  <c r="C18" i="56"/>
  <c r="D18" i="56" s="1"/>
  <c r="N18" i="43"/>
  <c r="H18" i="43"/>
  <c r="B18" i="43"/>
  <c r="E18" i="43"/>
  <c r="A19" i="43"/>
  <c r="K14" i="55"/>
  <c r="I14" i="55" s="1"/>
  <c r="F30" i="31"/>
  <c r="G30" i="31" s="1"/>
  <c r="C30" i="31"/>
  <c r="D30" i="31" s="1"/>
  <c r="L17" i="56"/>
  <c r="M17" i="56" s="1"/>
  <c r="G16" i="58"/>
  <c r="K31" i="31"/>
  <c r="C31" i="31" s="1"/>
  <c r="D31" i="31" s="1"/>
  <c r="J12" i="55"/>
  <c r="L12" i="55"/>
  <c r="A16" i="55"/>
  <c r="E15" i="55"/>
  <c r="N15" i="55"/>
  <c r="B15" i="55"/>
  <c r="H15" i="55"/>
  <c r="F13" i="55"/>
  <c r="K15" i="46"/>
  <c r="K19" i="56"/>
  <c r="C19" i="56" s="1"/>
  <c r="D19" i="56" s="1"/>
  <c r="C13" i="55"/>
  <c r="J13" i="55"/>
  <c r="H20" i="56"/>
  <c r="A21" i="56"/>
  <c r="B20" i="56"/>
  <c r="E20" i="56"/>
  <c r="J18" i="56"/>
  <c r="AH24" i="61"/>
  <c r="F24" i="61"/>
  <c r="W24" i="61" s="1"/>
  <c r="A25" i="61"/>
  <c r="J24" i="61"/>
  <c r="Z24" i="61" s="1"/>
  <c r="B24" i="61"/>
  <c r="T24" i="61" s="1"/>
  <c r="N23" i="61"/>
  <c r="M9" i="55"/>
  <c r="E16" i="46"/>
  <c r="N16" i="46"/>
  <c r="B16" i="46"/>
  <c r="A17" i="46"/>
  <c r="H16" i="46"/>
  <c r="L10" i="46"/>
  <c r="J10" i="46"/>
  <c r="G13" i="43"/>
  <c r="J30" i="31"/>
  <c r="A33" i="31"/>
  <c r="B32" i="31"/>
  <c r="E32" i="31"/>
  <c r="N32" i="31"/>
  <c r="H32" i="31"/>
  <c r="K16" i="58"/>
  <c r="J13" i="43"/>
  <c r="L13" i="43"/>
  <c r="F14" i="43" s="1"/>
  <c r="Q14" i="72" s="1"/>
  <c r="X28" i="59"/>
  <c r="F25" i="59"/>
  <c r="G25" i="59" s="1"/>
  <c r="C25" i="59"/>
  <c r="E25" i="59" s="1"/>
  <c r="B26" i="59"/>
  <c r="Q24" i="59"/>
  <c r="T24" i="59"/>
  <c r="U24" i="59" s="1"/>
  <c r="P25" i="59"/>
  <c r="I27" i="59"/>
  <c r="J26" i="59"/>
  <c r="M26" i="59"/>
  <c r="N26" i="59" s="1"/>
  <c r="D16" i="58"/>
  <c r="J16" i="58"/>
  <c r="L16" i="58"/>
  <c r="E17" i="58"/>
  <c r="A18" i="58"/>
  <c r="F17" i="58"/>
  <c r="P17" i="58" s="1"/>
  <c r="B17" i="58"/>
  <c r="I17" i="58"/>
  <c r="Q17" i="58" s="1"/>
  <c r="H17" i="58"/>
  <c r="C17" i="58"/>
  <c r="O17" i="58" s="1"/>
  <c r="L124" i="49" l="1"/>
  <c r="L126" i="49"/>
  <c r="L125" i="49"/>
  <c r="L127" i="49"/>
  <c r="F50" i="46"/>
  <c r="G50" i="46" s="1"/>
  <c r="J49" i="46"/>
  <c r="C50" i="46"/>
  <c r="D50" i="46" s="1"/>
  <c r="G48" i="46"/>
  <c r="E52" i="46"/>
  <c r="D48" i="46"/>
  <c r="M49" i="46"/>
  <c r="F49" i="46"/>
  <c r="G49" i="46" s="1"/>
  <c r="C49" i="46"/>
  <c r="D49" i="46" s="1"/>
  <c r="B52" i="46"/>
  <c r="I50" i="46"/>
  <c r="J50" i="46" s="1"/>
  <c r="H51" i="46"/>
  <c r="L115" i="49"/>
  <c r="L116" i="49"/>
  <c r="J96" i="71"/>
  <c r="H97" i="71"/>
  <c r="K97" i="71" s="1"/>
  <c r="M97" i="71" s="1"/>
  <c r="B98" i="71"/>
  <c r="D97" i="71"/>
  <c r="H97" i="69"/>
  <c r="E98" i="69"/>
  <c r="B98" i="69"/>
  <c r="E98" i="71"/>
  <c r="G97" i="71"/>
  <c r="L113" i="49"/>
  <c r="L114" i="49"/>
  <c r="M53" i="43"/>
  <c r="C53" i="43"/>
  <c r="F53" i="43"/>
  <c r="J52" i="43"/>
  <c r="R55" i="72"/>
  <c r="H54" i="43"/>
  <c r="K54" i="43" s="1"/>
  <c r="M54" i="43" s="1"/>
  <c r="I53" i="43"/>
  <c r="G52" i="43"/>
  <c r="Q55" i="72"/>
  <c r="D52" i="43"/>
  <c r="P55" i="72"/>
  <c r="E55" i="43"/>
  <c r="E56" i="43" s="1"/>
  <c r="B98" i="72"/>
  <c r="K97" i="72"/>
  <c r="B55" i="43"/>
  <c r="D95" i="72"/>
  <c r="M94" i="72"/>
  <c r="G95" i="72"/>
  <c r="J95" i="72"/>
  <c r="L95" i="72"/>
  <c r="A97" i="72"/>
  <c r="F96" i="72"/>
  <c r="I96" i="72"/>
  <c r="C96" i="72"/>
  <c r="J52" i="49"/>
  <c r="R57" i="70"/>
  <c r="G52" i="49"/>
  <c r="Q57" i="70"/>
  <c r="I53" i="49"/>
  <c r="M53" i="49"/>
  <c r="F53" i="49"/>
  <c r="C53" i="49"/>
  <c r="D52" i="49"/>
  <c r="P57" i="70"/>
  <c r="H55" i="49"/>
  <c r="K54" i="49"/>
  <c r="N30" i="68"/>
  <c r="L30" i="68"/>
  <c r="G88" i="70"/>
  <c r="A90" i="70"/>
  <c r="I89" i="70"/>
  <c r="F89" i="70"/>
  <c r="C89" i="70"/>
  <c r="D88" i="70"/>
  <c r="K88" i="70"/>
  <c r="J88" i="70"/>
  <c r="L88" i="70"/>
  <c r="M87" i="70"/>
  <c r="N16" i="58"/>
  <c r="N15" i="58"/>
  <c r="L83" i="69"/>
  <c r="Q83" i="69"/>
  <c r="A85" i="69"/>
  <c r="F84" i="69"/>
  <c r="G84" i="69" s="1"/>
  <c r="I84" i="69"/>
  <c r="J84" i="69" s="1"/>
  <c r="C84" i="69"/>
  <c r="D84" i="69" s="1"/>
  <c r="N82" i="69"/>
  <c r="M82" i="69"/>
  <c r="O83" i="69"/>
  <c r="K83" i="69"/>
  <c r="P83" i="69"/>
  <c r="N12" i="58"/>
  <c r="M12" i="58"/>
  <c r="N14" i="58"/>
  <c r="M14" i="58"/>
  <c r="M13" i="58"/>
  <c r="N13" i="58"/>
  <c r="AC70" i="43"/>
  <c r="AB71" i="43"/>
  <c r="L29" i="31"/>
  <c r="M29" i="31" s="1"/>
  <c r="J29" i="31"/>
  <c r="D13" i="55"/>
  <c r="G13" i="55"/>
  <c r="I11" i="46"/>
  <c r="J11" i="46" s="1"/>
  <c r="M12" i="55"/>
  <c r="V16" i="63"/>
  <c r="I19" i="56"/>
  <c r="J19" i="56" s="1"/>
  <c r="J19" i="49"/>
  <c r="E17" i="63"/>
  <c r="G19" i="49"/>
  <c r="M17" i="63"/>
  <c r="I17" i="63"/>
  <c r="F29" i="64"/>
  <c r="Q29" i="64" s="1"/>
  <c r="I29" i="64"/>
  <c r="R29" i="64" s="1"/>
  <c r="C29" i="64"/>
  <c r="P29" i="64" s="1"/>
  <c r="K19" i="49"/>
  <c r="M19" i="49" s="1"/>
  <c r="D19" i="49"/>
  <c r="E20" i="49"/>
  <c r="H20" i="49"/>
  <c r="B20" i="49"/>
  <c r="A21" i="49"/>
  <c r="F14" i="55"/>
  <c r="L18" i="56"/>
  <c r="M18" i="56" s="1"/>
  <c r="C14" i="55"/>
  <c r="K18" i="43"/>
  <c r="A20" i="43"/>
  <c r="E19" i="43"/>
  <c r="N19" i="43"/>
  <c r="H19" i="43"/>
  <c r="B19" i="43"/>
  <c r="L30" i="31"/>
  <c r="M30" i="31" s="1"/>
  <c r="I31" i="31"/>
  <c r="J31" i="31" s="1"/>
  <c r="L13" i="55"/>
  <c r="F31" i="31"/>
  <c r="G31" i="31" s="1"/>
  <c r="K20" i="56"/>
  <c r="C20" i="56" s="1"/>
  <c r="D20" i="56" s="1"/>
  <c r="K15" i="55"/>
  <c r="C15" i="55" s="1"/>
  <c r="F19" i="56"/>
  <c r="G19" i="56" s="1"/>
  <c r="K32" i="31"/>
  <c r="I32" i="31" s="1"/>
  <c r="E21" i="56"/>
  <c r="A22" i="56"/>
  <c r="B21" i="56"/>
  <c r="H21" i="56"/>
  <c r="J14" i="55"/>
  <c r="H16" i="55"/>
  <c r="N16" i="55"/>
  <c r="A17" i="55"/>
  <c r="E16" i="55"/>
  <c r="B16" i="55"/>
  <c r="N24" i="61"/>
  <c r="AH25" i="61"/>
  <c r="A26" i="61"/>
  <c r="B25" i="61"/>
  <c r="T25" i="61" s="1"/>
  <c r="J25" i="61"/>
  <c r="Z25" i="61" s="1"/>
  <c r="F25" i="61"/>
  <c r="W25" i="61" s="1"/>
  <c r="I14" i="43"/>
  <c r="G14" i="43"/>
  <c r="A34" i="31"/>
  <c r="E33" i="31"/>
  <c r="B33" i="31"/>
  <c r="N33" i="31"/>
  <c r="H33" i="31"/>
  <c r="K16" i="46"/>
  <c r="E17" i="46"/>
  <c r="A18" i="46"/>
  <c r="N17" i="46"/>
  <c r="H17" i="46"/>
  <c r="B17" i="46"/>
  <c r="M16" i="58"/>
  <c r="M10" i="46"/>
  <c r="C11" i="46"/>
  <c r="F11" i="46"/>
  <c r="M13" i="43"/>
  <c r="C14" i="43"/>
  <c r="P14" i="72" s="1"/>
  <c r="X29" i="59"/>
  <c r="B27" i="59"/>
  <c r="C26" i="59"/>
  <c r="F26" i="59"/>
  <c r="G26" i="59" s="1"/>
  <c r="D17" i="58"/>
  <c r="T25" i="59"/>
  <c r="U25" i="59" s="1"/>
  <c r="Q25" i="59"/>
  <c r="S25" i="59" s="1"/>
  <c r="P26" i="59"/>
  <c r="I28" i="59"/>
  <c r="M27" i="59"/>
  <c r="N27" i="59" s="1"/>
  <c r="J27" i="59"/>
  <c r="A19" i="58"/>
  <c r="E18" i="58"/>
  <c r="F18" i="58"/>
  <c r="P18" i="58" s="1"/>
  <c r="B18" i="58"/>
  <c r="I18" i="58"/>
  <c r="Q18" i="58" s="1"/>
  <c r="H18" i="58"/>
  <c r="C18" i="58"/>
  <c r="O18" i="58" s="1"/>
  <c r="G17" i="58"/>
  <c r="L17" i="58"/>
  <c r="N17" i="58" s="1"/>
  <c r="J17" i="58"/>
  <c r="K17" i="58"/>
  <c r="E53" i="46" l="1"/>
  <c r="B53" i="46"/>
  <c r="H52" i="46"/>
  <c r="K51" i="46"/>
  <c r="I51" i="46" s="1"/>
  <c r="J51" i="46" s="1"/>
  <c r="E99" i="71"/>
  <c r="G98" i="71"/>
  <c r="B99" i="71"/>
  <c r="D98" i="71"/>
  <c r="B99" i="69"/>
  <c r="H98" i="69"/>
  <c r="H98" i="71"/>
  <c r="K98" i="71" s="1"/>
  <c r="M98" i="71" s="1"/>
  <c r="J97" i="71"/>
  <c r="E99" i="69"/>
  <c r="E57" i="43"/>
  <c r="H55" i="43"/>
  <c r="K55" i="43" s="1"/>
  <c r="C55" i="43" s="1"/>
  <c r="I54" i="43"/>
  <c r="C54" i="43"/>
  <c r="B99" i="72"/>
  <c r="K98" i="72"/>
  <c r="G53" i="43"/>
  <c r="Q56" i="72"/>
  <c r="D53" i="43"/>
  <c r="P56" i="72"/>
  <c r="B56" i="43"/>
  <c r="F54" i="43"/>
  <c r="J53" i="43"/>
  <c r="R56" i="72"/>
  <c r="J14" i="43"/>
  <c r="R14" i="72"/>
  <c r="D96" i="72"/>
  <c r="M95" i="72"/>
  <c r="J96" i="72"/>
  <c r="L96" i="72"/>
  <c r="G96" i="72"/>
  <c r="A98" i="72"/>
  <c r="F97" i="72"/>
  <c r="I97" i="72"/>
  <c r="C97" i="72"/>
  <c r="F54" i="49"/>
  <c r="M54" i="49"/>
  <c r="C54" i="49"/>
  <c r="J53" i="49"/>
  <c r="R58" i="70"/>
  <c r="I54" i="49"/>
  <c r="D53" i="49"/>
  <c r="P58" i="70"/>
  <c r="H56" i="49"/>
  <c r="K55" i="49"/>
  <c r="G53" i="49"/>
  <c r="Q58" i="70"/>
  <c r="G31" i="68"/>
  <c r="I31" i="68" s="1"/>
  <c r="K31" i="68"/>
  <c r="C31" i="68"/>
  <c r="E31" i="68" s="1"/>
  <c r="O30" i="68"/>
  <c r="G89" i="70"/>
  <c r="J89" i="70"/>
  <c r="L89" i="70"/>
  <c r="A91" i="70"/>
  <c r="F90" i="70"/>
  <c r="I90" i="70"/>
  <c r="C90" i="70"/>
  <c r="M88" i="70"/>
  <c r="D89" i="70"/>
  <c r="K89" i="70"/>
  <c r="P84" i="69"/>
  <c r="A86" i="69"/>
  <c r="I85" i="69"/>
  <c r="J85" i="69" s="1"/>
  <c r="F85" i="69"/>
  <c r="G85" i="69" s="1"/>
  <c r="C85" i="69"/>
  <c r="D85" i="69" s="1"/>
  <c r="O84" i="69"/>
  <c r="K84" i="69"/>
  <c r="M83" i="69"/>
  <c r="N83" i="69"/>
  <c r="L84" i="69"/>
  <c r="Q84" i="69"/>
  <c r="AB72" i="43"/>
  <c r="AC71" i="43"/>
  <c r="G14" i="55"/>
  <c r="M13" i="55"/>
  <c r="D15" i="55"/>
  <c r="D14" i="55"/>
  <c r="E18" i="63"/>
  <c r="V17" i="63"/>
  <c r="I18" i="63"/>
  <c r="J20" i="49"/>
  <c r="G20" i="49"/>
  <c r="M18" i="63"/>
  <c r="D29" i="64"/>
  <c r="J29" i="64"/>
  <c r="L29" i="64"/>
  <c r="M29" i="64" s="1"/>
  <c r="G29" i="64"/>
  <c r="H21" i="49"/>
  <c r="E21" i="49"/>
  <c r="B21" i="49"/>
  <c r="A22" i="49"/>
  <c r="D20" i="49"/>
  <c r="K20" i="49"/>
  <c r="M20" i="49" s="1"/>
  <c r="L14" i="55"/>
  <c r="K19" i="43"/>
  <c r="B20" i="43"/>
  <c r="E20" i="43"/>
  <c r="H20" i="43"/>
  <c r="N20" i="43"/>
  <c r="A21" i="43"/>
  <c r="F15" i="55"/>
  <c r="L14" i="43"/>
  <c r="F15" i="43" s="1"/>
  <c r="Q15" i="72" s="1"/>
  <c r="F32" i="31"/>
  <c r="G32" i="31" s="1"/>
  <c r="K17" i="46"/>
  <c r="G18" i="58"/>
  <c r="L31" i="31"/>
  <c r="M31" i="31" s="1"/>
  <c r="C32" i="31"/>
  <c r="D32" i="31" s="1"/>
  <c r="I20" i="56"/>
  <c r="J20" i="56" s="1"/>
  <c r="F20" i="56"/>
  <c r="G20" i="56" s="1"/>
  <c r="I15" i="55"/>
  <c r="L19" i="56"/>
  <c r="M19" i="56" s="1"/>
  <c r="B17" i="55"/>
  <c r="H17" i="55"/>
  <c r="N17" i="55"/>
  <c r="A18" i="55"/>
  <c r="E17" i="55"/>
  <c r="K21" i="56"/>
  <c r="C21" i="56" s="1"/>
  <c r="D21" i="56" s="1"/>
  <c r="K16" i="55"/>
  <c r="I16" i="55" s="1"/>
  <c r="E22" i="56"/>
  <c r="A23" i="56"/>
  <c r="B22" i="56"/>
  <c r="H22" i="56"/>
  <c r="N25" i="61"/>
  <c r="AH26" i="61"/>
  <c r="A27" i="61"/>
  <c r="F26" i="61"/>
  <c r="W26" i="61" s="1"/>
  <c r="J26" i="61"/>
  <c r="Z26" i="61" s="1"/>
  <c r="B26" i="61"/>
  <c r="T26" i="61" s="1"/>
  <c r="D11" i="46"/>
  <c r="N18" i="46"/>
  <c r="B18" i="46"/>
  <c r="H18" i="46"/>
  <c r="A19" i="46"/>
  <c r="E18" i="46"/>
  <c r="D14" i="43"/>
  <c r="J32" i="31"/>
  <c r="E34" i="31"/>
  <c r="B34" i="31"/>
  <c r="A35" i="31"/>
  <c r="H34" i="31"/>
  <c r="N34" i="31"/>
  <c r="L11" i="46"/>
  <c r="C12" i="46" s="1"/>
  <c r="G11" i="46"/>
  <c r="K33" i="31"/>
  <c r="C33" i="31" s="1"/>
  <c r="C27" i="59"/>
  <c r="B28" i="59"/>
  <c r="F27" i="59"/>
  <c r="G27" i="59" s="1"/>
  <c r="X30" i="59"/>
  <c r="K18" i="58"/>
  <c r="J28" i="59"/>
  <c r="M28" i="59"/>
  <c r="N28" i="59" s="1"/>
  <c r="I29" i="59"/>
  <c r="T26" i="59"/>
  <c r="U26" i="59" s="1"/>
  <c r="Q26" i="59"/>
  <c r="P27" i="59"/>
  <c r="M17" i="58"/>
  <c r="D18" i="58"/>
  <c r="J18" i="58"/>
  <c r="L18" i="58"/>
  <c r="N18" i="58" s="1"/>
  <c r="A20" i="58"/>
  <c r="E19" i="58"/>
  <c r="F19" i="58"/>
  <c r="P19" i="58" s="1"/>
  <c r="B19" i="58"/>
  <c r="I19" i="58"/>
  <c r="Q19" i="58" s="1"/>
  <c r="H19" i="58"/>
  <c r="C19" i="58"/>
  <c r="O19" i="58" s="1"/>
  <c r="H53" i="46" l="1"/>
  <c r="K53" i="46" s="1"/>
  <c r="K52" i="46"/>
  <c r="M51" i="46"/>
  <c r="F51" i="46"/>
  <c r="C51" i="46"/>
  <c r="B54" i="46"/>
  <c r="E54" i="46"/>
  <c r="H99" i="69"/>
  <c r="D99" i="71"/>
  <c r="B100" i="71"/>
  <c r="H99" i="71"/>
  <c r="K99" i="71" s="1"/>
  <c r="M99" i="71" s="1"/>
  <c r="J98" i="71"/>
  <c r="B100" i="69"/>
  <c r="E100" i="69"/>
  <c r="E100" i="71"/>
  <c r="G100" i="71" s="1"/>
  <c r="G99" i="71"/>
  <c r="F55" i="43"/>
  <c r="M55" i="43"/>
  <c r="D54" i="43"/>
  <c r="P57" i="72"/>
  <c r="G54" i="43"/>
  <c r="Q57" i="72"/>
  <c r="E58" i="43"/>
  <c r="D55" i="43"/>
  <c r="P58" i="72"/>
  <c r="J54" i="43"/>
  <c r="R57" i="72"/>
  <c r="B57" i="43"/>
  <c r="B100" i="72"/>
  <c r="K100" i="72" s="1"/>
  <c r="K99" i="72"/>
  <c r="H56" i="43"/>
  <c r="I55" i="43"/>
  <c r="D97" i="72"/>
  <c r="J97" i="72"/>
  <c r="L97" i="72"/>
  <c r="G97" i="72"/>
  <c r="A99" i="72"/>
  <c r="F98" i="72"/>
  <c r="I98" i="72"/>
  <c r="C98" i="72"/>
  <c r="M96" i="72"/>
  <c r="I55" i="49"/>
  <c r="C55" i="49"/>
  <c r="F55" i="49"/>
  <c r="M55" i="49"/>
  <c r="D54" i="49"/>
  <c r="P59" i="70"/>
  <c r="H57" i="49"/>
  <c r="K56" i="49"/>
  <c r="J54" i="49"/>
  <c r="R59" i="70"/>
  <c r="G54" i="49"/>
  <c r="Q59" i="70"/>
  <c r="L31" i="68"/>
  <c r="N31" i="68"/>
  <c r="K90" i="70"/>
  <c r="D90" i="70"/>
  <c r="L90" i="70"/>
  <c r="J90" i="70"/>
  <c r="G90" i="70"/>
  <c r="A92" i="70"/>
  <c r="I91" i="70"/>
  <c r="F91" i="70"/>
  <c r="C91" i="70"/>
  <c r="M89" i="70"/>
  <c r="P85" i="69"/>
  <c r="K85" i="69"/>
  <c r="M84" i="69"/>
  <c r="N84" i="69"/>
  <c r="L85" i="69"/>
  <c r="Q85" i="69"/>
  <c r="A87" i="69"/>
  <c r="F86" i="69"/>
  <c r="G86" i="69" s="1"/>
  <c r="I86" i="69"/>
  <c r="J86" i="69" s="1"/>
  <c r="C86" i="69"/>
  <c r="D86" i="69" s="1"/>
  <c r="O85" i="69"/>
  <c r="AB73" i="43"/>
  <c r="AC72" i="43"/>
  <c r="V18" i="63"/>
  <c r="M14" i="55"/>
  <c r="G15" i="55"/>
  <c r="G21" i="49"/>
  <c r="M19" i="63"/>
  <c r="J21" i="49"/>
  <c r="I19" i="63"/>
  <c r="E19" i="63"/>
  <c r="H22" i="49"/>
  <c r="B22" i="49"/>
  <c r="E22" i="49"/>
  <c r="A23" i="49"/>
  <c r="K21" i="49"/>
  <c r="M21" i="49" s="1"/>
  <c r="D21" i="49"/>
  <c r="A22" i="43"/>
  <c r="B21" i="43"/>
  <c r="E21" i="43"/>
  <c r="N21" i="43"/>
  <c r="H21" i="43"/>
  <c r="K20" i="43"/>
  <c r="L15" i="55"/>
  <c r="I15" i="43"/>
  <c r="C15" i="43"/>
  <c r="M14" i="43"/>
  <c r="L32" i="31"/>
  <c r="M32" i="31" s="1"/>
  <c r="L20" i="56"/>
  <c r="M20" i="56" s="1"/>
  <c r="G19" i="58"/>
  <c r="J15" i="55"/>
  <c r="F12" i="46"/>
  <c r="G12" i="46" s="1"/>
  <c r="K19" i="58"/>
  <c r="J16" i="55"/>
  <c r="I33" i="31"/>
  <c r="J33" i="31" s="1"/>
  <c r="K34" i="31"/>
  <c r="C34" i="31" s="1"/>
  <c r="D34" i="31" s="1"/>
  <c r="A24" i="56"/>
  <c r="E23" i="56"/>
  <c r="B23" i="56"/>
  <c r="H23" i="56"/>
  <c r="C16" i="55"/>
  <c r="K17" i="55"/>
  <c r="I17" i="55" s="1"/>
  <c r="I21" i="56"/>
  <c r="A19" i="55"/>
  <c r="H18" i="55"/>
  <c r="B18" i="55"/>
  <c r="N18" i="55"/>
  <c r="E18" i="55"/>
  <c r="F21" i="56"/>
  <c r="G21" i="56" s="1"/>
  <c r="F16" i="55"/>
  <c r="K22" i="56"/>
  <c r="F22" i="56" s="1"/>
  <c r="G22" i="56" s="1"/>
  <c r="N26" i="61"/>
  <c r="AH27" i="61"/>
  <c r="A28" i="61"/>
  <c r="F27" i="61"/>
  <c r="W27" i="61" s="1"/>
  <c r="J27" i="61"/>
  <c r="Z27" i="61" s="1"/>
  <c r="B27" i="61"/>
  <c r="T27" i="61" s="1"/>
  <c r="D33" i="31"/>
  <c r="D12" i="46"/>
  <c r="K18" i="46"/>
  <c r="F33" i="31"/>
  <c r="M11" i="46"/>
  <c r="I12" i="46"/>
  <c r="A36" i="31"/>
  <c r="E35" i="31"/>
  <c r="B35" i="31"/>
  <c r="H35" i="31"/>
  <c r="N35" i="31"/>
  <c r="H19" i="46"/>
  <c r="A20" i="46"/>
  <c r="B19" i="46"/>
  <c r="E19" i="46"/>
  <c r="N19" i="46"/>
  <c r="G15" i="43"/>
  <c r="X31" i="59"/>
  <c r="C28" i="59"/>
  <c r="F28" i="59"/>
  <c r="G28" i="59" s="1"/>
  <c r="B29" i="59"/>
  <c r="D19" i="58"/>
  <c r="I30" i="59"/>
  <c r="M29" i="59"/>
  <c r="N29" i="59" s="1"/>
  <c r="J29" i="59"/>
  <c r="L29" i="59" s="1"/>
  <c r="Q27" i="59"/>
  <c r="P28" i="59"/>
  <c r="T27" i="59"/>
  <c r="U27" i="59" s="1"/>
  <c r="M18" i="58"/>
  <c r="J19" i="58"/>
  <c r="L19" i="58"/>
  <c r="N19" i="58" s="1"/>
  <c r="A21" i="58"/>
  <c r="E20" i="58"/>
  <c r="B20" i="58"/>
  <c r="F20" i="58"/>
  <c r="P20" i="58" s="1"/>
  <c r="H20" i="58"/>
  <c r="I20" i="58"/>
  <c r="Q20" i="58" s="1"/>
  <c r="C20" i="58"/>
  <c r="O20" i="58" s="1"/>
  <c r="M53" i="46" l="1"/>
  <c r="C53" i="46"/>
  <c r="D53" i="46" s="1"/>
  <c r="F53" i="46"/>
  <c r="G53" i="46" s="1"/>
  <c r="G51" i="46"/>
  <c r="M52" i="46"/>
  <c r="C52" i="46"/>
  <c r="D52" i="46" s="1"/>
  <c r="F52" i="46"/>
  <c r="G52" i="46" s="1"/>
  <c r="B55" i="46"/>
  <c r="E55" i="46"/>
  <c r="D51" i="46"/>
  <c r="I52" i="46"/>
  <c r="H54" i="46"/>
  <c r="I53" i="46"/>
  <c r="J53" i="46" s="1"/>
  <c r="J99" i="71"/>
  <c r="H100" i="71"/>
  <c r="J100" i="71" s="1"/>
  <c r="H100" i="69"/>
  <c r="D100" i="71"/>
  <c r="J55" i="43"/>
  <c r="R58" i="72"/>
  <c r="B58" i="43"/>
  <c r="E59" i="43"/>
  <c r="H57" i="43"/>
  <c r="K57" i="43" s="1"/>
  <c r="G55" i="43"/>
  <c r="Q58" i="72"/>
  <c r="K56" i="43"/>
  <c r="J15" i="43"/>
  <c r="R15" i="72"/>
  <c r="D15" i="43"/>
  <c r="P15" i="72"/>
  <c r="G98" i="72"/>
  <c r="A100" i="72"/>
  <c r="I99" i="72"/>
  <c r="F99" i="72"/>
  <c r="C99" i="72"/>
  <c r="M97" i="72"/>
  <c r="D98" i="72"/>
  <c r="J98" i="72"/>
  <c r="L98" i="72"/>
  <c r="C56" i="49"/>
  <c r="M56" i="49"/>
  <c r="F56" i="49"/>
  <c r="I56" i="49"/>
  <c r="R60" i="70"/>
  <c r="J55" i="49"/>
  <c r="Q60" i="70"/>
  <c r="G55" i="49"/>
  <c r="D55" i="49"/>
  <c r="P60" i="70"/>
  <c r="H58" i="49"/>
  <c r="K57" i="49"/>
  <c r="K32" i="68"/>
  <c r="C32" i="68"/>
  <c r="E32" i="68" s="1"/>
  <c r="O31" i="68"/>
  <c r="G32" i="68"/>
  <c r="I32" i="68" s="1"/>
  <c r="L91" i="70"/>
  <c r="J91" i="70"/>
  <c r="A93" i="70"/>
  <c r="I92" i="70"/>
  <c r="F92" i="70"/>
  <c r="C92" i="70"/>
  <c r="M90" i="70"/>
  <c r="D91" i="70"/>
  <c r="K91" i="70"/>
  <c r="G91" i="70"/>
  <c r="O86" i="69"/>
  <c r="Q86" i="69"/>
  <c r="L86" i="69"/>
  <c r="K86" i="69"/>
  <c r="M85" i="69"/>
  <c r="N85" i="69"/>
  <c r="P86" i="69"/>
  <c r="A88" i="69"/>
  <c r="F87" i="69"/>
  <c r="G87" i="69" s="1"/>
  <c r="I87" i="69"/>
  <c r="J87" i="69" s="1"/>
  <c r="C87" i="69"/>
  <c r="D87" i="69" s="1"/>
  <c r="AB74" i="43"/>
  <c r="AC73" i="43"/>
  <c r="G16" i="55"/>
  <c r="D16" i="55"/>
  <c r="M15" i="55"/>
  <c r="V19" i="63"/>
  <c r="G22" i="49"/>
  <c r="I20" i="63"/>
  <c r="M20" i="63"/>
  <c r="J22" i="49"/>
  <c r="E20" i="63"/>
  <c r="F30" i="64"/>
  <c r="Q30" i="64" s="1"/>
  <c r="I30" i="64"/>
  <c r="R30" i="64" s="1"/>
  <c r="C30" i="64"/>
  <c r="P30" i="64" s="1"/>
  <c r="A24" i="49"/>
  <c r="E23" i="49"/>
  <c r="B23" i="49"/>
  <c r="H23" i="49"/>
  <c r="K22" i="49"/>
  <c r="M22" i="49" s="1"/>
  <c r="D22" i="49"/>
  <c r="M19" i="58"/>
  <c r="K21" i="43"/>
  <c r="A23" i="43"/>
  <c r="N22" i="43"/>
  <c r="B22" i="43"/>
  <c r="H22" i="43"/>
  <c r="E22" i="43"/>
  <c r="L15" i="43"/>
  <c r="I16" i="43" s="1"/>
  <c r="F34" i="31"/>
  <c r="G34" i="31" s="1"/>
  <c r="L33" i="31"/>
  <c r="M33" i="31" s="1"/>
  <c r="I34" i="31"/>
  <c r="J34" i="31" s="1"/>
  <c r="F17" i="55"/>
  <c r="C17" i="55"/>
  <c r="C22" i="56"/>
  <c r="D22" i="56" s="1"/>
  <c r="D20" i="58"/>
  <c r="K18" i="55"/>
  <c r="I18" i="55" s="1"/>
  <c r="K35" i="31"/>
  <c r="C35" i="31" s="1"/>
  <c r="K19" i="46"/>
  <c r="B19" i="55"/>
  <c r="H19" i="55"/>
  <c r="E19" i="55"/>
  <c r="N19" i="55"/>
  <c r="A20" i="55"/>
  <c r="K23" i="56"/>
  <c r="F23" i="56" s="1"/>
  <c r="G23" i="56" s="1"/>
  <c r="L21" i="56"/>
  <c r="M21" i="56" s="1"/>
  <c r="J21" i="56"/>
  <c r="L16" i="55"/>
  <c r="J17" i="55"/>
  <c r="I22" i="56"/>
  <c r="E24" i="56"/>
  <c r="B24" i="56"/>
  <c r="H24" i="56"/>
  <c r="A25" i="56"/>
  <c r="N27" i="61"/>
  <c r="AH28" i="61"/>
  <c r="A29" i="61"/>
  <c r="F28" i="61"/>
  <c r="W28" i="61" s="1"/>
  <c r="J28" i="61"/>
  <c r="Z28" i="61" s="1"/>
  <c r="B28" i="61"/>
  <c r="T28" i="61" s="1"/>
  <c r="J12" i="46"/>
  <c r="L12" i="46"/>
  <c r="N20" i="46"/>
  <c r="B20" i="46"/>
  <c r="E20" i="46"/>
  <c r="H20" i="46"/>
  <c r="A21" i="46"/>
  <c r="G20" i="58"/>
  <c r="A37" i="31"/>
  <c r="B36" i="31"/>
  <c r="E36" i="31"/>
  <c r="H36" i="31"/>
  <c r="N36" i="31"/>
  <c r="G33" i="31"/>
  <c r="F29" i="59"/>
  <c r="G29" i="59" s="1"/>
  <c r="C29" i="59"/>
  <c r="E29" i="59" s="1"/>
  <c r="B30" i="59"/>
  <c r="X32" i="59"/>
  <c r="J30" i="59"/>
  <c r="I31" i="59"/>
  <c r="M30" i="59"/>
  <c r="N30" i="59" s="1"/>
  <c r="Q28" i="59"/>
  <c r="P29" i="59"/>
  <c r="T28" i="59"/>
  <c r="U28" i="59" s="1"/>
  <c r="J20" i="58"/>
  <c r="L20" i="58"/>
  <c r="N20" i="58" s="1"/>
  <c r="E21" i="58"/>
  <c r="A22" i="58"/>
  <c r="B21" i="58"/>
  <c r="F21" i="58"/>
  <c r="P21" i="58" s="1"/>
  <c r="I21" i="58"/>
  <c r="Q21" i="58" s="1"/>
  <c r="H21" i="58"/>
  <c r="C21" i="58"/>
  <c r="O21" i="58" s="1"/>
  <c r="K20" i="58"/>
  <c r="H55" i="46" l="1"/>
  <c r="K55" i="46" s="1"/>
  <c r="M55" i="46" s="1"/>
  <c r="B56" i="46"/>
  <c r="J52" i="46"/>
  <c r="E56" i="46"/>
  <c r="K54" i="46"/>
  <c r="K100" i="71"/>
  <c r="M100" i="71" s="1"/>
  <c r="M57" i="43"/>
  <c r="F57" i="43"/>
  <c r="C57" i="43"/>
  <c r="M56" i="43"/>
  <c r="F56" i="43"/>
  <c r="C56" i="43"/>
  <c r="I56" i="43"/>
  <c r="E60" i="43"/>
  <c r="H58" i="43"/>
  <c r="K58" i="43" s="1"/>
  <c r="I57" i="43"/>
  <c r="B59" i="43"/>
  <c r="J16" i="43"/>
  <c r="R16" i="72"/>
  <c r="M98" i="72"/>
  <c r="F100" i="72"/>
  <c r="I100" i="72"/>
  <c r="I102" i="72"/>
  <c r="F102" i="72"/>
  <c r="C100" i="72"/>
  <c r="C102" i="72"/>
  <c r="D99" i="72"/>
  <c r="G99" i="72"/>
  <c r="J99" i="72"/>
  <c r="L99" i="72"/>
  <c r="D56" i="49"/>
  <c r="P61" i="70"/>
  <c r="G56" i="49"/>
  <c r="Q61" i="70"/>
  <c r="I57" i="49"/>
  <c r="M57" i="49"/>
  <c r="F57" i="49"/>
  <c r="C57" i="49"/>
  <c r="H59" i="49"/>
  <c r="K58" i="49"/>
  <c r="J56" i="49"/>
  <c r="R61" i="70"/>
  <c r="N32" i="68"/>
  <c r="L32" i="68"/>
  <c r="J92" i="70"/>
  <c r="L92" i="70"/>
  <c r="A94" i="70"/>
  <c r="I93" i="70"/>
  <c r="F93" i="70"/>
  <c r="C93" i="70"/>
  <c r="D92" i="70"/>
  <c r="G92" i="70"/>
  <c r="K92" i="70"/>
  <c r="M91" i="70"/>
  <c r="L87" i="69"/>
  <c r="Q87" i="69"/>
  <c r="K87" i="69"/>
  <c r="P87" i="69"/>
  <c r="A89" i="69"/>
  <c r="I88" i="69"/>
  <c r="J88" i="69" s="1"/>
  <c r="F88" i="69"/>
  <c r="G88" i="69" s="1"/>
  <c r="C88" i="69"/>
  <c r="D88" i="69" s="1"/>
  <c r="O87" i="69"/>
  <c r="M86" i="69"/>
  <c r="N86" i="69"/>
  <c r="AC74" i="43"/>
  <c r="AB75" i="43"/>
  <c r="J18" i="55"/>
  <c r="G17" i="55"/>
  <c r="I13" i="46"/>
  <c r="J13" i="46" s="1"/>
  <c r="D17" i="55"/>
  <c r="M16" i="55"/>
  <c r="V20" i="63"/>
  <c r="M21" i="63"/>
  <c r="E21" i="63"/>
  <c r="J23" i="49"/>
  <c r="I21" i="63"/>
  <c r="G23" i="49"/>
  <c r="D30" i="64"/>
  <c r="J30" i="64"/>
  <c r="L30" i="64"/>
  <c r="M30" i="64" s="1"/>
  <c r="G30" i="64"/>
  <c r="D23" i="49"/>
  <c r="K23" i="49"/>
  <c r="M23" i="49" s="1"/>
  <c r="H24" i="49"/>
  <c r="E24" i="49"/>
  <c r="B24" i="49"/>
  <c r="A25" i="49"/>
  <c r="F35" i="31"/>
  <c r="G35" i="31" s="1"/>
  <c r="C16" i="43"/>
  <c r="F16" i="43"/>
  <c r="K22" i="43"/>
  <c r="L34" i="31"/>
  <c r="M34" i="31" s="1"/>
  <c r="B23" i="43"/>
  <c r="E23" i="43"/>
  <c r="N23" i="43"/>
  <c r="A24" i="43"/>
  <c r="H23" i="43"/>
  <c r="M15" i="43"/>
  <c r="L17" i="55"/>
  <c r="F18" i="55"/>
  <c r="C18" i="55"/>
  <c r="I35" i="31"/>
  <c r="J35" i="31" s="1"/>
  <c r="D21" i="58"/>
  <c r="C23" i="56"/>
  <c r="D23" i="56" s="1"/>
  <c r="K20" i="46"/>
  <c r="I23" i="56"/>
  <c r="H25" i="56"/>
  <c r="B25" i="56"/>
  <c r="E25" i="56"/>
  <c r="A26" i="56"/>
  <c r="B20" i="55"/>
  <c r="A21" i="55"/>
  <c r="N20" i="55"/>
  <c r="E20" i="55"/>
  <c r="H20" i="55"/>
  <c r="K19" i="55"/>
  <c r="I19" i="55" s="1"/>
  <c r="K24" i="56"/>
  <c r="F24" i="56" s="1"/>
  <c r="G24" i="56" s="1"/>
  <c r="J22" i="56"/>
  <c r="L22" i="56"/>
  <c r="M22" i="56" s="1"/>
  <c r="AH29" i="61"/>
  <c r="A30" i="61"/>
  <c r="B29" i="61"/>
  <c r="T29" i="61" s="1"/>
  <c r="F29" i="61"/>
  <c r="W29" i="61" s="1"/>
  <c r="J29" i="61"/>
  <c r="Z29" i="61" s="1"/>
  <c r="N28" i="61"/>
  <c r="D35" i="31"/>
  <c r="H21" i="46"/>
  <c r="N21" i="46"/>
  <c r="B21" i="46"/>
  <c r="A22" i="46"/>
  <c r="E21" i="46"/>
  <c r="M12" i="46"/>
  <c r="F13" i="46"/>
  <c r="C13" i="46"/>
  <c r="K36" i="31"/>
  <c r="C36" i="31" s="1"/>
  <c r="E37" i="31"/>
  <c r="B37" i="31"/>
  <c r="A38" i="31"/>
  <c r="H37" i="31"/>
  <c r="N37" i="31"/>
  <c r="X33" i="59"/>
  <c r="C30" i="59"/>
  <c r="F30" i="59"/>
  <c r="G30" i="59" s="1"/>
  <c r="B31" i="59"/>
  <c r="T29" i="59"/>
  <c r="U29" i="59" s="1"/>
  <c r="Q29" i="59"/>
  <c r="S29" i="59" s="1"/>
  <c r="P30" i="59"/>
  <c r="J31" i="59"/>
  <c r="M31" i="59"/>
  <c r="N31" i="59" s="1"/>
  <c r="I32" i="59"/>
  <c r="J21" i="58"/>
  <c r="L21" i="58"/>
  <c r="N21" i="58" s="1"/>
  <c r="E22" i="58"/>
  <c r="A23" i="58"/>
  <c r="F22" i="58"/>
  <c r="P22" i="58" s="1"/>
  <c r="I22" i="58"/>
  <c r="Q22" i="58" s="1"/>
  <c r="B22" i="58"/>
  <c r="H22" i="58"/>
  <c r="C22" i="58"/>
  <c r="O22" i="58" s="1"/>
  <c r="G21" i="58"/>
  <c r="M20" i="58"/>
  <c r="K21" i="58"/>
  <c r="F55" i="46" l="1"/>
  <c r="G55" i="46" s="1"/>
  <c r="B57" i="46"/>
  <c r="M54" i="46"/>
  <c r="C54" i="46"/>
  <c r="F54" i="46"/>
  <c r="H56" i="46"/>
  <c r="K56" i="46" s="1"/>
  <c r="I55" i="46"/>
  <c r="J55" i="46" s="1"/>
  <c r="E57" i="46"/>
  <c r="C55" i="46"/>
  <c r="D55" i="46" s="1"/>
  <c r="I54" i="46"/>
  <c r="J54" i="46" s="1"/>
  <c r="M58" i="43"/>
  <c r="F58" i="43"/>
  <c r="C58" i="43"/>
  <c r="D56" i="43"/>
  <c r="P59" i="72"/>
  <c r="G56" i="43"/>
  <c r="Q59" i="72"/>
  <c r="D57" i="43"/>
  <c r="P60" i="72"/>
  <c r="J57" i="43"/>
  <c r="R60" i="72"/>
  <c r="E61" i="43"/>
  <c r="G57" i="43"/>
  <c r="Q60" i="72"/>
  <c r="B60" i="43"/>
  <c r="H59" i="43"/>
  <c r="I58" i="43"/>
  <c r="J56" i="43"/>
  <c r="R59" i="72"/>
  <c r="D16" i="43"/>
  <c r="P16" i="72"/>
  <c r="G16" i="43"/>
  <c r="Q16" i="72"/>
  <c r="J100" i="72"/>
  <c r="L100" i="72"/>
  <c r="I101" i="72"/>
  <c r="I103" i="72" s="1"/>
  <c r="I105" i="72" s="1"/>
  <c r="D100" i="72"/>
  <c r="C101" i="72"/>
  <c r="C103" i="72" s="1"/>
  <c r="C105" i="72" s="1"/>
  <c r="G100" i="72"/>
  <c r="F101" i="72"/>
  <c r="F103" i="72" s="1"/>
  <c r="F105" i="72" s="1"/>
  <c r="M99" i="72"/>
  <c r="L102" i="72"/>
  <c r="H60" i="49"/>
  <c r="K59" i="49"/>
  <c r="I59" i="49" s="1"/>
  <c r="J57" i="49"/>
  <c r="R62" i="70"/>
  <c r="M58" i="49"/>
  <c r="F58" i="49"/>
  <c r="C58" i="49"/>
  <c r="G57" i="49"/>
  <c r="Q62" i="70"/>
  <c r="I58" i="49"/>
  <c r="D57" i="49"/>
  <c r="P62" i="70"/>
  <c r="O32" i="68"/>
  <c r="C33" i="68"/>
  <c r="E33" i="68" s="1"/>
  <c r="K33" i="68"/>
  <c r="G33" i="68"/>
  <c r="I33" i="68" s="1"/>
  <c r="J93" i="70"/>
  <c r="L93" i="70"/>
  <c r="A95" i="70"/>
  <c r="F94" i="70"/>
  <c r="I94" i="70"/>
  <c r="C94" i="70"/>
  <c r="D93" i="70"/>
  <c r="M92" i="70"/>
  <c r="G93" i="70"/>
  <c r="K93" i="70"/>
  <c r="P88" i="69"/>
  <c r="Q88" i="69"/>
  <c r="L88" i="69"/>
  <c r="A90" i="69"/>
  <c r="F89" i="69"/>
  <c r="G89" i="69" s="1"/>
  <c r="I89" i="69"/>
  <c r="J89" i="69" s="1"/>
  <c r="C89" i="69"/>
  <c r="D89" i="69" s="1"/>
  <c r="K88" i="69"/>
  <c r="N87" i="69"/>
  <c r="M87" i="69"/>
  <c r="O88" i="69"/>
  <c r="AC75" i="43"/>
  <c r="AB76" i="43"/>
  <c r="D18" i="55"/>
  <c r="G18" i="55"/>
  <c r="M17" i="55"/>
  <c r="V21" i="63"/>
  <c r="M22" i="63"/>
  <c r="I22" i="63"/>
  <c r="E22" i="63"/>
  <c r="G24" i="49"/>
  <c r="J24" i="49"/>
  <c r="B25" i="49"/>
  <c r="H25" i="49"/>
  <c r="A26" i="49"/>
  <c r="E25" i="49"/>
  <c r="D24" i="49"/>
  <c r="K24" i="49"/>
  <c r="M24" i="49" s="1"/>
  <c r="L16" i="43"/>
  <c r="C17" i="43" s="1"/>
  <c r="K23" i="43"/>
  <c r="N24" i="43"/>
  <c r="A25" i="43"/>
  <c r="E24" i="43"/>
  <c r="H24" i="43"/>
  <c r="B24" i="43"/>
  <c r="L18" i="55"/>
  <c r="L35" i="31"/>
  <c r="M35" i="31" s="1"/>
  <c r="C19" i="55"/>
  <c r="I36" i="31"/>
  <c r="J36" i="31" s="1"/>
  <c r="F19" i="55"/>
  <c r="I24" i="56"/>
  <c r="C24" i="56"/>
  <c r="D24" i="56" s="1"/>
  <c r="A27" i="56"/>
  <c r="H26" i="56"/>
  <c r="E26" i="56"/>
  <c r="B26" i="56"/>
  <c r="J23" i="56"/>
  <c r="L23" i="56"/>
  <c r="M23" i="56" s="1"/>
  <c r="J19" i="55"/>
  <c r="N21" i="55"/>
  <c r="H21" i="55"/>
  <c r="A22" i="55"/>
  <c r="E21" i="55"/>
  <c r="B21" i="55"/>
  <c r="K21" i="46"/>
  <c r="K20" i="55"/>
  <c r="F20" i="55" s="1"/>
  <c r="K25" i="56"/>
  <c r="F25" i="56" s="1"/>
  <c r="G25" i="56" s="1"/>
  <c r="N29" i="61"/>
  <c r="AH30" i="61"/>
  <c r="A31" i="61"/>
  <c r="F30" i="61"/>
  <c r="W30" i="61" s="1"/>
  <c r="J30" i="61"/>
  <c r="Z30" i="61" s="1"/>
  <c r="B30" i="61"/>
  <c r="T30" i="61" s="1"/>
  <c r="D36" i="31"/>
  <c r="F36" i="31"/>
  <c r="G13" i="46"/>
  <c r="L13" i="46"/>
  <c r="F14" i="46" s="1"/>
  <c r="D22" i="58"/>
  <c r="G22" i="58"/>
  <c r="A39" i="31"/>
  <c r="B38" i="31"/>
  <c r="E38" i="31"/>
  <c r="H38" i="31"/>
  <c r="N38" i="31"/>
  <c r="K37" i="31"/>
  <c r="F37" i="31" s="1"/>
  <c r="G37" i="31" s="1"/>
  <c r="D13" i="46"/>
  <c r="B22" i="46"/>
  <c r="A23" i="46"/>
  <c r="N22" i="46"/>
  <c r="E22" i="46"/>
  <c r="H22" i="46"/>
  <c r="X34" i="59"/>
  <c r="B32" i="59"/>
  <c r="F31" i="59"/>
  <c r="G31" i="59" s="1"/>
  <c r="C31" i="59"/>
  <c r="J32" i="59"/>
  <c r="I33" i="59"/>
  <c r="M32" i="59"/>
  <c r="N32" i="59" s="1"/>
  <c r="P31" i="59"/>
  <c r="T30" i="59"/>
  <c r="U30" i="59" s="1"/>
  <c r="Q30" i="59"/>
  <c r="A24" i="58"/>
  <c r="E23" i="58"/>
  <c r="B23" i="58"/>
  <c r="F23" i="58"/>
  <c r="P23" i="58" s="1"/>
  <c r="I23" i="58"/>
  <c r="Q23" i="58" s="1"/>
  <c r="H23" i="58"/>
  <c r="C23" i="58"/>
  <c r="O23" i="58" s="1"/>
  <c r="K22" i="58"/>
  <c r="J22" i="58"/>
  <c r="L22" i="58"/>
  <c r="N22" i="58" s="1"/>
  <c r="M21" i="58"/>
  <c r="M56" i="46" l="1"/>
  <c r="C56" i="46"/>
  <c r="D56" i="46" s="1"/>
  <c r="F56" i="46"/>
  <c r="G56" i="46" s="1"/>
  <c r="B58" i="46"/>
  <c r="G54" i="46"/>
  <c r="E58" i="46"/>
  <c r="D54" i="46"/>
  <c r="H57" i="46"/>
  <c r="I56" i="46"/>
  <c r="J56" i="46" s="1"/>
  <c r="J58" i="43"/>
  <c r="R61" i="72"/>
  <c r="B61" i="43"/>
  <c r="E62" i="43"/>
  <c r="H60" i="43"/>
  <c r="D58" i="43"/>
  <c r="P61" i="72"/>
  <c r="K59" i="43"/>
  <c r="G58" i="43"/>
  <c r="Q61" i="72"/>
  <c r="D17" i="43"/>
  <c r="P17" i="72"/>
  <c r="L105" i="72"/>
  <c r="L108" i="72" s="1"/>
  <c r="M100" i="72"/>
  <c r="L101" i="72"/>
  <c r="L103" i="72" s="1"/>
  <c r="J59" i="49"/>
  <c r="R64" i="70"/>
  <c r="G58" i="49"/>
  <c r="Q63" i="70"/>
  <c r="J58" i="49"/>
  <c r="R63" i="70"/>
  <c r="D58" i="49"/>
  <c r="P63" i="70"/>
  <c r="M59" i="49"/>
  <c r="F59" i="49"/>
  <c r="C59" i="49"/>
  <c r="H61" i="49"/>
  <c r="K60" i="49"/>
  <c r="I60" i="49" s="1"/>
  <c r="L33" i="68"/>
  <c r="N33" i="68"/>
  <c r="G94" i="70"/>
  <c r="A96" i="70"/>
  <c r="F95" i="70"/>
  <c r="I95" i="70"/>
  <c r="C95" i="70"/>
  <c r="M93" i="70"/>
  <c r="D94" i="70"/>
  <c r="L94" i="70"/>
  <c r="J94" i="70"/>
  <c r="K94" i="70"/>
  <c r="K89" i="69"/>
  <c r="O89" i="69"/>
  <c r="M88" i="69"/>
  <c r="N88" i="69"/>
  <c r="Q89" i="69"/>
  <c r="L89" i="69"/>
  <c r="P89" i="69"/>
  <c r="A91" i="69"/>
  <c r="I90" i="69"/>
  <c r="J90" i="69" s="1"/>
  <c r="F90" i="69"/>
  <c r="G90" i="69" s="1"/>
  <c r="C90" i="69"/>
  <c r="D90" i="69" s="1"/>
  <c r="AB77" i="43"/>
  <c r="AC76" i="43"/>
  <c r="D19" i="55"/>
  <c r="G20" i="55"/>
  <c r="G19" i="55"/>
  <c r="M18" i="55"/>
  <c r="V22" i="63"/>
  <c r="J25" i="49"/>
  <c r="I23" i="63"/>
  <c r="D23" i="58"/>
  <c r="G25" i="49"/>
  <c r="M23" i="63"/>
  <c r="E23" i="63"/>
  <c r="F31" i="64"/>
  <c r="Q31" i="64" s="1"/>
  <c r="C31" i="64"/>
  <c r="P31" i="64" s="1"/>
  <c r="I31" i="64"/>
  <c r="R31" i="64" s="1"/>
  <c r="E26" i="49"/>
  <c r="B26" i="49"/>
  <c r="H26" i="49"/>
  <c r="A27" i="49"/>
  <c r="K25" i="49"/>
  <c r="M25" i="49" s="1"/>
  <c r="D25" i="49"/>
  <c r="I17" i="43"/>
  <c r="M16" i="43"/>
  <c r="F17" i="43"/>
  <c r="E25" i="43"/>
  <c r="A26" i="43"/>
  <c r="N25" i="43"/>
  <c r="B25" i="43"/>
  <c r="H25" i="43"/>
  <c r="K24" i="43"/>
  <c r="L19" i="55"/>
  <c r="C14" i="46"/>
  <c r="L36" i="31"/>
  <c r="M36" i="31" s="1"/>
  <c r="G23" i="58"/>
  <c r="K26" i="56"/>
  <c r="I26" i="56" s="1"/>
  <c r="C20" i="55"/>
  <c r="I25" i="56"/>
  <c r="E22" i="55"/>
  <c r="N22" i="55"/>
  <c r="A23" i="55"/>
  <c r="B22" i="55"/>
  <c r="H22" i="55"/>
  <c r="I20" i="55"/>
  <c r="K38" i="31"/>
  <c r="F38" i="31" s="1"/>
  <c r="G38" i="31" s="1"/>
  <c r="C25" i="56"/>
  <c r="D25" i="56" s="1"/>
  <c r="K21" i="55"/>
  <c r="I21" i="55" s="1"/>
  <c r="H27" i="56"/>
  <c r="A28" i="56"/>
  <c r="B27" i="56"/>
  <c r="E27" i="56"/>
  <c r="J24" i="56"/>
  <c r="L24" i="56"/>
  <c r="M24" i="56" s="1"/>
  <c r="AH31" i="61"/>
  <c r="A32" i="61"/>
  <c r="F31" i="61"/>
  <c r="W31" i="61" s="1"/>
  <c r="J31" i="61"/>
  <c r="Z31" i="61" s="1"/>
  <c r="B31" i="61"/>
  <c r="T31" i="61" s="1"/>
  <c r="N30" i="61"/>
  <c r="G14" i="46"/>
  <c r="N23" i="46"/>
  <c r="H23" i="46"/>
  <c r="A24" i="46"/>
  <c r="B23" i="46"/>
  <c r="E23" i="46"/>
  <c r="A40" i="31"/>
  <c r="E39" i="31"/>
  <c r="B39" i="31"/>
  <c r="H39" i="31"/>
  <c r="N39" i="31"/>
  <c r="C37" i="31"/>
  <c r="D37" i="31" s="1"/>
  <c r="K22" i="46"/>
  <c r="I37" i="31"/>
  <c r="M13" i="46"/>
  <c r="I14" i="46"/>
  <c r="G36" i="31"/>
  <c r="X35" i="59"/>
  <c r="F32" i="59"/>
  <c r="G32" i="59" s="1"/>
  <c r="C32" i="59"/>
  <c r="B33" i="59"/>
  <c r="Q31" i="59"/>
  <c r="P32" i="59"/>
  <c r="T31" i="59"/>
  <c r="U31" i="59" s="1"/>
  <c r="J33" i="59"/>
  <c r="L33" i="59" s="1"/>
  <c r="I34" i="59"/>
  <c r="M33" i="59"/>
  <c r="N33" i="59" s="1"/>
  <c r="K23" i="58"/>
  <c r="M22" i="58"/>
  <c r="J23" i="58"/>
  <c r="L23" i="58"/>
  <c r="N23" i="58" s="1"/>
  <c r="E24" i="58"/>
  <c r="A25" i="58"/>
  <c r="F24" i="58"/>
  <c r="P24" i="58" s="1"/>
  <c r="B24" i="58"/>
  <c r="H24" i="58"/>
  <c r="I24" i="58"/>
  <c r="Q24" i="58" s="1"/>
  <c r="C24" i="58"/>
  <c r="O24" i="58" s="1"/>
  <c r="B59" i="46" l="1"/>
  <c r="H58" i="46"/>
  <c r="E59" i="46"/>
  <c r="K57" i="46"/>
  <c r="I57" i="46" s="1"/>
  <c r="J57" i="46" s="1"/>
  <c r="M59" i="43"/>
  <c r="F59" i="43"/>
  <c r="C59" i="43"/>
  <c r="H61" i="43"/>
  <c r="K61" i="43" s="1"/>
  <c r="C61" i="43" s="1"/>
  <c r="K60" i="43"/>
  <c r="E63" i="43"/>
  <c r="B62" i="43"/>
  <c r="I59" i="43"/>
  <c r="J17" i="43"/>
  <c r="R17" i="72"/>
  <c r="G17" i="43"/>
  <c r="Q17" i="72"/>
  <c r="J60" i="49"/>
  <c r="R65" i="70"/>
  <c r="H62" i="49"/>
  <c r="K61" i="49"/>
  <c r="I61" i="49" s="1"/>
  <c r="M60" i="49"/>
  <c r="F60" i="49"/>
  <c r="C60" i="49"/>
  <c r="D59" i="49"/>
  <c r="P64" i="70"/>
  <c r="G59" i="49"/>
  <c r="Q64" i="70"/>
  <c r="O33" i="68"/>
  <c r="C34" i="68"/>
  <c r="E34" i="68" s="1"/>
  <c r="G34" i="68"/>
  <c r="I34" i="68" s="1"/>
  <c r="K34" i="68"/>
  <c r="L95" i="70"/>
  <c r="J95" i="70"/>
  <c r="M94" i="70"/>
  <c r="G95" i="70"/>
  <c r="A97" i="70"/>
  <c r="F96" i="70"/>
  <c r="I96" i="70"/>
  <c r="C96" i="70"/>
  <c r="D95" i="70"/>
  <c r="K95" i="70"/>
  <c r="K90" i="69"/>
  <c r="O90" i="69"/>
  <c r="P90" i="69"/>
  <c r="Q90" i="69"/>
  <c r="L90" i="69"/>
  <c r="A92" i="69"/>
  <c r="F91" i="69"/>
  <c r="G91" i="69" s="1"/>
  <c r="I91" i="69"/>
  <c r="J91" i="69" s="1"/>
  <c r="C91" i="69"/>
  <c r="D91" i="69" s="1"/>
  <c r="N89" i="69"/>
  <c r="M89" i="69"/>
  <c r="AC77" i="43"/>
  <c r="AB78" i="43"/>
  <c r="D20" i="55"/>
  <c r="D14" i="46"/>
  <c r="M19" i="55"/>
  <c r="V23" i="63"/>
  <c r="E24" i="63"/>
  <c r="J26" i="49"/>
  <c r="I24" i="63"/>
  <c r="M24" i="63"/>
  <c r="G26" i="49"/>
  <c r="L31" i="64"/>
  <c r="M31" i="64" s="1"/>
  <c r="J31" i="64"/>
  <c r="D31" i="64"/>
  <c r="G31" i="64"/>
  <c r="A28" i="49"/>
  <c r="B27" i="49"/>
  <c r="E27" i="49"/>
  <c r="H27" i="49"/>
  <c r="K26" i="49"/>
  <c r="M26" i="49" s="1"/>
  <c r="D26" i="49"/>
  <c r="L17" i="43"/>
  <c r="F18" i="43" s="1"/>
  <c r="I38" i="31"/>
  <c r="J38" i="31" s="1"/>
  <c r="K25" i="43"/>
  <c r="A27" i="43"/>
  <c r="N26" i="43"/>
  <c r="E26" i="43"/>
  <c r="H26" i="43"/>
  <c r="B26" i="43"/>
  <c r="C38" i="31"/>
  <c r="D38" i="31" s="1"/>
  <c r="F26" i="56"/>
  <c r="G26" i="56" s="1"/>
  <c r="C26" i="56"/>
  <c r="D26" i="56" s="1"/>
  <c r="K22" i="55"/>
  <c r="I22" i="55" s="1"/>
  <c r="J20" i="55"/>
  <c r="L20" i="55"/>
  <c r="B23" i="55"/>
  <c r="E23" i="55"/>
  <c r="A24" i="55"/>
  <c r="N23" i="55"/>
  <c r="H23" i="55"/>
  <c r="C21" i="55"/>
  <c r="K27" i="56"/>
  <c r="I27" i="56" s="1"/>
  <c r="F21" i="55"/>
  <c r="J26" i="56"/>
  <c r="E28" i="56"/>
  <c r="H28" i="56"/>
  <c r="A29" i="56"/>
  <c r="B28" i="56"/>
  <c r="J21" i="55"/>
  <c r="J25" i="56"/>
  <c r="L25" i="56"/>
  <c r="M25" i="56" s="1"/>
  <c r="N31" i="61"/>
  <c r="AH32" i="61"/>
  <c r="A33" i="61"/>
  <c r="F32" i="61"/>
  <c r="W32" i="61" s="1"/>
  <c r="J32" i="61"/>
  <c r="Z32" i="61" s="1"/>
  <c r="B32" i="61"/>
  <c r="T32" i="61" s="1"/>
  <c r="J14" i="46"/>
  <c r="L14" i="46"/>
  <c r="K39" i="31"/>
  <c r="F39" i="31" s="1"/>
  <c r="G39" i="31" s="1"/>
  <c r="L37" i="31"/>
  <c r="M37" i="31" s="1"/>
  <c r="J37" i="31"/>
  <c r="K23" i="46"/>
  <c r="B40" i="31"/>
  <c r="A41" i="31"/>
  <c r="E40" i="31"/>
  <c r="N40" i="31"/>
  <c r="H40" i="31"/>
  <c r="A25" i="46"/>
  <c r="H24" i="46"/>
  <c r="E24" i="46"/>
  <c r="N24" i="46"/>
  <c r="B24" i="46"/>
  <c r="F33" i="59"/>
  <c r="G33" i="59" s="1"/>
  <c r="C33" i="59"/>
  <c r="E33" i="59" s="1"/>
  <c r="B34" i="59"/>
  <c r="X36" i="59"/>
  <c r="K24" i="58"/>
  <c r="M23" i="58"/>
  <c r="J34" i="59"/>
  <c r="I35" i="59"/>
  <c r="M34" i="59"/>
  <c r="N34" i="59" s="1"/>
  <c r="Q32" i="59"/>
  <c r="P33" i="59"/>
  <c r="T32" i="59"/>
  <c r="U32" i="59" s="1"/>
  <c r="G24" i="58"/>
  <c r="D24" i="58"/>
  <c r="A26" i="58"/>
  <c r="E25" i="58"/>
  <c r="F25" i="58"/>
  <c r="P25" i="58" s="1"/>
  <c r="I25" i="58"/>
  <c r="Q25" i="58" s="1"/>
  <c r="B25" i="58"/>
  <c r="H25" i="58"/>
  <c r="C25" i="58"/>
  <c r="O25" i="58" s="1"/>
  <c r="J24" i="58"/>
  <c r="L24" i="58"/>
  <c r="N24" i="58" s="1"/>
  <c r="B60" i="46" l="1"/>
  <c r="M57" i="46"/>
  <c r="C57" i="46"/>
  <c r="D57" i="46" s="1"/>
  <c r="F57" i="46"/>
  <c r="G57" i="46" s="1"/>
  <c r="H59" i="46"/>
  <c r="E60" i="46"/>
  <c r="K58" i="46"/>
  <c r="I18" i="43"/>
  <c r="J18" i="43" s="1"/>
  <c r="D61" i="43"/>
  <c r="P64" i="72"/>
  <c r="J59" i="43"/>
  <c r="R62" i="72"/>
  <c r="H62" i="43"/>
  <c r="K62" i="43" s="1"/>
  <c r="I61" i="43"/>
  <c r="B63" i="43"/>
  <c r="E64" i="43"/>
  <c r="D59" i="43"/>
  <c r="P62" i="72"/>
  <c r="M60" i="43"/>
  <c r="F60" i="43"/>
  <c r="C60" i="43"/>
  <c r="G59" i="43"/>
  <c r="Q62" i="72"/>
  <c r="M61" i="43"/>
  <c r="F61" i="43"/>
  <c r="I60" i="43"/>
  <c r="G18" i="43"/>
  <c r="Q18" i="72"/>
  <c r="J61" i="49"/>
  <c r="R66" i="70"/>
  <c r="D60" i="49"/>
  <c r="P65" i="70"/>
  <c r="M61" i="49"/>
  <c r="C61" i="49"/>
  <c r="F61" i="49"/>
  <c r="G60" i="49"/>
  <c r="Q65" i="70"/>
  <c r="H63" i="49"/>
  <c r="K62" i="49"/>
  <c r="L34" i="68"/>
  <c r="N34" i="68"/>
  <c r="K35" i="68" s="1"/>
  <c r="L35" i="68" s="1"/>
  <c r="G96" i="70"/>
  <c r="A98" i="70"/>
  <c r="F97" i="70"/>
  <c r="I97" i="70"/>
  <c r="C97" i="70"/>
  <c r="D96" i="70"/>
  <c r="K96" i="70"/>
  <c r="J96" i="70"/>
  <c r="L96" i="70"/>
  <c r="M95" i="70"/>
  <c r="P91" i="69"/>
  <c r="A93" i="69"/>
  <c r="I92" i="69"/>
  <c r="J92" i="69" s="1"/>
  <c r="F92" i="69"/>
  <c r="G92" i="69" s="1"/>
  <c r="C92" i="69"/>
  <c r="D92" i="69" s="1"/>
  <c r="N90" i="69"/>
  <c r="M90" i="69"/>
  <c r="O91" i="69"/>
  <c r="K91" i="69"/>
  <c r="Q91" i="69"/>
  <c r="L91" i="69"/>
  <c r="AB79" i="43"/>
  <c r="AC78" i="43"/>
  <c r="V24" i="63"/>
  <c r="G21" i="55"/>
  <c r="M20" i="55"/>
  <c r="D21" i="55"/>
  <c r="J22" i="55"/>
  <c r="I25" i="63"/>
  <c r="J27" i="49"/>
  <c r="M25" i="63"/>
  <c r="G27" i="49"/>
  <c r="E25" i="63"/>
  <c r="C32" i="64"/>
  <c r="P32" i="64" s="1"/>
  <c r="I32" i="64"/>
  <c r="R32" i="64" s="1"/>
  <c r="F32" i="64"/>
  <c r="Q32" i="64" s="1"/>
  <c r="K27" i="49"/>
  <c r="M27" i="49" s="1"/>
  <c r="D27" i="49"/>
  <c r="B28" i="49"/>
  <c r="H28" i="49"/>
  <c r="E28" i="49"/>
  <c r="A29" i="49"/>
  <c r="M17" i="43"/>
  <c r="C18" i="43"/>
  <c r="K26" i="43"/>
  <c r="B27" i="43"/>
  <c r="A28" i="43"/>
  <c r="H27" i="43"/>
  <c r="E27" i="43"/>
  <c r="N27" i="43"/>
  <c r="L38" i="31"/>
  <c r="M38" i="31" s="1"/>
  <c r="C39" i="31"/>
  <c r="D39" i="31" s="1"/>
  <c r="L21" i="55"/>
  <c r="I39" i="31"/>
  <c r="J39" i="31" s="1"/>
  <c r="L26" i="56"/>
  <c r="M26" i="56" s="1"/>
  <c r="C27" i="56"/>
  <c r="D27" i="56" s="1"/>
  <c r="F22" i="55"/>
  <c r="C22" i="55"/>
  <c r="J27" i="56"/>
  <c r="M24" i="58"/>
  <c r="K23" i="55"/>
  <c r="C23" i="55" s="1"/>
  <c r="K28" i="56"/>
  <c r="I28" i="56" s="1"/>
  <c r="H29" i="56"/>
  <c r="E29" i="56"/>
  <c r="A30" i="56"/>
  <c r="B29" i="56"/>
  <c r="E24" i="55"/>
  <c r="B24" i="55"/>
  <c r="A25" i="55"/>
  <c r="H24" i="55"/>
  <c r="N24" i="55"/>
  <c r="K24" i="46"/>
  <c r="F27" i="56"/>
  <c r="G27" i="56" s="1"/>
  <c r="N32" i="61"/>
  <c r="AH33" i="61"/>
  <c r="A34" i="61"/>
  <c r="J33" i="61"/>
  <c r="Z33" i="61" s="1"/>
  <c r="B33" i="61"/>
  <c r="T33" i="61" s="1"/>
  <c r="F33" i="61"/>
  <c r="W33" i="61" s="1"/>
  <c r="K40" i="31"/>
  <c r="F40" i="31" s="1"/>
  <c r="G40" i="31" s="1"/>
  <c r="M14" i="46"/>
  <c r="F15" i="46"/>
  <c r="C15" i="46"/>
  <c r="C40" i="31"/>
  <c r="D40" i="31" s="1"/>
  <c r="H25" i="46"/>
  <c r="A26" i="46"/>
  <c r="B25" i="46"/>
  <c r="N25" i="46"/>
  <c r="E25" i="46"/>
  <c r="B41" i="31"/>
  <c r="A42" i="31"/>
  <c r="E41" i="31"/>
  <c r="N41" i="31"/>
  <c r="H41" i="31"/>
  <c r="I15" i="46"/>
  <c r="X37" i="59"/>
  <c r="C34" i="59"/>
  <c r="B35" i="59"/>
  <c r="F34" i="59"/>
  <c r="G34" i="59" s="1"/>
  <c r="P34" i="59"/>
  <c r="Q33" i="59"/>
  <c r="S33" i="59" s="1"/>
  <c r="T33" i="59"/>
  <c r="U33" i="59" s="1"/>
  <c r="M35" i="59"/>
  <c r="N35" i="59" s="1"/>
  <c r="I36" i="59"/>
  <c r="J35" i="59"/>
  <c r="L35" i="59" s="1"/>
  <c r="L38" i="59" s="1"/>
  <c r="K25" i="58"/>
  <c r="G25" i="58"/>
  <c r="J25" i="58"/>
  <c r="L25" i="58"/>
  <c r="N25" i="58" s="1"/>
  <c r="D25" i="58"/>
  <c r="A27" i="58"/>
  <c r="E26" i="58"/>
  <c r="F26" i="58"/>
  <c r="P26" i="58" s="1"/>
  <c r="B26" i="58"/>
  <c r="I26" i="58"/>
  <c r="Q26" i="58" s="1"/>
  <c r="H26" i="58"/>
  <c r="C26" i="58"/>
  <c r="O26" i="58" s="1"/>
  <c r="H60" i="46" l="1"/>
  <c r="K60" i="46" s="1"/>
  <c r="M60" i="46" s="1"/>
  <c r="M58" i="46"/>
  <c r="C58" i="46"/>
  <c r="D58" i="46" s="1"/>
  <c r="F58" i="46"/>
  <c r="G58" i="46" s="1"/>
  <c r="I58" i="46"/>
  <c r="J58" i="46" s="1"/>
  <c r="E61" i="46"/>
  <c r="K59" i="46"/>
  <c r="B61" i="46"/>
  <c r="R18" i="72"/>
  <c r="M62" i="43"/>
  <c r="F62" i="43"/>
  <c r="C62" i="43"/>
  <c r="D60" i="43"/>
  <c r="P63" i="72"/>
  <c r="G60" i="43"/>
  <c r="Q63" i="72"/>
  <c r="B64" i="43"/>
  <c r="J60" i="43"/>
  <c r="R63" i="72"/>
  <c r="E65" i="43"/>
  <c r="J61" i="43"/>
  <c r="R64" i="72"/>
  <c r="G61" i="43"/>
  <c r="Q64" i="72"/>
  <c r="H63" i="43"/>
  <c r="I62" i="43"/>
  <c r="L18" i="43"/>
  <c r="M18" i="43" s="1"/>
  <c r="P18" i="72"/>
  <c r="M62" i="49"/>
  <c r="F62" i="49"/>
  <c r="C62" i="49"/>
  <c r="I62" i="49"/>
  <c r="G61" i="49"/>
  <c r="Q66" i="70"/>
  <c r="H64" i="49"/>
  <c r="K63" i="49"/>
  <c r="I63" i="49" s="1"/>
  <c r="D61" i="49"/>
  <c r="P66" i="70"/>
  <c r="C35" i="68"/>
  <c r="E35" i="68" s="1"/>
  <c r="G35" i="68"/>
  <c r="I35" i="68" s="1"/>
  <c r="O34" i="68"/>
  <c r="K97" i="70"/>
  <c r="J97" i="70"/>
  <c r="L97" i="70"/>
  <c r="G97" i="70"/>
  <c r="A99" i="70"/>
  <c r="F98" i="70"/>
  <c r="I98" i="70"/>
  <c r="C98" i="70"/>
  <c r="M96" i="70"/>
  <c r="D97" i="70"/>
  <c r="P92" i="69"/>
  <c r="K92" i="69"/>
  <c r="L92" i="69"/>
  <c r="Q92" i="69"/>
  <c r="A94" i="69"/>
  <c r="I93" i="69"/>
  <c r="J93" i="69" s="1"/>
  <c r="F93" i="69"/>
  <c r="G93" i="69" s="1"/>
  <c r="C93" i="69"/>
  <c r="D93" i="69" s="1"/>
  <c r="N91" i="69"/>
  <c r="M91" i="69"/>
  <c r="O92" i="69"/>
  <c r="AC79" i="43"/>
  <c r="AB80" i="43"/>
  <c r="AC80" i="43" s="1"/>
  <c r="D23" i="55"/>
  <c r="G22" i="55"/>
  <c r="M21" i="55"/>
  <c r="D22" i="55"/>
  <c r="V25" i="63"/>
  <c r="E26" i="63"/>
  <c r="M26" i="63"/>
  <c r="G28" i="49"/>
  <c r="J28" i="49"/>
  <c r="I26" i="63"/>
  <c r="G32" i="64"/>
  <c r="L32" i="64"/>
  <c r="M32" i="64" s="1"/>
  <c r="J32" i="64"/>
  <c r="D32" i="64"/>
  <c r="D28" i="49"/>
  <c r="K28" i="49"/>
  <c r="M28" i="49" s="1"/>
  <c r="H29" i="49"/>
  <c r="B29" i="49"/>
  <c r="A30" i="49"/>
  <c r="E29" i="49"/>
  <c r="D18" i="43"/>
  <c r="E28" i="43"/>
  <c r="B28" i="43"/>
  <c r="N28" i="43"/>
  <c r="A29" i="43"/>
  <c r="H28" i="43"/>
  <c r="K27" i="43"/>
  <c r="L39" i="31"/>
  <c r="M39" i="31" s="1"/>
  <c r="I40" i="31"/>
  <c r="J40" i="31" s="1"/>
  <c r="L22" i="55"/>
  <c r="G26" i="58"/>
  <c r="I23" i="55"/>
  <c r="F23" i="55"/>
  <c r="D26" i="58"/>
  <c r="M25" i="58"/>
  <c r="F28" i="56"/>
  <c r="G28" i="56" s="1"/>
  <c r="C28" i="56"/>
  <c r="D28" i="56" s="1"/>
  <c r="K25" i="46"/>
  <c r="E25" i="55"/>
  <c r="N25" i="55"/>
  <c r="B25" i="55"/>
  <c r="H25" i="55"/>
  <c r="A26" i="55"/>
  <c r="K24" i="55"/>
  <c r="I24" i="55" s="1"/>
  <c r="K29" i="56"/>
  <c r="C29" i="56" s="1"/>
  <c r="D29" i="56" s="1"/>
  <c r="J28" i="56"/>
  <c r="L27" i="56"/>
  <c r="M27" i="56" s="1"/>
  <c r="F24" i="55"/>
  <c r="A31" i="56"/>
  <c r="B30" i="56"/>
  <c r="E30" i="56"/>
  <c r="H30" i="56"/>
  <c r="N33" i="61"/>
  <c r="AH34" i="61"/>
  <c r="A35" i="61"/>
  <c r="F34" i="61"/>
  <c r="W34" i="61" s="1"/>
  <c r="J34" i="61"/>
  <c r="Z34" i="61" s="1"/>
  <c r="B34" i="61"/>
  <c r="T34" i="61" s="1"/>
  <c r="L15" i="46"/>
  <c r="M15" i="46" s="1"/>
  <c r="J15" i="46"/>
  <c r="B42" i="31"/>
  <c r="A43" i="31"/>
  <c r="E42" i="31"/>
  <c r="H42" i="31"/>
  <c r="N42" i="31"/>
  <c r="K41" i="31"/>
  <c r="F41" i="31" s="1"/>
  <c r="G41" i="31" s="1"/>
  <c r="B26" i="46"/>
  <c r="E26" i="46"/>
  <c r="A27" i="46"/>
  <c r="N26" i="46"/>
  <c r="H26" i="46"/>
  <c r="D15" i="46"/>
  <c r="G15" i="46"/>
  <c r="C35" i="59"/>
  <c r="E35" i="59" s="1"/>
  <c r="E38" i="59" s="1"/>
  <c r="F35" i="59"/>
  <c r="G35" i="59" s="1"/>
  <c r="B36" i="59"/>
  <c r="X38" i="59"/>
  <c r="Q34" i="59"/>
  <c r="P35" i="59"/>
  <c r="T34" i="59"/>
  <c r="U34" i="59" s="1"/>
  <c r="M36" i="59"/>
  <c r="N36" i="59" s="1"/>
  <c r="J36" i="59"/>
  <c r="K26" i="58"/>
  <c r="L26" i="58"/>
  <c r="N26" i="58" s="1"/>
  <c r="J26" i="58"/>
  <c r="E27" i="58"/>
  <c r="A28" i="58"/>
  <c r="F27" i="58"/>
  <c r="P27" i="58" s="1"/>
  <c r="B27" i="58"/>
  <c r="H27" i="58"/>
  <c r="I27" i="58"/>
  <c r="Q27" i="58" s="1"/>
  <c r="C27" i="58"/>
  <c r="O27" i="58" s="1"/>
  <c r="C60" i="46" l="1"/>
  <c r="D60" i="46" s="1"/>
  <c r="F60" i="46"/>
  <c r="G60" i="46" s="1"/>
  <c r="B62" i="46"/>
  <c r="E62" i="46"/>
  <c r="H61" i="46"/>
  <c r="I60" i="46"/>
  <c r="J60" i="46" s="1"/>
  <c r="M59" i="46"/>
  <c r="F59" i="46"/>
  <c r="G59" i="46" s="1"/>
  <c r="C59" i="46"/>
  <c r="D59" i="46" s="1"/>
  <c r="I59" i="46"/>
  <c r="J59" i="46" s="1"/>
  <c r="F19" i="43"/>
  <c r="Q19" i="72" s="1"/>
  <c r="I19" i="43"/>
  <c r="R19" i="72" s="1"/>
  <c r="J62" i="43"/>
  <c r="R65" i="72"/>
  <c r="B65" i="43"/>
  <c r="H64" i="43"/>
  <c r="K64" i="43" s="1"/>
  <c r="D62" i="43"/>
  <c r="P65" i="72"/>
  <c r="K63" i="43"/>
  <c r="I63" i="43" s="1"/>
  <c r="G62" i="43"/>
  <c r="Q65" i="72"/>
  <c r="E66" i="43"/>
  <c r="G19" i="43"/>
  <c r="C19" i="43"/>
  <c r="J63" i="49"/>
  <c r="R68" i="70"/>
  <c r="J62" i="49"/>
  <c r="R67" i="70"/>
  <c r="G62" i="49"/>
  <c r="Q67" i="70"/>
  <c r="H65" i="49"/>
  <c r="K64" i="49"/>
  <c r="M63" i="49"/>
  <c r="F63" i="49"/>
  <c r="C63" i="49"/>
  <c r="D62" i="49"/>
  <c r="P67" i="70"/>
  <c r="N35" i="68"/>
  <c r="D98" i="70"/>
  <c r="L98" i="70"/>
  <c r="J98" i="70"/>
  <c r="K98" i="70"/>
  <c r="M97" i="70"/>
  <c r="G98" i="70"/>
  <c r="A100" i="70"/>
  <c r="F99" i="70"/>
  <c r="I99" i="70"/>
  <c r="C99" i="70"/>
  <c r="K93" i="69"/>
  <c r="P93" i="69"/>
  <c r="L93" i="69"/>
  <c r="Q93" i="69"/>
  <c r="A95" i="69"/>
  <c r="F94" i="69"/>
  <c r="G94" i="69" s="1"/>
  <c r="I94" i="69"/>
  <c r="J94" i="69" s="1"/>
  <c r="C94" i="69"/>
  <c r="D94" i="69" s="1"/>
  <c r="O93" i="69"/>
  <c r="N92" i="69"/>
  <c r="M92" i="69"/>
  <c r="G23" i="55"/>
  <c r="G24" i="55"/>
  <c r="J23" i="55"/>
  <c r="M22" i="55"/>
  <c r="V26" i="63"/>
  <c r="J29" i="49"/>
  <c r="M27" i="63"/>
  <c r="G29" i="49"/>
  <c r="I27" i="63"/>
  <c r="E27" i="63"/>
  <c r="D29" i="49"/>
  <c r="K29" i="49"/>
  <c r="M29" i="49" s="1"/>
  <c r="E30" i="49"/>
  <c r="H30" i="49"/>
  <c r="B30" i="49"/>
  <c r="A31" i="49"/>
  <c r="L40" i="31"/>
  <c r="M40" i="31" s="1"/>
  <c r="K28" i="43"/>
  <c r="B29" i="43"/>
  <c r="H29" i="43"/>
  <c r="E29" i="43"/>
  <c r="N29" i="43"/>
  <c r="A30" i="43"/>
  <c r="I41" i="31"/>
  <c r="J41" i="31" s="1"/>
  <c r="L23" i="55"/>
  <c r="C24" i="55"/>
  <c r="C16" i="46"/>
  <c r="L28" i="56"/>
  <c r="M28" i="56" s="1"/>
  <c r="D27" i="58"/>
  <c r="F16" i="46"/>
  <c r="G16" i="46" s="1"/>
  <c r="K30" i="56"/>
  <c r="F30" i="56" s="1"/>
  <c r="G30" i="56" s="1"/>
  <c r="J24" i="55"/>
  <c r="K25" i="55"/>
  <c r="F25" i="55" s="1"/>
  <c r="C41" i="31"/>
  <c r="D41" i="31" s="1"/>
  <c r="B31" i="56"/>
  <c r="E31" i="56"/>
  <c r="H31" i="56"/>
  <c r="A32" i="56"/>
  <c r="I29" i="56"/>
  <c r="I16" i="46"/>
  <c r="J16" i="46" s="1"/>
  <c r="A27" i="55"/>
  <c r="N26" i="55"/>
  <c r="H26" i="55"/>
  <c r="B26" i="55"/>
  <c r="E26" i="55"/>
  <c r="F29" i="56"/>
  <c r="G29" i="56" s="1"/>
  <c r="N34" i="61"/>
  <c r="AH35" i="61"/>
  <c r="A36" i="61"/>
  <c r="F35" i="61"/>
  <c r="W35" i="61" s="1"/>
  <c r="B35" i="61"/>
  <c r="T35" i="61" s="1"/>
  <c r="J35" i="61"/>
  <c r="Z35" i="61" s="1"/>
  <c r="N27" i="46"/>
  <c r="B27" i="46"/>
  <c r="H27" i="46"/>
  <c r="A28" i="46"/>
  <c r="E27" i="46"/>
  <c r="E43" i="31"/>
  <c r="B43" i="31"/>
  <c r="A44" i="31"/>
  <c r="N43" i="31"/>
  <c r="H43" i="31"/>
  <c r="K42" i="31"/>
  <c r="C42" i="31" s="1"/>
  <c r="D42" i="31" s="1"/>
  <c r="K26" i="46"/>
  <c r="X39" i="59"/>
  <c r="F36" i="59"/>
  <c r="G36" i="59" s="1"/>
  <c r="C36" i="59"/>
  <c r="Q35" i="59"/>
  <c r="S35" i="59" s="1"/>
  <c r="S38" i="59" s="1"/>
  <c r="P36" i="59"/>
  <c r="T35" i="59"/>
  <c r="U35" i="59" s="1"/>
  <c r="K27" i="58"/>
  <c r="G27" i="58"/>
  <c r="M26" i="58"/>
  <c r="J27" i="58"/>
  <c r="L27" i="58"/>
  <c r="N27" i="58" s="1"/>
  <c r="A29" i="58"/>
  <c r="E28" i="58"/>
  <c r="F28" i="58"/>
  <c r="P28" i="58" s="1"/>
  <c r="B28" i="58"/>
  <c r="I28" i="58"/>
  <c r="Q28" i="58" s="1"/>
  <c r="H28" i="58"/>
  <c r="C28" i="58"/>
  <c r="O28" i="58" s="1"/>
  <c r="B63" i="46" l="1"/>
  <c r="H62" i="46"/>
  <c r="E63" i="46"/>
  <c r="K61" i="46"/>
  <c r="J19" i="43"/>
  <c r="L19" i="43"/>
  <c r="M19" i="43" s="1"/>
  <c r="M64" i="43"/>
  <c r="F64" i="43"/>
  <c r="C64" i="43"/>
  <c r="J63" i="43"/>
  <c r="R66" i="72"/>
  <c r="B66" i="43"/>
  <c r="M63" i="43"/>
  <c r="F63" i="43"/>
  <c r="C63" i="43"/>
  <c r="H65" i="43"/>
  <c r="I64" i="43"/>
  <c r="E67" i="43"/>
  <c r="D19" i="43"/>
  <c r="P19" i="72"/>
  <c r="D63" i="49"/>
  <c r="P68" i="70"/>
  <c r="H66" i="49"/>
  <c r="K65" i="49"/>
  <c r="I65" i="49" s="1"/>
  <c r="G63" i="49"/>
  <c r="Q68" i="70"/>
  <c r="I64" i="49"/>
  <c r="M64" i="49"/>
  <c r="F64" i="49"/>
  <c r="C64" i="49"/>
  <c r="G36" i="68"/>
  <c r="I36" i="68" s="1"/>
  <c r="C36" i="68"/>
  <c r="E36" i="68" s="1"/>
  <c r="O35" i="68"/>
  <c r="K36" i="68"/>
  <c r="L99" i="70"/>
  <c r="J99" i="70"/>
  <c r="M98" i="70"/>
  <c r="G99" i="70"/>
  <c r="F102" i="70"/>
  <c r="I100" i="70"/>
  <c r="F100" i="70"/>
  <c r="I102" i="70"/>
  <c r="C102" i="70"/>
  <c r="C100" i="70"/>
  <c r="D99" i="70"/>
  <c r="K99" i="70"/>
  <c r="K94" i="69"/>
  <c r="O94" i="69"/>
  <c r="M93" i="69"/>
  <c r="N93" i="69"/>
  <c r="Q94" i="69"/>
  <c r="L94" i="69"/>
  <c r="P94" i="69"/>
  <c r="A96" i="69"/>
  <c r="F95" i="69"/>
  <c r="G95" i="69" s="1"/>
  <c r="I95" i="69"/>
  <c r="J95" i="69" s="1"/>
  <c r="C95" i="69"/>
  <c r="D95" i="69" s="1"/>
  <c r="G25" i="55"/>
  <c r="M23" i="55"/>
  <c r="D16" i="46"/>
  <c r="D24" i="55"/>
  <c r="V27" i="63"/>
  <c r="I28" i="63"/>
  <c r="E28" i="63"/>
  <c r="J30" i="49"/>
  <c r="G30" i="49"/>
  <c r="M28" i="63"/>
  <c r="C33" i="64"/>
  <c r="P33" i="64" s="1"/>
  <c r="F33" i="64"/>
  <c r="Q33" i="64" s="1"/>
  <c r="I33" i="64"/>
  <c r="R33" i="64" s="1"/>
  <c r="A32" i="49"/>
  <c r="B31" i="49"/>
  <c r="H31" i="49"/>
  <c r="E31" i="49"/>
  <c r="K30" i="49"/>
  <c r="M30" i="49" s="1"/>
  <c r="D30" i="49"/>
  <c r="K29" i="43"/>
  <c r="M27" i="58"/>
  <c r="I25" i="55"/>
  <c r="E30" i="43"/>
  <c r="H30" i="43"/>
  <c r="A31" i="43"/>
  <c r="B30" i="43"/>
  <c r="N30" i="43"/>
  <c r="L41" i="31"/>
  <c r="M41" i="31" s="1"/>
  <c r="C25" i="55"/>
  <c r="L24" i="55"/>
  <c r="L16" i="46"/>
  <c r="M16" i="46" s="1"/>
  <c r="I30" i="56"/>
  <c r="J30" i="56" s="1"/>
  <c r="C30" i="56"/>
  <c r="D30" i="56" s="1"/>
  <c r="K43" i="31"/>
  <c r="F43" i="31" s="1"/>
  <c r="G43" i="31" s="1"/>
  <c r="H32" i="56"/>
  <c r="A33" i="56"/>
  <c r="E32" i="56"/>
  <c r="B32" i="56"/>
  <c r="N27" i="55"/>
  <c r="A28" i="55"/>
  <c r="B27" i="55"/>
  <c r="E27" i="55"/>
  <c r="H27" i="55"/>
  <c r="K26" i="55"/>
  <c r="C26" i="55" s="1"/>
  <c r="L29" i="56"/>
  <c r="M29" i="56" s="1"/>
  <c r="J29" i="56"/>
  <c r="K31" i="56"/>
  <c r="I31" i="56" s="1"/>
  <c r="AH36" i="61"/>
  <c r="A37" i="61"/>
  <c r="F36" i="61"/>
  <c r="W36" i="61" s="1"/>
  <c r="B36" i="61"/>
  <c r="T36" i="61" s="1"/>
  <c r="J36" i="61"/>
  <c r="Z36" i="61" s="1"/>
  <c r="N35" i="61"/>
  <c r="I42" i="31"/>
  <c r="A45" i="31"/>
  <c r="B44" i="31"/>
  <c r="E44" i="31"/>
  <c r="N44" i="31"/>
  <c r="H44" i="31"/>
  <c r="K27" i="46"/>
  <c r="F42" i="31"/>
  <c r="G42" i="31" s="1"/>
  <c r="E28" i="46"/>
  <c r="N28" i="46"/>
  <c r="B28" i="46"/>
  <c r="H28" i="46"/>
  <c r="A29" i="46"/>
  <c r="X40" i="59"/>
  <c r="D28" i="58"/>
  <c r="T36" i="59"/>
  <c r="U36" i="59" s="1"/>
  <c r="Q36" i="59"/>
  <c r="J28" i="58"/>
  <c r="L28" i="58"/>
  <c r="N28" i="58" s="1"/>
  <c r="A30" i="58"/>
  <c r="E29" i="58"/>
  <c r="F29" i="58"/>
  <c r="P29" i="58" s="1"/>
  <c r="B29" i="58"/>
  <c r="H29" i="58"/>
  <c r="I29" i="58"/>
  <c r="Q29" i="58" s="1"/>
  <c r="C29" i="58"/>
  <c r="O29" i="58" s="1"/>
  <c r="K28" i="58"/>
  <c r="G28" i="58"/>
  <c r="H63" i="46" l="1"/>
  <c r="M61" i="46"/>
  <c r="F61" i="46"/>
  <c r="G61" i="46" s="1"/>
  <c r="C61" i="46"/>
  <c r="D61" i="46" s="1"/>
  <c r="E64" i="46"/>
  <c r="K62" i="46"/>
  <c r="I62" i="46" s="1"/>
  <c r="J62" i="46" s="1"/>
  <c r="I61" i="46"/>
  <c r="J61" i="46" s="1"/>
  <c r="B64" i="46"/>
  <c r="K63" i="46"/>
  <c r="M63" i="46" s="1"/>
  <c r="I20" i="43"/>
  <c r="R20" i="72" s="1"/>
  <c r="F20" i="43"/>
  <c r="Q20" i="72" s="1"/>
  <c r="C20" i="43"/>
  <c r="P20" i="72" s="1"/>
  <c r="H66" i="43"/>
  <c r="K66" i="43" s="1"/>
  <c r="C66" i="43" s="1"/>
  <c r="D63" i="43"/>
  <c r="P66" i="72"/>
  <c r="B67" i="43"/>
  <c r="D64" i="43"/>
  <c r="P67" i="72"/>
  <c r="E68" i="43"/>
  <c r="G63" i="43"/>
  <c r="Q66" i="72"/>
  <c r="K65" i="43"/>
  <c r="G64" i="43"/>
  <c r="Q67" i="72"/>
  <c r="J64" i="43"/>
  <c r="R67" i="72"/>
  <c r="J64" i="49"/>
  <c r="R69" i="70"/>
  <c r="H67" i="49"/>
  <c r="K66" i="49"/>
  <c r="M65" i="49"/>
  <c r="F65" i="49"/>
  <c r="C65" i="49"/>
  <c r="J65" i="49"/>
  <c r="R70" i="70"/>
  <c r="D64" i="49"/>
  <c r="P69" i="70"/>
  <c r="G64" i="49"/>
  <c r="Q69" i="70"/>
  <c r="L36" i="68"/>
  <c r="N36" i="68"/>
  <c r="D100" i="70"/>
  <c r="C101" i="70"/>
  <c r="C103" i="70" s="1"/>
  <c r="L100" i="70"/>
  <c r="J100" i="70"/>
  <c r="I101" i="70"/>
  <c r="I103" i="70" s="1"/>
  <c r="L102" i="70"/>
  <c r="M99" i="70"/>
  <c r="G100" i="70"/>
  <c r="F101" i="70"/>
  <c r="F103" i="70" s="1"/>
  <c r="K100" i="70"/>
  <c r="K95" i="69"/>
  <c r="O95" i="69"/>
  <c r="Q95" i="69"/>
  <c r="L95" i="69"/>
  <c r="M94" i="69"/>
  <c r="N94" i="69"/>
  <c r="P95" i="69"/>
  <c r="A97" i="69"/>
  <c r="I96" i="69"/>
  <c r="J96" i="69" s="1"/>
  <c r="F96" i="69"/>
  <c r="G96" i="69" s="1"/>
  <c r="C96" i="69"/>
  <c r="D96" i="69" s="1"/>
  <c r="M24" i="55"/>
  <c r="D26" i="55"/>
  <c r="D25" i="55"/>
  <c r="J25" i="55"/>
  <c r="V28" i="63"/>
  <c r="J31" i="49"/>
  <c r="I29" i="63"/>
  <c r="E29" i="63"/>
  <c r="M29" i="63"/>
  <c r="G31" i="49"/>
  <c r="J33" i="64"/>
  <c r="L33" i="64"/>
  <c r="M33" i="64" s="1"/>
  <c r="G33" i="64"/>
  <c r="D33" i="64"/>
  <c r="D31" i="49"/>
  <c r="K31" i="49"/>
  <c r="M31" i="49" s="1"/>
  <c r="H32" i="49"/>
  <c r="A33" i="49"/>
  <c r="B32" i="49"/>
  <c r="E32" i="49"/>
  <c r="I17" i="46"/>
  <c r="J17" i="46" s="1"/>
  <c r="I43" i="31"/>
  <c r="J43" i="31" s="1"/>
  <c r="K30" i="43"/>
  <c r="L25" i="55"/>
  <c r="N31" i="43"/>
  <c r="B31" i="43"/>
  <c r="E31" i="43"/>
  <c r="H31" i="43"/>
  <c r="A32" i="43"/>
  <c r="F17" i="46"/>
  <c r="G17" i="46" s="1"/>
  <c r="C17" i="46"/>
  <c r="L30" i="56"/>
  <c r="M30" i="56" s="1"/>
  <c r="C43" i="31"/>
  <c r="D43" i="31" s="1"/>
  <c r="K27" i="55"/>
  <c r="I27" i="55" s="1"/>
  <c r="C31" i="56"/>
  <c r="D31" i="56" s="1"/>
  <c r="K32" i="56"/>
  <c r="C32" i="56" s="1"/>
  <c r="D32" i="56" s="1"/>
  <c r="J31" i="56"/>
  <c r="E28" i="55"/>
  <c r="A29" i="55"/>
  <c r="N28" i="55"/>
  <c r="B28" i="55"/>
  <c r="H28" i="55"/>
  <c r="I26" i="55"/>
  <c r="A34" i="56"/>
  <c r="B33" i="56"/>
  <c r="H33" i="56"/>
  <c r="E33" i="56"/>
  <c r="F31" i="56"/>
  <c r="F26" i="55"/>
  <c r="N36" i="61"/>
  <c r="AH37" i="61"/>
  <c r="A38" i="61"/>
  <c r="F37" i="61"/>
  <c r="W37" i="61" s="1"/>
  <c r="B37" i="61"/>
  <c r="T37" i="61" s="1"/>
  <c r="J37" i="61"/>
  <c r="Z37" i="61" s="1"/>
  <c r="K28" i="46"/>
  <c r="B45" i="31"/>
  <c r="E45" i="31"/>
  <c r="A46" i="31"/>
  <c r="N45" i="31"/>
  <c r="H45" i="31"/>
  <c r="J42" i="31"/>
  <c r="L42" i="31"/>
  <c r="M42" i="31" s="1"/>
  <c r="E29" i="46"/>
  <c r="A30" i="46"/>
  <c r="N29" i="46"/>
  <c r="H29" i="46"/>
  <c r="B29" i="46"/>
  <c r="K44" i="31"/>
  <c r="I44" i="31" s="1"/>
  <c r="X41" i="59"/>
  <c r="J29" i="58"/>
  <c r="L29" i="58"/>
  <c r="N29" i="58" s="1"/>
  <c r="E30" i="58"/>
  <c r="F30" i="58"/>
  <c r="P30" i="58" s="1"/>
  <c r="B30" i="58"/>
  <c r="A31" i="58"/>
  <c r="I30" i="58"/>
  <c r="Q30" i="58" s="1"/>
  <c r="H30" i="58"/>
  <c r="C30" i="58"/>
  <c r="O30" i="58" s="1"/>
  <c r="K29" i="58"/>
  <c r="M28" i="58"/>
  <c r="D29" i="58"/>
  <c r="G29" i="58"/>
  <c r="C63" i="46" l="1"/>
  <c r="D63" i="46" s="1"/>
  <c r="M62" i="46"/>
  <c r="F62" i="46"/>
  <c r="G62" i="46" s="1"/>
  <c r="C62" i="46"/>
  <c r="D62" i="46" s="1"/>
  <c r="E65" i="46"/>
  <c r="B65" i="46"/>
  <c r="F63" i="46"/>
  <c r="G63" i="46" s="1"/>
  <c r="I63" i="46"/>
  <c r="J63" i="46" s="1"/>
  <c r="H64" i="46"/>
  <c r="K64" i="46" s="1"/>
  <c r="G20" i="43"/>
  <c r="J20" i="43"/>
  <c r="L20" i="43"/>
  <c r="M20" i="43" s="1"/>
  <c r="D20" i="43"/>
  <c r="D66" i="43"/>
  <c r="P69" i="72"/>
  <c r="M65" i="43"/>
  <c r="F65" i="43"/>
  <c r="C65" i="43"/>
  <c r="E69" i="43"/>
  <c r="M66" i="43"/>
  <c r="F66" i="43"/>
  <c r="I65" i="43"/>
  <c r="B68" i="43"/>
  <c r="H67" i="43"/>
  <c r="K67" i="43" s="1"/>
  <c r="I66" i="43"/>
  <c r="I105" i="70"/>
  <c r="C105" i="70"/>
  <c r="F105" i="70"/>
  <c r="G65" i="49"/>
  <c r="Q70" i="70"/>
  <c r="H68" i="49"/>
  <c r="K67" i="49"/>
  <c r="M66" i="49"/>
  <c r="F66" i="49"/>
  <c r="C66" i="49"/>
  <c r="D65" i="49"/>
  <c r="P70" i="70"/>
  <c r="I66" i="49"/>
  <c r="O36" i="68"/>
  <c r="G37" i="68"/>
  <c r="I37" i="68" s="1"/>
  <c r="K37" i="68"/>
  <c r="C37" i="68"/>
  <c r="E37" i="68" s="1"/>
  <c r="M100" i="70"/>
  <c r="L101" i="70"/>
  <c r="L103" i="70" s="1"/>
  <c r="K96" i="69"/>
  <c r="O96" i="69"/>
  <c r="P96" i="69"/>
  <c r="Q96" i="69"/>
  <c r="L96" i="69"/>
  <c r="A98" i="69"/>
  <c r="I97" i="69"/>
  <c r="J97" i="69" s="1"/>
  <c r="F97" i="69"/>
  <c r="G97" i="69" s="1"/>
  <c r="C97" i="69"/>
  <c r="D97" i="69" s="1"/>
  <c r="M95" i="69"/>
  <c r="N95" i="69"/>
  <c r="J27" i="55"/>
  <c r="G26" i="55"/>
  <c r="D17" i="46"/>
  <c r="M25" i="55"/>
  <c r="V29" i="63"/>
  <c r="I30" i="63"/>
  <c r="E30" i="63"/>
  <c r="J32" i="49"/>
  <c r="M30" i="63"/>
  <c r="G32" i="49"/>
  <c r="H33" i="49"/>
  <c r="E33" i="49"/>
  <c r="A34" i="49"/>
  <c r="B33" i="49"/>
  <c r="K32" i="49"/>
  <c r="M32" i="49" s="1"/>
  <c r="D32" i="49"/>
  <c r="F27" i="55"/>
  <c r="K31" i="43"/>
  <c r="A33" i="43"/>
  <c r="H32" i="43"/>
  <c r="E32" i="43"/>
  <c r="B32" i="43"/>
  <c r="N32" i="43"/>
  <c r="L17" i="46"/>
  <c r="M17" i="46" s="1"/>
  <c r="L43" i="31"/>
  <c r="M43" i="31" s="1"/>
  <c r="C44" i="31"/>
  <c r="D44" i="31" s="1"/>
  <c r="C27" i="55"/>
  <c r="F32" i="56"/>
  <c r="G32" i="56" s="1"/>
  <c r="D30" i="58"/>
  <c r="I32" i="56"/>
  <c r="J32" i="56" s="1"/>
  <c r="K28" i="55"/>
  <c r="I28" i="55" s="1"/>
  <c r="K33" i="56"/>
  <c r="C33" i="56" s="1"/>
  <c r="K29" i="46"/>
  <c r="G31" i="56"/>
  <c r="E34" i="56"/>
  <c r="H34" i="56"/>
  <c r="A35" i="56"/>
  <c r="B34" i="56"/>
  <c r="B29" i="55"/>
  <c r="H29" i="55"/>
  <c r="A30" i="55"/>
  <c r="N29" i="55"/>
  <c r="E29" i="55"/>
  <c r="G30" i="58"/>
  <c r="J26" i="55"/>
  <c r="L26" i="55"/>
  <c r="L31" i="56"/>
  <c r="N37" i="61"/>
  <c r="AH38" i="61"/>
  <c r="A39" i="61"/>
  <c r="F38" i="61"/>
  <c r="W38" i="61" s="1"/>
  <c r="J38" i="61"/>
  <c r="Z38" i="61" s="1"/>
  <c r="B38" i="61"/>
  <c r="T38" i="61" s="1"/>
  <c r="J44" i="31"/>
  <c r="F44" i="31"/>
  <c r="G44" i="31" s="1"/>
  <c r="N30" i="46"/>
  <c r="A31" i="46"/>
  <c r="B30" i="46"/>
  <c r="E30" i="46"/>
  <c r="H30" i="46"/>
  <c r="E46" i="31"/>
  <c r="A47" i="31"/>
  <c r="B46" i="31"/>
  <c r="H46" i="31"/>
  <c r="N46" i="31"/>
  <c r="K45" i="31"/>
  <c r="I45" i="31" s="1"/>
  <c r="X42" i="59"/>
  <c r="J30" i="58"/>
  <c r="L30" i="58"/>
  <c r="N30" i="58" s="1"/>
  <c r="E31" i="58"/>
  <c r="B31" i="58"/>
  <c r="A32" i="58"/>
  <c r="F31" i="58"/>
  <c r="P31" i="58" s="1"/>
  <c r="H31" i="58"/>
  <c r="I31" i="58"/>
  <c r="Q31" i="58" s="1"/>
  <c r="C31" i="58"/>
  <c r="O31" i="58" s="1"/>
  <c r="M29" i="58"/>
  <c r="K30" i="58"/>
  <c r="M64" i="46" l="1"/>
  <c r="F64" i="46"/>
  <c r="G64" i="46" s="1"/>
  <c r="B66" i="46"/>
  <c r="H65" i="46"/>
  <c r="I64" i="46"/>
  <c r="J64" i="46" s="1"/>
  <c r="C64" i="46"/>
  <c r="D64" i="46" s="1"/>
  <c r="E66" i="46"/>
  <c r="F21" i="43"/>
  <c r="Q21" i="72" s="1"/>
  <c r="I21" i="43"/>
  <c r="J21" i="43" s="1"/>
  <c r="C21" i="43"/>
  <c r="D21" i="43" s="1"/>
  <c r="M67" i="43"/>
  <c r="F67" i="43"/>
  <c r="C67" i="43"/>
  <c r="G65" i="43"/>
  <c r="Q68" i="72"/>
  <c r="J66" i="43"/>
  <c r="R69" i="72"/>
  <c r="B69" i="43"/>
  <c r="H68" i="43"/>
  <c r="K68" i="43" s="1"/>
  <c r="I67" i="43"/>
  <c r="J65" i="43"/>
  <c r="R68" i="72"/>
  <c r="E70" i="43"/>
  <c r="G66" i="43"/>
  <c r="Q69" i="72"/>
  <c r="D65" i="43"/>
  <c r="P68" i="72"/>
  <c r="L105" i="70"/>
  <c r="L108" i="70" s="1"/>
  <c r="J66" i="49"/>
  <c r="R71" i="70"/>
  <c r="G66" i="49"/>
  <c r="Q71" i="70"/>
  <c r="D66" i="49"/>
  <c r="P71" i="70"/>
  <c r="H69" i="49"/>
  <c r="K68" i="49"/>
  <c r="I67" i="49"/>
  <c r="C67" i="49"/>
  <c r="F67" i="49"/>
  <c r="M67" i="49"/>
  <c r="L37" i="68"/>
  <c r="N37" i="68"/>
  <c r="K38" i="68" s="1"/>
  <c r="L38" i="68" s="1"/>
  <c r="K97" i="69"/>
  <c r="Q97" i="69"/>
  <c r="L97" i="69"/>
  <c r="A99" i="69"/>
  <c r="I98" i="69"/>
  <c r="J98" i="69" s="1"/>
  <c r="F98" i="69"/>
  <c r="G98" i="69" s="1"/>
  <c r="C98" i="69"/>
  <c r="D98" i="69" s="1"/>
  <c r="M96" i="69"/>
  <c r="N96" i="69"/>
  <c r="O97" i="69"/>
  <c r="P97" i="69"/>
  <c r="J28" i="55"/>
  <c r="D27" i="55"/>
  <c r="M26" i="55"/>
  <c r="G27" i="55"/>
  <c r="V30" i="63"/>
  <c r="I31" i="63"/>
  <c r="G33" i="49"/>
  <c r="J33" i="49"/>
  <c r="M31" i="63"/>
  <c r="E31" i="63"/>
  <c r="I34" i="64"/>
  <c r="R34" i="64" s="1"/>
  <c r="C34" i="64"/>
  <c r="P34" i="64" s="1"/>
  <c r="F34" i="64"/>
  <c r="Q34" i="64" s="1"/>
  <c r="D33" i="49"/>
  <c r="K33" i="49"/>
  <c r="M33" i="49" s="1"/>
  <c r="H34" i="49"/>
  <c r="E34" i="49"/>
  <c r="A35" i="49"/>
  <c r="B34" i="49"/>
  <c r="K32" i="43"/>
  <c r="A34" i="43"/>
  <c r="H33" i="43"/>
  <c r="N33" i="43"/>
  <c r="B33" i="43"/>
  <c r="E33" i="43"/>
  <c r="C18" i="46"/>
  <c r="L27" i="55"/>
  <c r="F18" i="46"/>
  <c r="G18" i="46" s="1"/>
  <c r="I18" i="46"/>
  <c r="J18" i="46" s="1"/>
  <c r="F28" i="55"/>
  <c r="F33" i="56"/>
  <c r="G33" i="56" s="1"/>
  <c r="C28" i="55"/>
  <c r="I33" i="56"/>
  <c r="J33" i="56" s="1"/>
  <c r="L32" i="56"/>
  <c r="M32" i="56" s="1"/>
  <c r="N30" i="55"/>
  <c r="E30" i="55"/>
  <c r="A31" i="55"/>
  <c r="H30" i="55"/>
  <c r="B30" i="55"/>
  <c r="H35" i="56"/>
  <c r="A36" i="56"/>
  <c r="B35" i="56"/>
  <c r="E35" i="56"/>
  <c r="F45" i="31"/>
  <c r="G45" i="31" s="1"/>
  <c r="K30" i="46"/>
  <c r="M31" i="56"/>
  <c r="K29" i="55"/>
  <c r="I29" i="55" s="1"/>
  <c r="D33" i="56"/>
  <c r="D31" i="58"/>
  <c r="K34" i="56"/>
  <c r="F34" i="56" s="1"/>
  <c r="N38" i="61"/>
  <c r="AH39" i="61"/>
  <c r="A40" i="61"/>
  <c r="F39" i="61"/>
  <c r="W39" i="61" s="1"/>
  <c r="J39" i="61"/>
  <c r="Z39" i="61" s="1"/>
  <c r="B39" i="61"/>
  <c r="T39" i="61" s="1"/>
  <c r="J45" i="31"/>
  <c r="G31" i="58"/>
  <c r="C45" i="31"/>
  <c r="D45" i="31" s="1"/>
  <c r="K46" i="31"/>
  <c r="C46" i="31" s="1"/>
  <c r="D46" i="31" s="1"/>
  <c r="E47" i="31"/>
  <c r="B47" i="31"/>
  <c r="A48" i="31"/>
  <c r="H47" i="31"/>
  <c r="N47" i="31"/>
  <c r="K31" i="58"/>
  <c r="N31" i="46"/>
  <c r="H31" i="46"/>
  <c r="B31" i="46"/>
  <c r="A32" i="46"/>
  <c r="E31" i="46"/>
  <c r="L44" i="31"/>
  <c r="M44" i="31" s="1"/>
  <c r="X43" i="59"/>
  <c r="J31" i="58"/>
  <c r="L31" i="58"/>
  <c r="N31" i="58" s="1"/>
  <c r="M30" i="58"/>
  <c r="E32" i="58"/>
  <c r="A33" i="58"/>
  <c r="B32" i="58"/>
  <c r="F32" i="58"/>
  <c r="P32" i="58" s="1"/>
  <c r="I32" i="58"/>
  <c r="Q32" i="58" s="1"/>
  <c r="H32" i="58"/>
  <c r="C32" i="58"/>
  <c r="O32" i="58" s="1"/>
  <c r="G21" i="43" l="1"/>
  <c r="E67" i="46"/>
  <c r="B67" i="46"/>
  <c r="H66" i="46"/>
  <c r="K66" i="46" s="1"/>
  <c r="M66" i="46" s="1"/>
  <c r="K65" i="46"/>
  <c r="I65" i="46" s="1"/>
  <c r="J65" i="46" s="1"/>
  <c r="L21" i="43"/>
  <c r="I22" i="43" s="1"/>
  <c r="R22" i="72" s="1"/>
  <c r="R21" i="72"/>
  <c r="P21" i="72"/>
  <c r="C68" i="43"/>
  <c r="M68" i="43"/>
  <c r="F68" i="43"/>
  <c r="J67" i="43"/>
  <c r="R70" i="72"/>
  <c r="D67" i="43"/>
  <c r="P70" i="72"/>
  <c r="E71" i="43"/>
  <c r="H69" i="43"/>
  <c r="K69" i="43" s="1"/>
  <c r="C69" i="43" s="1"/>
  <c r="I68" i="43"/>
  <c r="G67" i="43"/>
  <c r="Q70" i="72"/>
  <c r="B70" i="43"/>
  <c r="G67" i="49"/>
  <c r="Q72" i="70"/>
  <c r="P72" i="70"/>
  <c r="D67" i="49"/>
  <c r="M68" i="49"/>
  <c r="F68" i="49"/>
  <c r="C68" i="49"/>
  <c r="H70" i="49"/>
  <c r="K69" i="49"/>
  <c r="R72" i="70"/>
  <c r="J67" i="49"/>
  <c r="I68" i="49"/>
  <c r="G38" i="68"/>
  <c r="I38" i="68" s="1"/>
  <c r="C38" i="68"/>
  <c r="E38" i="68" s="1"/>
  <c r="O37" i="68"/>
  <c r="K98" i="69"/>
  <c r="M97" i="69"/>
  <c r="N97" i="69"/>
  <c r="O98" i="69"/>
  <c r="P98" i="69"/>
  <c r="Q98" i="69"/>
  <c r="L98" i="69"/>
  <c r="A100" i="69"/>
  <c r="I99" i="69"/>
  <c r="J99" i="69" s="1"/>
  <c r="F99" i="69"/>
  <c r="G99" i="69" s="1"/>
  <c r="C99" i="69"/>
  <c r="D99" i="69" s="1"/>
  <c r="M27" i="55"/>
  <c r="D28" i="55"/>
  <c r="G28" i="55"/>
  <c r="D18" i="46"/>
  <c r="V31" i="63"/>
  <c r="I32" i="63"/>
  <c r="G34" i="49"/>
  <c r="J34" i="49"/>
  <c r="M32" i="63"/>
  <c r="E32" i="63"/>
  <c r="G34" i="64"/>
  <c r="D34" i="64"/>
  <c r="L34" i="64"/>
  <c r="M34" i="64" s="1"/>
  <c r="J34" i="64"/>
  <c r="D34" i="49"/>
  <c r="K34" i="49"/>
  <c r="M34" i="49" s="1"/>
  <c r="A36" i="49"/>
  <c r="B35" i="49"/>
  <c r="E35" i="49"/>
  <c r="H35" i="49"/>
  <c r="D32" i="58"/>
  <c r="A35" i="43"/>
  <c r="B34" i="43"/>
  <c r="N34" i="43"/>
  <c r="H34" i="43"/>
  <c r="E34" i="43"/>
  <c r="K33" i="43"/>
  <c r="L18" i="46"/>
  <c r="C19" i="46" s="1"/>
  <c r="L28" i="55"/>
  <c r="L33" i="56"/>
  <c r="M33" i="56" s="1"/>
  <c r="C34" i="56"/>
  <c r="D34" i="56" s="1"/>
  <c r="K47" i="31"/>
  <c r="I47" i="31" s="1"/>
  <c r="I46" i="31"/>
  <c r="J46" i="31" s="1"/>
  <c r="F46" i="31"/>
  <c r="G46" i="31" s="1"/>
  <c r="G34" i="56"/>
  <c r="J29" i="55"/>
  <c r="H36" i="56"/>
  <c r="E36" i="56"/>
  <c r="B36" i="56"/>
  <c r="A37" i="56"/>
  <c r="A32" i="55"/>
  <c r="E31" i="55"/>
  <c r="N31" i="55"/>
  <c r="B31" i="55"/>
  <c r="H31" i="55"/>
  <c r="C29" i="55"/>
  <c r="F29" i="55"/>
  <c r="I34" i="56"/>
  <c r="K30" i="55"/>
  <c r="F30" i="55" s="1"/>
  <c r="K35" i="56"/>
  <c r="F35" i="56" s="1"/>
  <c r="G35" i="56" s="1"/>
  <c r="AH40" i="61"/>
  <c r="A41" i="61"/>
  <c r="F40" i="61"/>
  <c r="W40" i="61" s="1"/>
  <c r="J40" i="61"/>
  <c r="Z40" i="61" s="1"/>
  <c r="B40" i="61"/>
  <c r="T40" i="61" s="1"/>
  <c r="N39" i="61"/>
  <c r="H32" i="46"/>
  <c r="A33" i="46"/>
  <c r="B32" i="46"/>
  <c r="N32" i="46"/>
  <c r="E32" i="46"/>
  <c r="M31" i="58"/>
  <c r="K31" i="46"/>
  <c r="B48" i="31"/>
  <c r="E48" i="31"/>
  <c r="A49" i="31"/>
  <c r="H48" i="31"/>
  <c r="N48" i="31"/>
  <c r="L45" i="31"/>
  <c r="M45" i="31" s="1"/>
  <c r="X44" i="59"/>
  <c r="J32" i="58"/>
  <c r="L32" i="58"/>
  <c r="N32" i="58" s="1"/>
  <c r="G32" i="58"/>
  <c r="K32" i="58"/>
  <c r="A34" i="58"/>
  <c r="E33" i="58"/>
  <c r="F33" i="58"/>
  <c r="P33" i="58" s="1"/>
  <c r="B33" i="58"/>
  <c r="I33" i="58"/>
  <c r="Q33" i="58" s="1"/>
  <c r="H33" i="58"/>
  <c r="C33" i="58"/>
  <c r="O33" i="58" s="1"/>
  <c r="B68" i="46" l="1"/>
  <c r="I66" i="46"/>
  <c r="J66" i="46" s="1"/>
  <c r="H67" i="46"/>
  <c r="K67" i="46" s="1"/>
  <c r="F66" i="46"/>
  <c r="G66" i="46" s="1"/>
  <c r="M65" i="46"/>
  <c r="C65" i="46"/>
  <c r="D65" i="46" s="1"/>
  <c r="F65" i="46"/>
  <c r="G65" i="46" s="1"/>
  <c r="C66" i="46"/>
  <c r="D66" i="46" s="1"/>
  <c r="E68" i="46"/>
  <c r="J22" i="43"/>
  <c r="C22" i="43"/>
  <c r="D22" i="43" s="1"/>
  <c r="M21" i="43"/>
  <c r="F22" i="43"/>
  <c r="G22" i="43" s="1"/>
  <c r="D69" i="43"/>
  <c r="P72" i="72"/>
  <c r="E72" i="43"/>
  <c r="E73" i="43" s="1"/>
  <c r="E74" i="43" s="1"/>
  <c r="M69" i="43"/>
  <c r="F69" i="43"/>
  <c r="J68" i="43"/>
  <c r="R71" i="72"/>
  <c r="G68" i="43"/>
  <c r="Q71" i="72"/>
  <c r="B71" i="43"/>
  <c r="H70" i="43"/>
  <c r="K70" i="43" s="1"/>
  <c r="I69" i="43"/>
  <c r="D68" i="43"/>
  <c r="P71" i="72"/>
  <c r="C69" i="49"/>
  <c r="M69" i="49"/>
  <c r="F69" i="49"/>
  <c r="J68" i="49"/>
  <c r="R73" i="70"/>
  <c r="D68" i="49"/>
  <c r="P73" i="70"/>
  <c r="G68" i="49"/>
  <c r="Q73" i="70"/>
  <c r="I69" i="49"/>
  <c r="H71" i="49"/>
  <c r="K70" i="49"/>
  <c r="I70" i="49" s="1"/>
  <c r="N38" i="68"/>
  <c r="C39" i="68" s="1"/>
  <c r="E39" i="68" s="1"/>
  <c r="P99" i="69"/>
  <c r="Q99" i="69"/>
  <c r="L99" i="69"/>
  <c r="I102" i="69"/>
  <c r="I100" i="69"/>
  <c r="J100" i="69" s="1"/>
  <c r="F100" i="69"/>
  <c r="G100" i="69" s="1"/>
  <c r="F102" i="69"/>
  <c r="C100" i="69"/>
  <c r="D100" i="69" s="1"/>
  <c r="C102" i="69"/>
  <c r="K99" i="69"/>
  <c r="N98" i="69"/>
  <c r="M98" i="69"/>
  <c r="O99" i="69"/>
  <c r="G29" i="55"/>
  <c r="D29" i="55"/>
  <c r="G30" i="55"/>
  <c r="M28" i="55"/>
  <c r="D19" i="46"/>
  <c r="V32" i="63"/>
  <c r="G35" i="49"/>
  <c r="E33" i="63"/>
  <c r="I33" i="63"/>
  <c r="J35" i="49"/>
  <c r="M33" i="63"/>
  <c r="F35" i="64"/>
  <c r="Q35" i="64" s="1"/>
  <c r="C35" i="64"/>
  <c r="P35" i="64" s="1"/>
  <c r="I35" i="64"/>
  <c r="R35" i="64" s="1"/>
  <c r="D35" i="49"/>
  <c r="K35" i="49"/>
  <c r="M35" i="49" s="1"/>
  <c r="H36" i="49"/>
  <c r="B36" i="49"/>
  <c r="E36" i="49"/>
  <c r="A37" i="49"/>
  <c r="C47" i="31"/>
  <c r="D47" i="31" s="1"/>
  <c r="M18" i="46"/>
  <c r="F19" i="46"/>
  <c r="G19" i="46" s="1"/>
  <c r="K34" i="43"/>
  <c r="E35" i="43"/>
  <c r="B35" i="43"/>
  <c r="H35" i="43"/>
  <c r="N35" i="43"/>
  <c r="A36" i="43"/>
  <c r="I19" i="46"/>
  <c r="J19" i="46" s="1"/>
  <c r="F47" i="31"/>
  <c r="G47" i="31" s="1"/>
  <c r="K32" i="46"/>
  <c r="L46" i="31"/>
  <c r="M46" i="31" s="1"/>
  <c r="K31" i="55"/>
  <c r="F31" i="55" s="1"/>
  <c r="L29" i="55"/>
  <c r="C35" i="56"/>
  <c r="D35" i="56" s="1"/>
  <c r="I30" i="55"/>
  <c r="I35" i="56"/>
  <c r="K36" i="56"/>
  <c r="I36" i="56" s="1"/>
  <c r="L34" i="56"/>
  <c r="J34" i="56"/>
  <c r="H37" i="56"/>
  <c r="B37" i="56"/>
  <c r="E37" i="56"/>
  <c r="A38" i="56"/>
  <c r="C30" i="55"/>
  <c r="E32" i="55"/>
  <c r="H32" i="55"/>
  <c r="N32" i="55"/>
  <c r="B32" i="55"/>
  <c r="A33" i="55"/>
  <c r="N40" i="61"/>
  <c r="AH41" i="61"/>
  <c r="A42" i="61"/>
  <c r="B41" i="61"/>
  <c r="T41" i="61" s="1"/>
  <c r="J41" i="61"/>
  <c r="Z41" i="61" s="1"/>
  <c r="F41" i="61"/>
  <c r="W41" i="61" s="1"/>
  <c r="K48" i="31"/>
  <c r="C48" i="31" s="1"/>
  <c r="D48" i="31" s="1"/>
  <c r="J47" i="31"/>
  <c r="E49" i="31"/>
  <c r="A50" i="31"/>
  <c r="B49" i="31"/>
  <c r="N49" i="31"/>
  <c r="H49" i="31"/>
  <c r="H33" i="46"/>
  <c r="N33" i="46"/>
  <c r="A34" i="46"/>
  <c r="B33" i="46"/>
  <c r="E33" i="46"/>
  <c r="X45" i="59"/>
  <c r="G33" i="58"/>
  <c r="K33" i="58"/>
  <c r="M32" i="58"/>
  <c r="D33" i="58"/>
  <c r="L33" i="58"/>
  <c r="N33" i="58" s="1"/>
  <c r="J33" i="58"/>
  <c r="E34" i="58"/>
  <c r="F34" i="58"/>
  <c r="P34" i="58" s="1"/>
  <c r="A35" i="58"/>
  <c r="B34" i="58"/>
  <c r="I34" i="58"/>
  <c r="Q34" i="58" s="1"/>
  <c r="H34" i="58"/>
  <c r="C34" i="58"/>
  <c r="O34" i="58" s="1"/>
  <c r="M67" i="46" l="1"/>
  <c r="F67" i="46"/>
  <c r="G67" i="46" s="1"/>
  <c r="E69" i="46"/>
  <c r="C67" i="46"/>
  <c r="D67" i="46" s="1"/>
  <c r="I67" i="46"/>
  <c r="J67" i="46" s="1"/>
  <c r="H68" i="46"/>
  <c r="K68" i="46" s="1"/>
  <c r="M68" i="46" s="1"/>
  <c r="B69" i="46"/>
  <c r="P22" i="72"/>
  <c r="Q22" i="72"/>
  <c r="L22" i="43"/>
  <c r="M22" i="43" s="1"/>
  <c r="M70" i="43"/>
  <c r="F70" i="43"/>
  <c r="C70" i="43"/>
  <c r="E75" i="43"/>
  <c r="J69" i="43"/>
  <c r="R72" i="72"/>
  <c r="H71" i="43"/>
  <c r="I70" i="43"/>
  <c r="G69" i="43"/>
  <c r="Q72" i="72"/>
  <c r="K71" i="43"/>
  <c r="B72" i="43"/>
  <c r="H72" i="49"/>
  <c r="K71" i="49"/>
  <c r="J69" i="49"/>
  <c r="R74" i="70"/>
  <c r="C70" i="49"/>
  <c r="M70" i="49"/>
  <c r="F70" i="49"/>
  <c r="D69" i="49"/>
  <c r="P74" i="70"/>
  <c r="J70" i="49"/>
  <c r="R75" i="70"/>
  <c r="G69" i="49"/>
  <c r="Q74" i="70"/>
  <c r="O38" i="68"/>
  <c r="G39" i="68"/>
  <c r="K39" i="68"/>
  <c r="K40" i="68" s="1"/>
  <c r="C40" i="68"/>
  <c r="L102" i="69"/>
  <c r="K100" i="69"/>
  <c r="P100" i="69"/>
  <c r="F101" i="69"/>
  <c r="F103" i="69" s="1"/>
  <c r="F105" i="69" s="1"/>
  <c r="Q100" i="69"/>
  <c r="L100" i="69"/>
  <c r="I101" i="69"/>
  <c r="I103" i="69" s="1"/>
  <c r="I105" i="69" s="1"/>
  <c r="O100" i="69"/>
  <c r="C101" i="69"/>
  <c r="C103" i="69" s="1"/>
  <c r="C105" i="69" s="1"/>
  <c r="N99" i="69"/>
  <c r="M99" i="69"/>
  <c r="D30" i="55"/>
  <c r="G31" i="55"/>
  <c r="J30" i="55"/>
  <c r="M29" i="55"/>
  <c r="V33" i="63"/>
  <c r="G36" i="49"/>
  <c r="M34" i="63"/>
  <c r="E34" i="63"/>
  <c r="J36" i="49"/>
  <c r="I34" i="63"/>
  <c r="J35" i="64"/>
  <c r="L35" i="64"/>
  <c r="M35" i="64" s="1"/>
  <c r="D35" i="64"/>
  <c r="G35" i="64"/>
  <c r="D36" i="49"/>
  <c r="K36" i="49"/>
  <c r="M36" i="49" s="1"/>
  <c r="A38" i="49"/>
  <c r="H37" i="49"/>
  <c r="B37" i="49"/>
  <c r="E37" i="49"/>
  <c r="L47" i="31"/>
  <c r="M47" i="31" s="1"/>
  <c r="F36" i="56"/>
  <c r="G36" i="56" s="1"/>
  <c r="C36" i="56"/>
  <c r="D36" i="56" s="1"/>
  <c r="L19" i="46"/>
  <c r="K35" i="43"/>
  <c r="H36" i="43"/>
  <c r="B36" i="43"/>
  <c r="N36" i="43"/>
  <c r="E36" i="43"/>
  <c r="A37" i="43"/>
  <c r="C31" i="55"/>
  <c r="I31" i="55"/>
  <c r="L30" i="55"/>
  <c r="K33" i="46"/>
  <c r="I48" i="31"/>
  <c r="J48" i="31" s="1"/>
  <c r="J36" i="56"/>
  <c r="E33" i="55"/>
  <c r="B33" i="55"/>
  <c r="A34" i="55"/>
  <c r="H33" i="55"/>
  <c r="N33" i="55"/>
  <c r="A39" i="56"/>
  <c r="B38" i="56"/>
  <c r="H38" i="56"/>
  <c r="E38" i="56"/>
  <c r="K32" i="55"/>
  <c r="I32" i="55" s="1"/>
  <c r="J35" i="56"/>
  <c r="L35" i="56"/>
  <c r="M35" i="56" s="1"/>
  <c r="G34" i="58"/>
  <c r="K37" i="56"/>
  <c r="C37" i="56" s="1"/>
  <c r="D37" i="56" s="1"/>
  <c r="M34" i="56"/>
  <c r="N41" i="61"/>
  <c r="AH42" i="61"/>
  <c r="A43" i="61"/>
  <c r="AH43" i="61" s="1"/>
  <c r="F42" i="61"/>
  <c r="W42" i="61" s="1"/>
  <c r="J42" i="61"/>
  <c r="Z42" i="61" s="1"/>
  <c r="B42" i="61"/>
  <c r="T42" i="61" s="1"/>
  <c r="N34" i="46"/>
  <c r="H34" i="46"/>
  <c r="B34" i="46"/>
  <c r="A35" i="46"/>
  <c r="E34" i="46"/>
  <c r="K49" i="31"/>
  <c r="I49" i="31" s="1"/>
  <c r="F48" i="31"/>
  <c r="G48" i="31" s="1"/>
  <c r="A51" i="31"/>
  <c r="B50" i="31"/>
  <c r="E50" i="31"/>
  <c r="H50" i="31"/>
  <c r="N50" i="31"/>
  <c r="X46" i="59"/>
  <c r="M33" i="58"/>
  <c r="K34" i="58"/>
  <c r="D34" i="58"/>
  <c r="A36" i="58"/>
  <c r="E35" i="58"/>
  <c r="B35" i="58"/>
  <c r="F35" i="58"/>
  <c r="P35" i="58" s="1"/>
  <c r="I35" i="58"/>
  <c r="Q35" i="58" s="1"/>
  <c r="H35" i="58"/>
  <c r="C35" i="58"/>
  <c r="O35" i="58" s="1"/>
  <c r="J34" i="58"/>
  <c r="L34" i="58"/>
  <c r="N34" i="58" s="1"/>
  <c r="C68" i="46" l="1"/>
  <c r="D68" i="46" s="1"/>
  <c r="E70" i="46"/>
  <c r="B70" i="46"/>
  <c r="H69" i="46"/>
  <c r="K69" i="46" s="1"/>
  <c r="M69" i="46" s="1"/>
  <c r="I68" i="46"/>
  <c r="J68" i="46" s="1"/>
  <c r="F68" i="46"/>
  <c r="G68" i="46" s="1"/>
  <c r="I23" i="43"/>
  <c r="R23" i="72" s="1"/>
  <c r="C23" i="43"/>
  <c r="D23" i="43" s="1"/>
  <c r="F23" i="43"/>
  <c r="M71" i="43"/>
  <c r="F71" i="43"/>
  <c r="H72" i="43"/>
  <c r="K72" i="43" s="1"/>
  <c r="C72" i="43" s="1"/>
  <c r="I71" i="43"/>
  <c r="E76" i="43"/>
  <c r="D70" i="43"/>
  <c r="P73" i="72"/>
  <c r="B73" i="43"/>
  <c r="G70" i="43"/>
  <c r="Q73" i="72"/>
  <c r="C71" i="43"/>
  <c r="J70" i="43"/>
  <c r="R73" i="72"/>
  <c r="L105" i="69"/>
  <c r="L108" i="69" s="1"/>
  <c r="M71" i="49"/>
  <c r="F71" i="49"/>
  <c r="C71" i="49"/>
  <c r="D70" i="49"/>
  <c r="P75" i="70"/>
  <c r="G70" i="49"/>
  <c r="Q75" i="70"/>
  <c r="I71" i="49"/>
  <c r="H73" i="49"/>
  <c r="K72" i="49"/>
  <c r="L39" i="68"/>
  <c r="N39" i="68"/>
  <c r="I39" i="68"/>
  <c r="G40" i="68"/>
  <c r="M100" i="69"/>
  <c r="N100" i="69"/>
  <c r="L101" i="69"/>
  <c r="L103" i="69" s="1"/>
  <c r="M30" i="55"/>
  <c r="I20" i="46"/>
  <c r="J20" i="46" s="1"/>
  <c r="D31" i="55"/>
  <c r="V34" i="63"/>
  <c r="J37" i="49"/>
  <c r="M35" i="63"/>
  <c r="E35" i="63"/>
  <c r="I35" i="63"/>
  <c r="G37" i="49"/>
  <c r="A39" i="49"/>
  <c r="B38" i="49"/>
  <c r="E38" i="49"/>
  <c r="H38" i="49"/>
  <c r="K37" i="49"/>
  <c r="M37" i="49" s="1"/>
  <c r="D37" i="49"/>
  <c r="C20" i="46"/>
  <c r="F20" i="46"/>
  <c r="A38" i="43"/>
  <c r="B37" i="43"/>
  <c r="N37" i="43"/>
  <c r="H37" i="43"/>
  <c r="E37" i="43"/>
  <c r="M19" i="46"/>
  <c r="L36" i="56"/>
  <c r="M36" i="56" s="1"/>
  <c r="K36" i="43"/>
  <c r="L31" i="55"/>
  <c r="J31" i="55"/>
  <c r="C49" i="31"/>
  <c r="D49" i="31" s="1"/>
  <c r="C32" i="55"/>
  <c r="F32" i="55"/>
  <c r="D35" i="58"/>
  <c r="J32" i="55"/>
  <c r="I37" i="56"/>
  <c r="K50" i="31"/>
  <c r="C50" i="31" s="1"/>
  <c r="D50" i="31" s="1"/>
  <c r="L48" i="31"/>
  <c r="M48" i="31" s="1"/>
  <c r="F37" i="56"/>
  <c r="G37" i="56" s="1"/>
  <c r="K38" i="56"/>
  <c r="F38" i="56" s="1"/>
  <c r="N34" i="55"/>
  <c r="A35" i="55"/>
  <c r="E34" i="55"/>
  <c r="H34" i="55"/>
  <c r="B34" i="55"/>
  <c r="K33" i="55"/>
  <c r="I33" i="55" s="1"/>
  <c r="N42" i="61"/>
  <c r="J49" i="31"/>
  <c r="F49" i="31"/>
  <c r="G49" i="31" s="1"/>
  <c r="A52" i="31"/>
  <c r="N52" i="31" s="1"/>
  <c r="E51" i="31"/>
  <c r="B51" i="31"/>
  <c r="H51" i="31"/>
  <c r="N51" i="31"/>
  <c r="A36" i="46"/>
  <c r="N35" i="46"/>
  <c r="H35" i="46"/>
  <c r="E35" i="46"/>
  <c r="B35" i="46"/>
  <c r="K34" i="46"/>
  <c r="X47" i="59"/>
  <c r="M34" i="58"/>
  <c r="G35" i="58"/>
  <c r="K35" i="58"/>
  <c r="L35" i="58"/>
  <c r="N35" i="58" s="1"/>
  <c r="J35" i="58"/>
  <c r="B36" i="58"/>
  <c r="E36" i="58"/>
  <c r="A37" i="58"/>
  <c r="F36" i="58"/>
  <c r="P36" i="58" s="1"/>
  <c r="I36" i="58"/>
  <c r="Q36" i="58" s="1"/>
  <c r="H36" i="58"/>
  <c r="C36" i="58"/>
  <c r="O36" i="58" s="1"/>
  <c r="H70" i="46" l="1"/>
  <c r="I69" i="46"/>
  <c r="J69" i="46" s="1"/>
  <c r="F69" i="46"/>
  <c r="G69" i="46" s="1"/>
  <c r="B71" i="46"/>
  <c r="K70" i="46"/>
  <c r="M70" i="46" s="1"/>
  <c r="E71" i="46"/>
  <c r="C69" i="46"/>
  <c r="D69" i="46" s="1"/>
  <c r="J23" i="43"/>
  <c r="L23" i="43"/>
  <c r="M23" i="43" s="1"/>
  <c r="P23" i="72"/>
  <c r="G23" i="43"/>
  <c r="Q23" i="72"/>
  <c r="D72" i="43"/>
  <c r="P75" i="72"/>
  <c r="J71" i="43"/>
  <c r="R74" i="72"/>
  <c r="H73" i="43"/>
  <c r="I72" i="43"/>
  <c r="D71" i="43"/>
  <c r="P74" i="72"/>
  <c r="F72" i="43"/>
  <c r="M72" i="43"/>
  <c r="G71" i="43"/>
  <c r="Q74" i="72"/>
  <c r="K73" i="43"/>
  <c r="C73" i="43" s="1"/>
  <c r="B74" i="43"/>
  <c r="E77" i="43"/>
  <c r="H74" i="49"/>
  <c r="K73" i="49"/>
  <c r="D71" i="49"/>
  <c r="P76" i="70"/>
  <c r="M72" i="49"/>
  <c r="F72" i="49"/>
  <c r="C72" i="49"/>
  <c r="J71" i="49"/>
  <c r="R76" i="70"/>
  <c r="G71" i="49"/>
  <c r="Q76" i="70"/>
  <c r="I72" i="49"/>
  <c r="O39" i="68"/>
  <c r="N40" i="68"/>
  <c r="N43" i="68" s="1"/>
  <c r="G32" i="55"/>
  <c r="M31" i="55"/>
  <c r="D20" i="46"/>
  <c r="D32" i="55"/>
  <c r="V35" i="63"/>
  <c r="J38" i="49"/>
  <c r="I36" i="63"/>
  <c r="G38" i="49"/>
  <c r="M36" i="63"/>
  <c r="E36" i="63"/>
  <c r="I36" i="64"/>
  <c r="R36" i="64" s="1"/>
  <c r="C36" i="64"/>
  <c r="P36" i="64" s="1"/>
  <c r="F36" i="64"/>
  <c r="Q36" i="64" s="1"/>
  <c r="A40" i="49"/>
  <c r="A46" i="49" s="1"/>
  <c r="A47" i="49" s="1"/>
  <c r="A48" i="49" s="1"/>
  <c r="A49" i="49" s="1"/>
  <c r="A50" i="49" s="1"/>
  <c r="A51" i="49" s="1"/>
  <c r="A52" i="49" s="1"/>
  <c r="A53" i="49" s="1"/>
  <c r="A54" i="49" s="1"/>
  <c r="A55" i="49" s="1"/>
  <c r="A56" i="49" s="1"/>
  <c r="A57" i="49" s="1"/>
  <c r="A58" i="49" s="1"/>
  <c r="A59" i="49" s="1"/>
  <c r="A60" i="49" s="1"/>
  <c r="A61" i="49" s="1"/>
  <c r="A62" i="49" s="1"/>
  <c r="A63" i="49" s="1"/>
  <c r="A64" i="49" s="1"/>
  <c r="A65" i="49" s="1"/>
  <c r="A66" i="49" s="1"/>
  <c r="A67" i="49" s="1"/>
  <c r="A68" i="49" s="1"/>
  <c r="A69" i="49" s="1"/>
  <c r="A70" i="49" s="1"/>
  <c r="A71" i="49" s="1"/>
  <c r="A72" i="49" s="1"/>
  <c r="A73" i="49" s="1"/>
  <c r="A74" i="49" s="1"/>
  <c r="A75" i="49" s="1"/>
  <c r="A76" i="49" s="1"/>
  <c r="A77" i="49" s="1"/>
  <c r="A78" i="49" s="1"/>
  <c r="A79" i="49" s="1"/>
  <c r="A80" i="49" s="1"/>
  <c r="A81" i="49" s="1"/>
  <c r="A82" i="49" s="1"/>
  <c r="A83" i="49" s="1"/>
  <c r="A84" i="49" s="1"/>
  <c r="A85" i="49" s="1"/>
  <c r="A86" i="49" s="1"/>
  <c r="A87" i="49" s="1"/>
  <c r="A88" i="49" s="1"/>
  <c r="A89" i="49" s="1"/>
  <c r="A90" i="49" s="1"/>
  <c r="A91" i="49" s="1"/>
  <c r="A92" i="49" s="1"/>
  <c r="A93" i="49" s="1"/>
  <c r="A94" i="49" s="1"/>
  <c r="A95" i="49" s="1"/>
  <c r="H39" i="49"/>
  <c r="E39" i="49"/>
  <c r="B39" i="49"/>
  <c r="K38" i="49"/>
  <c r="M38" i="49" s="1"/>
  <c r="D38" i="49"/>
  <c r="I24" i="43"/>
  <c r="L20" i="46"/>
  <c r="C21" i="46" s="1"/>
  <c r="D36" i="58"/>
  <c r="G20" i="46"/>
  <c r="A39" i="43"/>
  <c r="E38" i="43"/>
  <c r="B38" i="43"/>
  <c r="N38" i="43"/>
  <c r="H38" i="43"/>
  <c r="K37" i="43"/>
  <c r="L32" i="55"/>
  <c r="C38" i="56"/>
  <c r="D38" i="56" s="1"/>
  <c r="I38" i="56"/>
  <c r="I50" i="31"/>
  <c r="J50" i="31" s="1"/>
  <c r="K35" i="46"/>
  <c r="F50" i="31"/>
  <c r="G50" i="31" s="1"/>
  <c r="K34" i="55"/>
  <c r="C34" i="55" s="1"/>
  <c r="J33" i="55"/>
  <c r="B35" i="55"/>
  <c r="A36" i="55"/>
  <c r="E35" i="55"/>
  <c r="N35" i="55"/>
  <c r="H35" i="55"/>
  <c r="F33" i="55"/>
  <c r="C33" i="55"/>
  <c r="J37" i="56"/>
  <c r="L37" i="56"/>
  <c r="M35" i="58"/>
  <c r="K51" i="31"/>
  <c r="F51" i="31" s="1"/>
  <c r="G51" i="31" s="1"/>
  <c r="G38" i="56"/>
  <c r="F40" i="56"/>
  <c r="F52" i="31"/>
  <c r="C52" i="31"/>
  <c r="I52" i="31"/>
  <c r="H36" i="46"/>
  <c r="N36" i="46"/>
  <c r="B36" i="46"/>
  <c r="A37" i="46"/>
  <c r="E36" i="46"/>
  <c r="L49" i="31"/>
  <c r="M49" i="31" s="1"/>
  <c r="X48" i="59"/>
  <c r="J36" i="58"/>
  <c r="L36" i="58"/>
  <c r="N36" i="58" s="1"/>
  <c r="K36" i="58"/>
  <c r="G36" i="58"/>
  <c r="A38" i="58"/>
  <c r="F37" i="58"/>
  <c r="P37" i="58" s="1"/>
  <c r="B37" i="58"/>
  <c r="E37" i="58"/>
  <c r="I37" i="58"/>
  <c r="Q37" i="58" s="1"/>
  <c r="H37" i="58"/>
  <c r="C37" i="58"/>
  <c r="O37" i="58" s="1"/>
  <c r="F70" i="46" l="1"/>
  <c r="G70" i="46" s="1"/>
  <c r="C70" i="46"/>
  <c r="D70" i="46" s="1"/>
  <c r="B72" i="46"/>
  <c r="E72" i="46"/>
  <c r="H71" i="46"/>
  <c r="I70" i="46"/>
  <c r="J70" i="46" s="1"/>
  <c r="F24" i="43"/>
  <c r="G24" i="43" s="1"/>
  <c r="C24" i="43"/>
  <c r="D24" i="43" s="1"/>
  <c r="F21" i="46"/>
  <c r="G21" i="46" s="1"/>
  <c r="D73" i="43"/>
  <c r="P76" i="72"/>
  <c r="E78" i="43"/>
  <c r="B75" i="43"/>
  <c r="J72" i="43"/>
  <c r="R75" i="72"/>
  <c r="F73" i="43"/>
  <c r="M73" i="43"/>
  <c r="G72" i="43"/>
  <c r="Q75" i="72"/>
  <c r="H74" i="43"/>
  <c r="I73" i="43"/>
  <c r="J24" i="43"/>
  <c r="R24" i="72"/>
  <c r="G72" i="49"/>
  <c r="Q77" i="70"/>
  <c r="I73" i="49"/>
  <c r="F73" i="49"/>
  <c r="M73" i="49"/>
  <c r="C73" i="49"/>
  <c r="J72" i="49"/>
  <c r="R77" i="70"/>
  <c r="H75" i="49"/>
  <c r="K74" i="49"/>
  <c r="D72" i="49"/>
  <c r="P77" i="70"/>
  <c r="M32" i="55"/>
  <c r="D33" i="55"/>
  <c r="D34" i="55"/>
  <c r="D21" i="46"/>
  <c r="G33" i="55"/>
  <c r="V36" i="63"/>
  <c r="I37" i="63"/>
  <c r="E37" i="63"/>
  <c r="G39" i="49"/>
  <c r="M37" i="63"/>
  <c r="J39" i="49"/>
  <c r="G36" i="64"/>
  <c r="D36" i="64"/>
  <c r="L36" i="64"/>
  <c r="M36" i="64" s="1"/>
  <c r="J36" i="64"/>
  <c r="D39" i="49"/>
  <c r="K39" i="49"/>
  <c r="M39" i="49" s="1"/>
  <c r="M20" i="46"/>
  <c r="I21" i="46"/>
  <c r="J21" i="46" s="1"/>
  <c r="K38" i="43"/>
  <c r="C40" i="56"/>
  <c r="B39" i="43"/>
  <c r="N39" i="43"/>
  <c r="A40" i="43"/>
  <c r="H39" i="43"/>
  <c r="E39" i="43"/>
  <c r="L38" i="56"/>
  <c r="M38" i="56" s="1"/>
  <c r="J38" i="56"/>
  <c r="I40" i="56"/>
  <c r="I51" i="31"/>
  <c r="J51" i="31" s="1"/>
  <c r="D37" i="58"/>
  <c r="C51" i="31"/>
  <c r="D51" i="31" s="1"/>
  <c r="L50" i="31"/>
  <c r="M50" i="31" s="1"/>
  <c r="I34" i="55"/>
  <c r="K36" i="46"/>
  <c r="F34" i="55"/>
  <c r="E36" i="55"/>
  <c r="N36" i="55"/>
  <c r="B36" i="55"/>
  <c r="A37" i="55"/>
  <c r="H36" i="55"/>
  <c r="K35" i="55"/>
  <c r="C35" i="55" s="1"/>
  <c r="L33" i="55"/>
  <c r="M37" i="56"/>
  <c r="J52" i="31"/>
  <c r="L52" i="31"/>
  <c r="A38" i="46"/>
  <c r="E37" i="46"/>
  <c r="H37" i="46"/>
  <c r="N37" i="46"/>
  <c r="B37" i="46"/>
  <c r="D52" i="31"/>
  <c r="G52" i="31"/>
  <c r="F53" i="31"/>
  <c r="X49" i="59"/>
  <c r="X50" i="59" s="1"/>
  <c r="X51" i="59" s="1"/>
  <c r="X52" i="59" s="1"/>
  <c r="X53" i="59" s="1"/>
  <c r="X54" i="59" s="1"/>
  <c r="X55" i="59" s="1"/>
  <c r="X56" i="59" s="1"/>
  <c r="X57" i="59" s="1"/>
  <c r="X58" i="59" s="1"/>
  <c r="X59" i="59" s="1"/>
  <c r="X60" i="59" s="1"/>
  <c r="X61" i="59" s="1"/>
  <c r="X62" i="59" s="1"/>
  <c r="X63" i="59" s="1"/>
  <c r="X64" i="59" s="1"/>
  <c r="X65" i="59" s="1"/>
  <c r="X66" i="59" s="1"/>
  <c r="X67" i="59" s="1"/>
  <c r="X68" i="59" s="1"/>
  <c r="X69" i="59" s="1"/>
  <c r="X70" i="59" s="1"/>
  <c r="X71" i="59" s="1"/>
  <c r="X72" i="59" s="1"/>
  <c r="X73" i="59" s="1"/>
  <c r="X74" i="59" s="1"/>
  <c r="X75" i="59" s="1"/>
  <c r="X76" i="59" s="1"/>
  <c r="X77" i="59" s="1"/>
  <c r="X78" i="59" s="1"/>
  <c r="X79" i="59" s="1"/>
  <c r="X80" i="59" s="1"/>
  <c r="X81" i="59" s="1"/>
  <c r="X82" i="59" s="1"/>
  <c r="X83" i="59" s="1"/>
  <c r="X84" i="59" s="1"/>
  <c r="X85" i="59" s="1"/>
  <c r="X86" i="59" s="1"/>
  <c r="X87" i="59" s="1"/>
  <c r="X88" i="59" s="1"/>
  <c r="X89" i="59" s="1"/>
  <c r="X90" i="59" s="1"/>
  <c r="X91" i="59" s="1"/>
  <c r="X92" i="59" s="1"/>
  <c r="X93" i="59" s="1"/>
  <c r="X94" i="59" s="1"/>
  <c r="X95" i="59" s="1"/>
  <c r="X96" i="59" s="1"/>
  <c r="X97" i="59" s="1"/>
  <c r="X98" i="59" s="1"/>
  <c r="X99" i="59" s="1"/>
  <c r="X100" i="59" s="1"/>
  <c r="G37" i="58"/>
  <c r="M36" i="58"/>
  <c r="K37" i="58"/>
  <c r="L37" i="58"/>
  <c r="N37" i="58" s="1"/>
  <c r="J37" i="58"/>
  <c r="B38" i="58"/>
  <c r="F38" i="58"/>
  <c r="P38" i="58" s="1"/>
  <c r="E38" i="58"/>
  <c r="A39" i="58"/>
  <c r="I38" i="58"/>
  <c r="Q38" i="58" s="1"/>
  <c r="H38" i="58"/>
  <c r="C38" i="58"/>
  <c r="O38" i="58" s="1"/>
  <c r="H72" i="46" l="1"/>
  <c r="K72" i="46" s="1"/>
  <c r="M72" i="46" s="1"/>
  <c r="K71" i="46"/>
  <c r="I71" i="46" s="1"/>
  <c r="J71" i="46" s="1"/>
  <c r="E73" i="46"/>
  <c r="B73" i="46"/>
  <c r="Q24" i="72"/>
  <c r="L24" i="43"/>
  <c r="M24" i="43" s="1"/>
  <c r="P24" i="72"/>
  <c r="E79" i="43"/>
  <c r="J73" i="43"/>
  <c r="R76" i="72"/>
  <c r="H75" i="43"/>
  <c r="G73" i="43"/>
  <c r="Q76" i="72"/>
  <c r="B76" i="43"/>
  <c r="K75" i="43"/>
  <c r="C75" i="43" s="1"/>
  <c r="K74" i="43"/>
  <c r="C74" i="49"/>
  <c r="M74" i="49"/>
  <c r="F74" i="49"/>
  <c r="J73" i="49"/>
  <c r="R78" i="70"/>
  <c r="I74" i="49"/>
  <c r="D73" i="49"/>
  <c r="P78" i="70"/>
  <c r="G73" i="49"/>
  <c r="Q78" i="70"/>
  <c r="H76" i="49"/>
  <c r="K75" i="49"/>
  <c r="M33" i="55"/>
  <c r="D35" i="55"/>
  <c r="J34" i="55"/>
  <c r="G34" i="55"/>
  <c r="V37" i="63"/>
  <c r="I38" i="63"/>
  <c r="M38" i="63"/>
  <c r="E38" i="63"/>
  <c r="L21" i="46"/>
  <c r="L40" i="56"/>
  <c r="L43" i="56" s="1"/>
  <c r="A41" i="43"/>
  <c r="B40" i="43"/>
  <c r="H40" i="43"/>
  <c r="E40" i="43"/>
  <c r="N40" i="43"/>
  <c r="K39" i="43"/>
  <c r="I53" i="31"/>
  <c r="L51" i="31"/>
  <c r="M51" i="31" s="1"/>
  <c r="C53" i="31"/>
  <c r="K36" i="55"/>
  <c r="I36" i="55" s="1"/>
  <c r="L34" i="55"/>
  <c r="F35" i="55"/>
  <c r="I35" i="55"/>
  <c r="D38" i="58"/>
  <c r="K37" i="46"/>
  <c r="B37" i="55"/>
  <c r="A38" i="55"/>
  <c r="N37" i="55"/>
  <c r="H37" i="55"/>
  <c r="E37" i="55"/>
  <c r="N38" i="46"/>
  <c r="E38" i="46"/>
  <c r="A39" i="46"/>
  <c r="H38" i="46"/>
  <c r="B38" i="46"/>
  <c r="M52" i="31"/>
  <c r="M37" i="58"/>
  <c r="G38" i="58"/>
  <c r="J38" i="58"/>
  <c r="L38" i="58"/>
  <c r="N38" i="58" s="1"/>
  <c r="K38" i="58"/>
  <c r="B39" i="58"/>
  <c r="A40" i="58"/>
  <c r="E39" i="58"/>
  <c r="F39" i="58"/>
  <c r="P39" i="58" s="1"/>
  <c r="H39" i="58"/>
  <c r="I39" i="58"/>
  <c r="Q39" i="58" s="1"/>
  <c r="C39" i="58"/>
  <c r="O39" i="58" s="1"/>
  <c r="N39" i="46" l="1"/>
  <c r="A45" i="46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88" i="46" s="1"/>
  <c r="A89" i="46" s="1"/>
  <c r="A90" i="46" s="1"/>
  <c r="A91" i="46" s="1"/>
  <c r="A92" i="46" s="1"/>
  <c r="A93" i="46" s="1"/>
  <c r="A94" i="46" s="1"/>
  <c r="C72" i="46"/>
  <c r="D72" i="46" s="1"/>
  <c r="E74" i="46"/>
  <c r="B74" i="46"/>
  <c r="F72" i="46"/>
  <c r="G72" i="46" s="1"/>
  <c r="M71" i="46"/>
  <c r="F71" i="46"/>
  <c r="G71" i="46" s="1"/>
  <c r="C71" i="46"/>
  <c r="D71" i="46" s="1"/>
  <c r="H73" i="46"/>
  <c r="K73" i="46" s="1"/>
  <c r="M73" i="46" s="1"/>
  <c r="I72" i="46"/>
  <c r="J72" i="46" s="1"/>
  <c r="F25" i="43"/>
  <c r="G25" i="43" s="1"/>
  <c r="I25" i="43"/>
  <c r="R25" i="72" s="1"/>
  <c r="C25" i="43"/>
  <c r="D25" i="43" s="1"/>
  <c r="D75" i="43"/>
  <c r="P78" i="72"/>
  <c r="M74" i="43"/>
  <c r="F74" i="43"/>
  <c r="C74" i="43"/>
  <c r="M75" i="43"/>
  <c r="F75" i="43"/>
  <c r="I74" i="43"/>
  <c r="B77" i="43"/>
  <c r="H76" i="43"/>
  <c r="I75" i="43"/>
  <c r="E80" i="43"/>
  <c r="M75" i="49"/>
  <c r="F75" i="49"/>
  <c r="C75" i="49"/>
  <c r="H77" i="49"/>
  <c r="K76" i="49"/>
  <c r="G74" i="49"/>
  <c r="Q79" i="70"/>
  <c r="J74" i="49"/>
  <c r="R79" i="70"/>
  <c r="I75" i="49"/>
  <c r="D74" i="49"/>
  <c r="P79" i="70"/>
  <c r="G35" i="55"/>
  <c r="M34" i="55"/>
  <c r="I22" i="46"/>
  <c r="J22" i="46" s="1"/>
  <c r="J35" i="55"/>
  <c r="V38" i="63"/>
  <c r="I37" i="64"/>
  <c r="R37" i="64" s="1"/>
  <c r="C37" i="64"/>
  <c r="P37" i="64" s="1"/>
  <c r="F37" i="64"/>
  <c r="Q37" i="64" s="1"/>
  <c r="C22" i="46"/>
  <c r="F22" i="46"/>
  <c r="C36" i="55"/>
  <c r="L53" i="31"/>
  <c r="L56" i="31" s="1"/>
  <c r="M21" i="46"/>
  <c r="E41" i="43"/>
  <c r="H41" i="43"/>
  <c r="B41" i="43"/>
  <c r="N41" i="43"/>
  <c r="A42" i="43"/>
  <c r="K40" i="43"/>
  <c r="F36" i="55"/>
  <c r="L35" i="55"/>
  <c r="K37" i="55"/>
  <c r="F37" i="55" s="1"/>
  <c r="J36" i="55"/>
  <c r="E38" i="55"/>
  <c r="A39" i="55"/>
  <c r="N39" i="55" s="1"/>
  <c r="B38" i="55"/>
  <c r="N38" i="55"/>
  <c r="H38" i="55"/>
  <c r="G39" i="58"/>
  <c r="K38" i="46"/>
  <c r="D39" i="58"/>
  <c r="M38" i="58"/>
  <c r="K39" i="58"/>
  <c r="J39" i="58"/>
  <c r="L39" i="58"/>
  <c r="N39" i="58" s="1"/>
  <c r="E40" i="58"/>
  <c r="F40" i="58"/>
  <c r="P40" i="58" s="1"/>
  <c r="A41" i="58"/>
  <c r="B40" i="58"/>
  <c r="H40" i="58"/>
  <c r="I40" i="58"/>
  <c r="Q40" i="58" s="1"/>
  <c r="C40" i="58"/>
  <c r="O40" i="58" s="1"/>
  <c r="B75" i="46" l="1"/>
  <c r="E75" i="46"/>
  <c r="C73" i="46"/>
  <c r="D73" i="46" s="1"/>
  <c r="H74" i="46"/>
  <c r="I73" i="46"/>
  <c r="J73" i="46" s="1"/>
  <c r="F73" i="46"/>
  <c r="G73" i="46" s="1"/>
  <c r="Q25" i="72"/>
  <c r="J25" i="43"/>
  <c r="P25" i="72"/>
  <c r="L25" i="43"/>
  <c r="C26" i="43" s="1"/>
  <c r="D26" i="43" s="1"/>
  <c r="H77" i="43"/>
  <c r="K77" i="43" s="1"/>
  <c r="J74" i="43"/>
  <c r="R77" i="72"/>
  <c r="G74" i="43"/>
  <c r="Q77" i="72"/>
  <c r="G75" i="43"/>
  <c r="Q78" i="72"/>
  <c r="N42" i="43"/>
  <c r="A48" i="43"/>
  <c r="A49" i="43" s="1"/>
  <c r="A50" i="43" s="1"/>
  <c r="A51" i="43" s="1"/>
  <c r="A52" i="43" s="1"/>
  <c r="A53" i="43" s="1"/>
  <c r="A54" i="43" s="1"/>
  <c r="A55" i="43" s="1"/>
  <c r="A56" i="43" s="1"/>
  <c r="A57" i="43" s="1"/>
  <c r="A58" i="43" s="1"/>
  <c r="A59" i="43" s="1"/>
  <c r="A60" i="43" s="1"/>
  <c r="A61" i="43" s="1"/>
  <c r="A62" i="43" s="1"/>
  <c r="A63" i="43" s="1"/>
  <c r="A64" i="43" s="1"/>
  <c r="A65" i="43" s="1"/>
  <c r="A66" i="43" s="1"/>
  <c r="A67" i="43" s="1"/>
  <c r="A68" i="43" s="1"/>
  <c r="A69" i="43" s="1"/>
  <c r="A70" i="43" s="1"/>
  <c r="A71" i="43" s="1"/>
  <c r="A72" i="43" s="1"/>
  <c r="A73" i="43" s="1"/>
  <c r="A74" i="43" s="1"/>
  <c r="A75" i="43" s="1"/>
  <c r="A76" i="43" s="1"/>
  <c r="A77" i="43" s="1"/>
  <c r="A78" i="43" s="1"/>
  <c r="A79" i="43" s="1"/>
  <c r="A80" i="43" s="1"/>
  <c r="A81" i="43" s="1"/>
  <c r="A82" i="43" s="1"/>
  <c r="A83" i="43" s="1"/>
  <c r="A84" i="43" s="1"/>
  <c r="A85" i="43" s="1"/>
  <c r="A86" i="43" s="1"/>
  <c r="A87" i="43" s="1"/>
  <c r="A88" i="43" s="1"/>
  <c r="A89" i="43" s="1"/>
  <c r="A90" i="43" s="1"/>
  <c r="A91" i="43" s="1"/>
  <c r="A92" i="43" s="1"/>
  <c r="A93" i="43" s="1"/>
  <c r="A94" i="43" s="1"/>
  <c r="A95" i="43" s="1"/>
  <c r="A96" i="43" s="1"/>
  <c r="A97" i="43" s="1"/>
  <c r="E81" i="43"/>
  <c r="K76" i="43"/>
  <c r="I76" i="43" s="1"/>
  <c r="J75" i="43"/>
  <c r="R78" i="72"/>
  <c r="B78" i="43"/>
  <c r="D74" i="43"/>
  <c r="P77" i="72"/>
  <c r="J75" i="49"/>
  <c r="R80" i="70"/>
  <c r="G75" i="49"/>
  <c r="Q80" i="70"/>
  <c r="H78" i="49"/>
  <c r="K77" i="49"/>
  <c r="D75" i="49"/>
  <c r="P80" i="70"/>
  <c r="I76" i="49"/>
  <c r="M76" i="49"/>
  <c r="F76" i="49"/>
  <c r="C76" i="49"/>
  <c r="G37" i="55"/>
  <c r="M35" i="55"/>
  <c r="D22" i="46"/>
  <c r="D36" i="55"/>
  <c r="D37" i="64"/>
  <c r="G37" i="64"/>
  <c r="J37" i="64"/>
  <c r="L37" i="64"/>
  <c r="L22" i="46"/>
  <c r="M22" i="46" s="1"/>
  <c r="L36" i="55"/>
  <c r="G22" i="46"/>
  <c r="K41" i="43"/>
  <c r="G36" i="55"/>
  <c r="K38" i="55"/>
  <c r="F38" i="55" s="1"/>
  <c r="I37" i="55"/>
  <c r="C37" i="55"/>
  <c r="F39" i="55"/>
  <c r="I39" i="55"/>
  <c r="C39" i="55"/>
  <c r="M39" i="58"/>
  <c r="K40" i="58"/>
  <c r="D40" i="58"/>
  <c r="E41" i="58"/>
  <c r="F41" i="58"/>
  <c r="P41" i="58" s="1"/>
  <c r="B41" i="58"/>
  <c r="A42" i="58"/>
  <c r="A51" i="58" s="1"/>
  <c r="H41" i="58"/>
  <c r="I41" i="58"/>
  <c r="Q41" i="58" s="1"/>
  <c r="C41" i="58"/>
  <c r="O41" i="58" s="1"/>
  <c r="J40" i="58"/>
  <c r="L40" i="58"/>
  <c r="N40" i="58" s="1"/>
  <c r="G40" i="58"/>
  <c r="E76" i="46" l="1"/>
  <c r="H75" i="46"/>
  <c r="B76" i="46"/>
  <c r="K75" i="46"/>
  <c r="M75" i="46" s="1"/>
  <c r="K74" i="46"/>
  <c r="I74" i="46" s="1"/>
  <c r="J74" i="46" s="1"/>
  <c r="F26" i="43"/>
  <c r="Q26" i="72" s="1"/>
  <c r="P26" i="72"/>
  <c r="M25" i="43"/>
  <c r="I26" i="43"/>
  <c r="J26" i="43" s="1"/>
  <c r="J76" i="43"/>
  <c r="R79" i="72"/>
  <c r="B79" i="43"/>
  <c r="E82" i="43"/>
  <c r="C77" i="43"/>
  <c r="M77" i="43"/>
  <c r="F77" i="43"/>
  <c r="M76" i="43"/>
  <c r="F76" i="43"/>
  <c r="C76" i="43"/>
  <c r="H78" i="43"/>
  <c r="I77" i="43"/>
  <c r="G26" i="43"/>
  <c r="D76" i="49"/>
  <c r="P81" i="70"/>
  <c r="G76" i="49"/>
  <c r="Q81" i="70"/>
  <c r="I77" i="49"/>
  <c r="M77" i="49"/>
  <c r="F77" i="49"/>
  <c r="C77" i="49"/>
  <c r="J76" i="49"/>
  <c r="R81" i="70"/>
  <c r="H79" i="49"/>
  <c r="K78" i="49"/>
  <c r="I78" i="49" s="1"/>
  <c r="I51" i="58"/>
  <c r="A52" i="58"/>
  <c r="F51" i="58"/>
  <c r="C51" i="58"/>
  <c r="G39" i="55"/>
  <c r="D39" i="55"/>
  <c r="D37" i="55"/>
  <c r="M36" i="55"/>
  <c r="J37" i="55"/>
  <c r="C38" i="64"/>
  <c r="P38" i="64" s="1"/>
  <c r="F38" i="64"/>
  <c r="Q38" i="64" s="1"/>
  <c r="I38" i="64"/>
  <c r="R38" i="64" s="1"/>
  <c r="M37" i="64"/>
  <c r="I23" i="46"/>
  <c r="J23" i="46" s="1"/>
  <c r="C23" i="46"/>
  <c r="F23" i="46"/>
  <c r="G23" i="46" s="1"/>
  <c r="I38" i="55"/>
  <c r="C38" i="55"/>
  <c r="D41" i="58"/>
  <c r="M40" i="58"/>
  <c r="L37" i="55"/>
  <c r="G38" i="55"/>
  <c r="F40" i="55"/>
  <c r="L39" i="55"/>
  <c r="M39" i="55" s="1"/>
  <c r="J39" i="55"/>
  <c r="G41" i="58"/>
  <c r="F42" i="58"/>
  <c r="P42" i="58" s="1"/>
  <c r="F44" i="58"/>
  <c r="I44" i="58"/>
  <c r="I42" i="58"/>
  <c r="Q42" i="58" s="1"/>
  <c r="C42" i="58"/>
  <c r="O42" i="58" s="1"/>
  <c r="C44" i="58"/>
  <c r="L41" i="58"/>
  <c r="N41" i="58" s="1"/>
  <c r="J41" i="58"/>
  <c r="K41" i="58"/>
  <c r="C75" i="46" l="1"/>
  <c r="D75" i="46" s="1"/>
  <c r="I75" i="46"/>
  <c r="J75" i="46" s="1"/>
  <c r="H76" i="46"/>
  <c r="K76" i="46" s="1"/>
  <c r="F75" i="46"/>
  <c r="G75" i="46" s="1"/>
  <c r="M74" i="46"/>
  <c r="F74" i="46"/>
  <c r="G74" i="46" s="1"/>
  <c r="C74" i="46"/>
  <c r="D74" i="46" s="1"/>
  <c r="B77" i="46"/>
  <c r="E77" i="46"/>
  <c r="L26" i="43"/>
  <c r="F27" i="43" s="1"/>
  <c r="Q27" i="72" s="1"/>
  <c r="R26" i="72"/>
  <c r="G76" i="43"/>
  <c r="Q79" i="72"/>
  <c r="D77" i="43"/>
  <c r="P80" i="72"/>
  <c r="J77" i="43"/>
  <c r="R80" i="72"/>
  <c r="B80" i="43"/>
  <c r="H79" i="43"/>
  <c r="K79" i="43" s="1"/>
  <c r="G77" i="43"/>
  <c r="Q80" i="72"/>
  <c r="E83" i="43"/>
  <c r="D76" i="43"/>
  <c r="P79" i="72"/>
  <c r="K78" i="43"/>
  <c r="I78" i="43" s="1"/>
  <c r="J78" i="49"/>
  <c r="R83" i="70"/>
  <c r="G77" i="49"/>
  <c r="Q82" i="70"/>
  <c r="D77" i="49"/>
  <c r="P82" i="70"/>
  <c r="H80" i="49"/>
  <c r="K79" i="49"/>
  <c r="C78" i="49"/>
  <c r="M78" i="49"/>
  <c r="F78" i="49"/>
  <c r="J77" i="49"/>
  <c r="R82" i="70"/>
  <c r="K51" i="58"/>
  <c r="D51" i="58"/>
  <c r="O51" i="58"/>
  <c r="P51" i="58"/>
  <c r="G51" i="58"/>
  <c r="I52" i="58"/>
  <c r="A53" i="58"/>
  <c r="F52" i="58"/>
  <c r="C52" i="58"/>
  <c r="L51" i="58"/>
  <c r="J51" i="58"/>
  <c r="Q51" i="58"/>
  <c r="C40" i="55"/>
  <c r="D23" i="46"/>
  <c r="M37" i="55"/>
  <c r="I40" i="55"/>
  <c r="G38" i="64"/>
  <c r="D38" i="64"/>
  <c r="L38" i="64"/>
  <c r="J38" i="64"/>
  <c r="L23" i="46"/>
  <c r="M23" i="46" s="1"/>
  <c r="J38" i="55"/>
  <c r="D38" i="55"/>
  <c r="L38" i="55"/>
  <c r="L44" i="58"/>
  <c r="M41" i="58"/>
  <c r="L42" i="58"/>
  <c r="N42" i="58" s="1"/>
  <c r="J42" i="58"/>
  <c r="I43" i="58"/>
  <c r="I45" i="58" s="1"/>
  <c r="D42" i="58"/>
  <c r="C43" i="58"/>
  <c r="C45" i="58" s="1"/>
  <c r="G42" i="58"/>
  <c r="F43" i="58"/>
  <c r="F45" i="58" s="1"/>
  <c r="M76" i="46" l="1"/>
  <c r="C76" i="46"/>
  <c r="D76" i="46" s="1"/>
  <c r="F76" i="46"/>
  <c r="G76" i="46" s="1"/>
  <c r="E78" i="46"/>
  <c r="B78" i="46"/>
  <c r="I76" i="46"/>
  <c r="J76" i="46" s="1"/>
  <c r="H77" i="46"/>
  <c r="I27" i="43"/>
  <c r="R27" i="72" s="1"/>
  <c r="G27" i="43"/>
  <c r="C27" i="43"/>
  <c r="P27" i="72" s="1"/>
  <c r="M26" i="43"/>
  <c r="J78" i="43"/>
  <c r="R81" i="72"/>
  <c r="M79" i="43"/>
  <c r="F79" i="43"/>
  <c r="B81" i="43"/>
  <c r="M78" i="43"/>
  <c r="F78" i="43"/>
  <c r="C78" i="43"/>
  <c r="E84" i="43"/>
  <c r="E85" i="43" s="1"/>
  <c r="H80" i="43"/>
  <c r="K80" i="43" s="1"/>
  <c r="C80" i="43" s="1"/>
  <c r="I79" i="43"/>
  <c r="C79" i="43"/>
  <c r="H81" i="49"/>
  <c r="K80" i="49"/>
  <c r="I79" i="49"/>
  <c r="M79" i="49"/>
  <c r="F79" i="49"/>
  <c r="C79" i="49"/>
  <c r="G78" i="49"/>
  <c r="Q83" i="70"/>
  <c r="D78" i="49"/>
  <c r="P83" i="70"/>
  <c r="J52" i="58"/>
  <c r="K52" i="58"/>
  <c r="Q52" i="58"/>
  <c r="L52" i="58"/>
  <c r="M51" i="58"/>
  <c r="N51" i="58"/>
  <c r="O52" i="58"/>
  <c r="D52" i="58"/>
  <c r="P52" i="58"/>
  <c r="G52" i="58"/>
  <c r="A54" i="58"/>
  <c r="F53" i="58"/>
  <c r="I53" i="58"/>
  <c r="C53" i="58"/>
  <c r="M38" i="55"/>
  <c r="M38" i="64"/>
  <c r="C24" i="46"/>
  <c r="I24" i="46"/>
  <c r="J24" i="46" s="1"/>
  <c r="F24" i="46"/>
  <c r="G24" i="46" s="1"/>
  <c r="L40" i="55"/>
  <c r="L43" i="55" s="1"/>
  <c r="M42" i="58"/>
  <c r="L43" i="58"/>
  <c r="L45" i="58" s="1"/>
  <c r="L48" i="58" s="1"/>
  <c r="E79" i="46" l="1"/>
  <c r="B79" i="46"/>
  <c r="H78" i="46"/>
  <c r="K78" i="46" s="1"/>
  <c r="M78" i="46" s="1"/>
  <c r="K77" i="46"/>
  <c r="J27" i="43"/>
  <c r="L27" i="43"/>
  <c r="M27" i="43" s="1"/>
  <c r="D27" i="43"/>
  <c r="D80" i="43"/>
  <c r="P83" i="72"/>
  <c r="E86" i="43"/>
  <c r="G79" i="43"/>
  <c r="Q82" i="72"/>
  <c r="D79" i="43"/>
  <c r="P82" i="72"/>
  <c r="J79" i="43"/>
  <c r="R82" i="72"/>
  <c r="D78" i="43"/>
  <c r="P81" i="72"/>
  <c r="M80" i="43"/>
  <c r="F80" i="43"/>
  <c r="H81" i="43"/>
  <c r="K81" i="43" s="1"/>
  <c r="I80" i="43"/>
  <c r="G78" i="43"/>
  <c r="Q81" i="72"/>
  <c r="B82" i="43"/>
  <c r="D79" i="49"/>
  <c r="P84" i="70"/>
  <c r="Q84" i="70"/>
  <c r="G79" i="49"/>
  <c r="R84" i="70"/>
  <c r="J79" i="49"/>
  <c r="M80" i="49"/>
  <c r="F80" i="49"/>
  <c r="C80" i="49"/>
  <c r="I80" i="49"/>
  <c r="H82" i="49"/>
  <c r="K81" i="49"/>
  <c r="I81" i="49" s="1"/>
  <c r="K53" i="58"/>
  <c r="P53" i="58"/>
  <c r="G53" i="58"/>
  <c r="A55" i="58"/>
  <c r="I54" i="58"/>
  <c r="F54" i="58"/>
  <c r="C54" i="58"/>
  <c r="M52" i="58"/>
  <c r="N52" i="58"/>
  <c r="O53" i="58"/>
  <c r="D53" i="58"/>
  <c r="L53" i="58"/>
  <c r="J53" i="58"/>
  <c r="Q53" i="58"/>
  <c r="D24" i="46"/>
  <c r="I39" i="64"/>
  <c r="R39" i="64" s="1"/>
  <c r="F39" i="64"/>
  <c r="Q39" i="64" s="1"/>
  <c r="C39" i="64"/>
  <c r="P39" i="64" s="1"/>
  <c r="L24" i="46"/>
  <c r="M24" i="46" s="1"/>
  <c r="C78" i="46" l="1"/>
  <c r="D78" i="46" s="1"/>
  <c r="E80" i="46"/>
  <c r="M77" i="46"/>
  <c r="C77" i="46"/>
  <c r="D77" i="46" s="1"/>
  <c r="F77" i="46"/>
  <c r="G77" i="46" s="1"/>
  <c r="I77" i="46"/>
  <c r="J77" i="46" s="1"/>
  <c r="B80" i="46"/>
  <c r="H79" i="46"/>
  <c r="K79" i="46" s="1"/>
  <c r="M79" i="46" s="1"/>
  <c r="I78" i="46"/>
  <c r="J78" i="46" s="1"/>
  <c r="F78" i="46"/>
  <c r="G78" i="46" s="1"/>
  <c r="C28" i="43"/>
  <c r="D28" i="43" s="1"/>
  <c r="F28" i="43"/>
  <c r="G28" i="43" s="1"/>
  <c r="I28" i="43"/>
  <c r="J28" i="43" s="1"/>
  <c r="B83" i="43"/>
  <c r="J80" i="43"/>
  <c r="R83" i="72"/>
  <c r="M81" i="43"/>
  <c r="F81" i="43"/>
  <c r="H82" i="43"/>
  <c r="I81" i="43"/>
  <c r="E87" i="43"/>
  <c r="G80" i="43"/>
  <c r="Q83" i="72"/>
  <c r="C81" i="43"/>
  <c r="J81" i="49"/>
  <c r="R86" i="70"/>
  <c r="G80" i="49"/>
  <c r="Q85" i="70"/>
  <c r="H83" i="49"/>
  <c r="K82" i="49"/>
  <c r="I82" i="49" s="1"/>
  <c r="J80" i="49"/>
  <c r="R85" i="70"/>
  <c r="M81" i="49"/>
  <c r="F81" i="49"/>
  <c r="C81" i="49"/>
  <c r="D80" i="49"/>
  <c r="P85" i="70"/>
  <c r="K54" i="58"/>
  <c r="O54" i="58"/>
  <c r="D54" i="58"/>
  <c r="P54" i="58"/>
  <c r="G54" i="58"/>
  <c r="J54" i="58"/>
  <c r="Q54" i="58"/>
  <c r="L54" i="58"/>
  <c r="A56" i="58"/>
  <c r="F55" i="58"/>
  <c r="I55" i="58"/>
  <c r="C55" i="58"/>
  <c r="M53" i="58"/>
  <c r="N53" i="58"/>
  <c r="G39" i="64"/>
  <c r="F40" i="64"/>
  <c r="D39" i="64"/>
  <c r="C40" i="64"/>
  <c r="L39" i="64"/>
  <c r="J39" i="64"/>
  <c r="I40" i="64"/>
  <c r="I25" i="46"/>
  <c r="J25" i="46" s="1"/>
  <c r="F25" i="46"/>
  <c r="G25" i="46" s="1"/>
  <c r="C25" i="46"/>
  <c r="B81" i="46" l="1"/>
  <c r="H80" i="46"/>
  <c r="I79" i="46"/>
  <c r="J79" i="46" s="1"/>
  <c r="F79" i="46"/>
  <c r="G79" i="46" s="1"/>
  <c r="C79" i="46"/>
  <c r="D79" i="46" s="1"/>
  <c r="E81" i="46"/>
  <c r="P28" i="72"/>
  <c r="R28" i="72"/>
  <c r="L28" i="43"/>
  <c r="M28" i="43" s="1"/>
  <c r="Q28" i="72"/>
  <c r="H83" i="43"/>
  <c r="K83" i="43" s="1"/>
  <c r="G81" i="43"/>
  <c r="Q84" i="72"/>
  <c r="D81" i="43"/>
  <c r="P84" i="72"/>
  <c r="E88" i="43"/>
  <c r="B84" i="43"/>
  <c r="J81" i="43"/>
  <c r="R84" i="72"/>
  <c r="K82" i="43"/>
  <c r="I82" i="43" s="1"/>
  <c r="J82" i="49"/>
  <c r="R87" i="70"/>
  <c r="M82" i="49"/>
  <c r="F82" i="49"/>
  <c r="C82" i="49"/>
  <c r="D81" i="49"/>
  <c r="P86" i="70"/>
  <c r="G81" i="49"/>
  <c r="Q86" i="70"/>
  <c r="H84" i="49"/>
  <c r="K83" i="49"/>
  <c r="I83" i="49" s="1"/>
  <c r="K55" i="58"/>
  <c r="N54" i="58"/>
  <c r="M54" i="58"/>
  <c r="O55" i="58"/>
  <c r="D55" i="58"/>
  <c r="J55" i="58"/>
  <c r="Q55" i="58"/>
  <c r="L55" i="58"/>
  <c r="G55" i="58"/>
  <c r="P55" i="58"/>
  <c r="A57" i="58"/>
  <c r="I56" i="58"/>
  <c r="F56" i="58"/>
  <c r="C56" i="58"/>
  <c r="D25" i="46"/>
  <c r="M39" i="64"/>
  <c r="L40" i="64"/>
  <c r="L43" i="64" s="1"/>
  <c r="L25" i="46"/>
  <c r="M25" i="46" s="1"/>
  <c r="E82" i="46" l="1"/>
  <c r="H81" i="46"/>
  <c r="K81" i="46" s="1"/>
  <c r="M81" i="46" s="1"/>
  <c r="K80" i="46"/>
  <c r="I80" i="46" s="1"/>
  <c r="J80" i="46" s="1"/>
  <c r="B82" i="46"/>
  <c r="I29" i="43"/>
  <c r="J29" i="43" s="1"/>
  <c r="F29" i="43"/>
  <c r="Q29" i="72" s="1"/>
  <c r="C29" i="43"/>
  <c r="P29" i="72" s="1"/>
  <c r="E89" i="43"/>
  <c r="J82" i="43"/>
  <c r="R85" i="72"/>
  <c r="C83" i="43"/>
  <c r="M83" i="43"/>
  <c r="F83" i="43"/>
  <c r="M82" i="43"/>
  <c r="F82" i="43"/>
  <c r="C82" i="43"/>
  <c r="B85" i="43"/>
  <c r="H84" i="43"/>
  <c r="K84" i="43" s="1"/>
  <c r="I83" i="43"/>
  <c r="J83" i="49"/>
  <c r="R88" i="70"/>
  <c r="M83" i="49"/>
  <c r="F83" i="49"/>
  <c r="C83" i="49"/>
  <c r="G82" i="49"/>
  <c r="Q87" i="70"/>
  <c r="H85" i="49"/>
  <c r="K84" i="49"/>
  <c r="D82" i="49"/>
  <c r="P87" i="70"/>
  <c r="K56" i="58"/>
  <c r="P56" i="58"/>
  <c r="G56" i="58"/>
  <c r="N55" i="58"/>
  <c r="M55" i="58"/>
  <c r="Q56" i="58"/>
  <c r="L56" i="58"/>
  <c r="J56" i="58"/>
  <c r="A58" i="58"/>
  <c r="I57" i="58"/>
  <c r="F57" i="58"/>
  <c r="C57" i="58"/>
  <c r="D56" i="58"/>
  <c r="O56" i="58"/>
  <c r="F26" i="46"/>
  <c r="G26" i="46" s="1"/>
  <c r="I26" i="46"/>
  <c r="J26" i="46" s="1"/>
  <c r="C26" i="46"/>
  <c r="C81" i="46" l="1"/>
  <c r="D81" i="46" s="1"/>
  <c r="H82" i="46"/>
  <c r="K82" i="46" s="1"/>
  <c r="M82" i="46" s="1"/>
  <c r="I81" i="46"/>
  <c r="J81" i="46" s="1"/>
  <c r="B83" i="46"/>
  <c r="F81" i="46"/>
  <c r="G81" i="46" s="1"/>
  <c r="M80" i="46"/>
  <c r="F80" i="46"/>
  <c r="G80" i="46" s="1"/>
  <c r="C80" i="46"/>
  <c r="D80" i="46" s="1"/>
  <c r="E83" i="46"/>
  <c r="R29" i="72"/>
  <c r="G29" i="43"/>
  <c r="D29" i="43"/>
  <c r="L29" i="43"/>
  <c r="I30" i="43" s="1"/>
  <c r="R30" i="72" s="1"/>
  <c r="F84" i="43"/>
  <c r="M84" i="43"/>
  <c r="C84" i="43"/>
  <c r="J83" i="43"/>
  <c r="R86" i="72"/>
  <c r="B86" i="43"/>
  <c r="G83" i="43"/>
  <c r="Q86" i="72"/>
  <c r="H85" i="43"/>
  <c r="I84" i="43"/>
  <c r="D82" i="43"/>
  <c r="P85" i="72"/>
  <c r="G82" i="43"/>
  <c r="Q85" i="72"/>
  <c r="D83" i="43"/>
  <c r="P86" i="72"/>
  <c r="E90" i="43"/>
  <c r="H86" i="49"/>
  <c r="K85" i="49"/>
  <c r="G83" i="49"/>
  <c r="Q88" i="70"/>
  <c r="C84" i="49"/>
  <c r="M84" i="49"/>
  <c r="F84" i="49"/>
  <c r="I84" i="49"/>
  <c r="D83" i="49"/>
  <c r="P88" i="70"/>
  <c r="D57" i="58"/>
  <c r="O57" i="58"/>
  <c r="K57" i="58"/>
  <c r="N56" i="58"/>
  <c r="M56" i="58"/>
  <c r="G57" i="58"/>
  <c r="P57" i="58"/>
  <c r="L57" i="58"/>
  <c r="J57" i="58"/>
  <c r="Q57" i="58"/>
  <c r="A59" i="58"/>
  <c r="I58" i="58"/>
  <c r="F58" i="58"/>
  <c r="C58" i="58"/>
  <c r="D26" i="46"/>
  <c r="L26" i="46"/>
  <c r="M26" i="46" s="1"/>
  <c r="F82" i="46" l="1"/>
  <c r="G82" i="46" s="1"/>
  <c r="B84" i="46"/>
  <c r="E84" i="46"/>
  <c r="C82" i="46"/>
  <c r="D82" i="46" s="1"/>
  <c r="H83" i="46"/>
  <c r="I82" i="46"/>
  <c r="J82" i="46" s="1"/>
  <c r="C30" i="43"/>
  <c r="D30" i="43" s="1"/>
  <c r="J30" i="43"/>
  <c r="F30" i="43"/>
  <c r="Q30" i="72" s="1"/>
  <c r="M29" i="43"/>
  <c r="J84" i="43"/>
  <c r="R87" i="72"/>
  <c r="E91" i="43"/>
  <c r="H86" i="43"/>
  <c r="K86" i="43" s="1"/>
  <c r="C86" i="43" s="1"/>
  <c r="K85" i="43"/>
  <c r="D84" i="43"/>
  <c r="P87" i="72"/>
  <c r="B87" i="43"/>
  <c r="G84" i="43"/>
  <c r="Q87" i="72"/>
  <c r="G84" i="49"/>
  <c r="Q89" i="70"/>
  <c r="J84" i="49"/>
  <c r="R89" i="70"/>
  <c r="I85" i="49"/>
  <c r="C85" i="49"/>
  <c r="M85" i="49"/>
  <c r="F85" i="49"/>
  <c r="D84" i="49"/>
  <c r="P89" i="70"/>
  <c r="H87" i="49"/>
  <c r="K86" i="49"/>
  <c r="I86" i="49" s="1"/>
  <c r="K58" i="58"/>
  <c r="O58" i="58"/>
  <c r="D58" i="58"/>
  <c r="G58" i="58"/>
  <c r="P58" i="58"/>
  <c r="M57" i="58"/>
  <c r="N57" i="58"/>
  <c r="Q58" i="58"/>
  <c r="L58" i="58"/>
  <c r="J58" i="58"/>
  <c r="A60" i="58"/>
  <c r="I59" i="58"/>
  <c r="F59" i="58"/>
  <c r="C59" i="58"/>
  <c r="C27" i="46"/>
  <c r="D27" i="46" s="1"/>
  <c r="I27" i="46"/>
  <c r="J27" i="46" s="1"/>
  <c r="F27" i="46"/>
  <c r="G27" i="46" s="1"/>
  <c r="H84" i="46" l="1"/>
  <c r="K84" i="46" s="1"/>
  <c r="M84" i="46" s="1"/>
  <c r="K83" i="46"/>
  <c r="B85" i="46"/>
  <c r="E85" i="46"/>
  <c r="L30" i="43"/>
  <c r="C31" i="43" s="1"/>
  <c r="D31" i="43" s="1"/>
  <c r="P30" i="72"/>
  <c r="G30" i="43"/>
  <c r="M86" i="43"/>
  <c r="F86" i="43"/>
  <c r="M85" i="43"/>
  <c r="F85" i="43"/>
  <c r="C85" i="43"/>
  <c r="E92" i="43"/>
  <c r="B88" i="43"/>
  <c r="I85" i="43"/>
  <c r="D86" i="43"/>
  <c r="P89" i="72"/>
  <c r="H87" i="43"/>
  <c r="I86" i="43"/>
  <c r="J86" i="49"/>
  <c r="R91" i="70"/>
  <c r="G85" i="49"/>
  <c r="Q90" i="70"/>
  <c r="H88" i="49"/>
  <c r="K87" i="49"/>
  <c r="D85" i="49"/>
  <c r="P90" i="70"/>
  <c r="C86" i="49"/>
  <c r="M86" i="49"/>
  <c r="F86" i="49"/>
  <c r="J85" i="49"/>
  <c r="R90" i="70"/>
  <c r="K59" i="58"/>
  <c r="P59" i="58"/>
  <c r="G59" i="58"/>
  <c r="M58" i="58"/>
  <c r="N58" i="58"/>
  <c r="A61" i="58"/>
  <c r="I60" i="58"/>
  <c r="F60" i="58"/>
  <c r="C60" i="58"/>
  <c r="Q59" i="58"/>
  <c r="L59" i="58"/>
  <c r="J59" i="58"/>
  <c r="O59" i="58"/>
  <c r="D59" i="58"/>
  <c r="L27" i="46"/>
  <c r="F84" i="46" l="1"/>
  <c r="G84" i="46" s="1"/>
  <c r="M83" i="46"/>
  <c r="F83" i="46"/>
  <c r="G83" i="46" s="1"/>
  <c r="C83" i="46"/>
  <c r="D83" i="46" s="1"/>
  <c r="I83" i="46"/>
  <c r="J83" i="46" s="1"/>
  <c r="B86" i="46"/>
  <c r="E86" i="46"/>
  <c r="C84" i="46"/>
  <c r="D84" i="46" s="1"/>
  <c r="H85" i="46"/>
  <c r="K85" i="46" s="1"/>
  <c r="M85" i="46" s="1"/>
  <c r="I84" i="46"/>
  <c r="J84" i="46" s="1"/>
  <c r="P31" i="72"/>
  <c r="F31" i="43"/>
  <c r="Q31" i="72" s="1"/>
  <c r="I31" i="43"/>
  <c r="R31" i="72" s="1"/>
  <c r="M30" i="43"/>
  <c r="B89" i="43"/>
  <c r="G85" i="43"/>
  <c r="Q88" i="72"/>
  <c r="J86" i="43"/>
  <c r="R89" i="72"/>
  <c r="J85" i="43"/>
  <c r="R88" i="72"/>
  <c r="E93" i="43"/>
  <c r="G86" i="43"/>
  <c r="Q89" i="72"/>
  <c r="H88" i="43"/>
  <c r="K87" i="43"/>
  <c r="D85" i="43"/>
  <c r="P88" i="72"/>
  <c r="M87" i="49"/>
  <c r="F87" i="49"/>
  <c r="C87" i="49"/>
  <c r="I87" i="49"/>
  <c r="G86" i="49"/>
  <c r="Q91" i="70"/>
  <c r="D86" i="49"/>
  <c r="P91" i="70"/>
  <c r="H89" i="49"/>
  <c r="K88" i="49"/>
  <c r="I88" i="49" s="1"/>
  <c r="D60" i="58"/>
  <c r="O60" i="58"/>
  <c r="K60" i="58"/>
  <c r="G60" i="58"/>
  <c r="P60" i="58"/>
  <c r="M59" i="58"/>
  <c r="N59" i="58"/>
  <c r="J60" i="58"/>
  <c r="Q60" i="58"/>
  <c r="L60" i="58"/>
  <c r="A62" i="58"/>
  <c r="I61" i="58"/>
  <c r="F61" i="58"/>
  <c r="C61" i="58"/>
  <c r="F28" i="46"/>
  <c r="G28" i="46" s="1"/>
  <c r="M27" i="46"/>
  <c r="I28" i="46"/>
  <c r="J28" i="46" s="1"/>
  <c r="C28" i="46"/>
  <c r="E87" i="46" l="1"/>
  <c r="H86" i="46"/>
  <c r="K86" i="46" s="1"/>
  <c r="I85" i="46"/>
  <c r="J85" i="46" s="1"/>
  <c r="C85" i="46"/>
  <c r="D85" i="46" s="1"/>
  <c r="F85" i="46"/>
  <c r="G85" i="46" s="1"/>
  <c r="B87" i="46"/>
  <c r="G31" i="43"/>
  <c r="L31" i="43"/>
  <c r="F32" i="43" s="1"/>
  <c r="G32" i="43" s="1"/>
  <c r="J31" i="43"/>
  <c r="B90" i="43"/>
  <c r="H89" i="43"/>
  <c r="E94" i="43"/>
  <c r="E95" i="43" s="1"/>
  <c r="C87" i="43"/>
  <c r="M87" i="43"/>
  <c r="F87" i="43"/>
  <c r="I87" i="43"/>
  <c r="K88" i="43"/>
  <c r="I88" i="43" s="1"/>
  <c r="G87" i="49"/>
  <c r="Q92" i="70"/>
  <c r="H90" i="49"/>
  <c r="K89" i="49"/>
  <c r="I89" i="49" s="1"/>
  <c r="J87" i="49"/>
  <c r="R92" i="70"/>
  <c r="J88" i="49"/>
  <c r="R93" i="70"/>
  <c r="D87" i="49"/>
  <c r="P92" i="70"/>
  <c r="M88" i="49"/>
  <c r="C88" i="49"/>
  <c r="F88" i="49"/>
  <c r="P61" i="58"/>
  <c r="G61" i="58"/>
  <c r="K61" i="58"/>
  <c r="A63" i="58"/>
  <c r="I62" i="58"/>
  <c r="F62" i="58"/>
  <c r="C62" i="58"/>
  <c r="J61" i="58"/>
  <c r="Q61" i="58"/>
  <c r="L61" i="58"/>
  <c r="N60" i="58"/>
  <c r="M60" i="58"/>
  <c r="D61" i="58"/>
  <c r="O61" i="58"/>
  <c r="D28" i="46"/>
  <c r="L28" i="46"/>
  <c r="I29" i="46" s="1"/>
  <c r="J29" i="46" s="1"/>
  <c r="M86" i="46" l="1"/>
  <c r="F86" i="46"/>
  <c r="G86" i="46" s="1"/>
  <c r="C86" i="46"/>
  <c r="D86" i="46" s="1"/>
  <c r="E88" i="46"/>
  <c r="B88" i="46"/>
  <c r="H87" i="46"/>
  <c r="I86" i="46"/>
  <c r="J86" i="46" s="1"/>
  <c r="I32" i="43"/>
  <c r="R32" i="72" s="1"/>
  <c r="M31" i="43"/>
  <c r="Q32" i="72"/>
  <c r="C32" i="43"/>
  <c r="P32" i="72" s="1"/>
  <c r="M88" i="43"/>
  <c r="F88" i="43"/>
  <c r="C88" i="43"/>
  <c r="D87" i="43"/>
  <c r="P90" i="72"/>
  <c r="H90" i="43"/>
  <c r="K90" i="43" s="1"/>
  <c r="J87" i="43"/>
  <c r="R90" i="72"/>
  <c r="K89" i="43"/>
  <c r="I89" i="43" s="1"/>
  <c r="J88" i="43"/>
  <c r="R91" i="72"/>
  <c r="G87" i="43"/>
  <c r="Q90" i="72"/>
  <c r="E96" i="43"/>
  <c r="B91" i="43"/>
  <c r="J89" i="49"/>
  <c r="R94" i="70"/>
  <c r="H91" i="49"/>
  <c r="K90" i="49"/>
  <c r="I90" i="49" s="1"/>
  <c r="G88" i="49"/>
  <c r="Q93" i="70"/>
  <c r="D88" i="49"/>
  <c r="P93" i="70"/>
  <c r="M89" i="49"/>
  <c r="F89" i="49"/>
  <c r="C89" i="49"/>
  <c r="L62" i="58"/>
  <c r="Q62" i="58"/>
  <c r="J62" i="58"/>
  <c r="A64" i="58"/>
  <c r="F63" i="58"/>
  <c r="I63" i="58"/>
  <c r="C63" i="58"/>
  <c r="D62" i="58"/>
  <c r="O62" i="58"/>
  <c r="K62" i="58"/>
  <c r="M61" i="58"/>
  <c r="N61" i="58"/>
  <c r="G62" i="58"/>
  <c r="P62" i="58"/>
  <c r="M28" i="46"/>
  <c r="F29" i="46"/>
  <c r="G29" i="46" s="1"/>
  <c r="C29" i="46"/>
  <c r="H88" i="46" l="1"/>
  <c r="E89" i="46"/>
  <c r="K87" i="46"/>
  <c r="I87" i="46" s="1"/>
  <c r="J87" i="46" s="1"/>
  <c r="B89" i="46"/>
  <c r="K88" i="46"/>
  <c r="M88" i="46" s="1"/>
  <c r="J32" i="43"/>
  <c r="L32" i="43"/>
  <c r="F33" i="43" s="1"/>
  <c r="Q33" i="72" s="1"/>
  <c r="D32" i="43"/>
  <c r="J89" i="43"/>
  <c r="R92" i="72"/>
  <c r="E97" i="43"/>
  <c r="D88" i="43"/>
  <c r="P91" i="72"/>
  <c r="B92" i="43"/>
  <c r="C89" i="43"/>
  <c r="M89" i="43"/>
  <c r="F89" i="43"/>
  <c r="H91" i="43"/>
  <c r="K91" i="43" s="1"/>
  <c r="I90" i="43"/>
  <c r="G88" i="43"/>
  <c r="Q91" i="72"/>
  <c r="C90" i="43"/>
  <c r="M90" i="43"/>
  <c r="F90" i="43"/>
  <c r="D89" i="49"/>
  <c r="P94" i="70"/>
  <c r="J90" i="49"/>
  <c r="R95" i="70"/>
  <c r="G89" i="49"/>
  <c r="Q94" i="70"/>
  <c r="H92" i="49"/>
  <c r="K91" i="49"/>
  <c r="C90" i="49"/>
  <c r="M90" i="49"/>
  <c r="F90" i="49"/>
  <c r="P63" i="58"/>
  <c r="G63" i="58"/>
  <c r="A65" i="58"/>
  <c r="I64" i="58"/>
  <c r="F64" i="58"/>
  <c r="C64" i="58"/>
  <c r="O63" i="58"/>
  <c r="D63" i="58"/>
  <c r="K63" i="58"/>
  <c r="L63" i="58"/>
  <c r="J63" i="58"/>
  <c r="Q63" i="58"/>
  <c r="M62" i="58"/>
  <c r="N62" i="58"/>
  <c r="D29" i="46"/>
  <c r="L29" i="46"/>
  <c r="M29" i="46" s="1"/>
  <c r="C33" i="43"/>
  <c r="P33" i="72" s="1"/>
  <c r="M32" i="43" l="1"/>
  <c r="F88" i="46"/>
  <c r="G88" i="46" s="1"/>
  <c r="C88" i="46"/>
  <c r="D88" i="46" s="1"/>
  <c r="E90" i="46"/>
  <c r="B90" i="46"/>
  <c r="M87" i="46"/>
  <c r="F87" i="46"/>
  <c r="G87" i="46" s="1"/>
  <c r="C87" i="46"/>
  <c r="D87" i="46" s="1"/>
  <c r="H89" i="46"/>
  <c r="K89" i="46" s="1"/>
  <c r="I88" i="46"/>
  <c r="J88" i="46" s="1"/>
  <c r="I33" i="43"/>
  <c r="R33" i="72" s="1"/>
  <c r="G89" i="43"/>
  <c r="Q92" i="72"/>
  <c r="M91" i="43"/>
  <c r="F91" i="43"/>
  <c r="G90" i="43"/>
  <c r="Q93" i="72"/>
  <c r="B93" i="43"/>
  <c r="J90" i="43"/>
  <c r="R93" i="72"/>
  <c r="D89" i="43"/>
  <c r="P92" i="72"/>
  <c r="D90" i="43"/>
  <c r="P93" i="72"/>
  <c r="H92" i="43"/>
  <c r="K92" i="43" s="1"/>
  <c r="I91" i="43"/>
  <c r="C91" i="43"/>
  <c r="G90" i="49"/>
  <c r="Q95" i="70"/>
  <c r="I91" i="49"/>
  <c r="F91" i="49"/>
  <c r="C91" i="49"/>
  <c r="M91" i="49"/>
  <c r="H93" i="49"/>
  <c r="K92" i="49"/>
  <c r="I92" i="49" s="1"/>
  <c r="D90" i="49"/>
  <c r="P95" i="70"/>
  <c r="K64" i="58"/>
  <c r="N63" i="58"/>
  <c r="M63" i="58"/>
  <c r="P64" i="58"/>
  <c r="G64" i="58"/>
  <c r="Q64" i="58"/>
  <c r="L64" i="58"/>
  <c r="J64" i="58"/>
  <c r="A66" i="58"/>
  <c r="I65" i="58"/>
  <c r="F65" i="58"/>
  <c r="C65" i="58"/>
  <c r="D64" i="58"/>
  <c r="O64" i="58"/>
  <c r="I30" i="46"/>
  <c r="J30" i="46" s="1"/>
  <c r="F30" i="46"/>
  <c r="G30" i="46" s="1"/>
  <c r="C30" i="46"/>
  <c r="G33" i="43"/>
  <c r="D33" i="43"/>
  <c r="J33" i="43"/>
  <c r="M89" i="46" l="1"/>
  <c r="F89" i="46"/>
  <c r="G89" i="46" s="1"/>
  <c r="H90" i="46"/>
  <c r="K90" i="46" s="1"/>
  <c r="M90" i="46" s="1"/>
  <c r="I89" i="46"/>
  <c r="J89" i="46" s="1"/>
  <c r="C89" i="46"/>
  <c r="D89" i="46" s="1"/>
  <c r="E91" i="46"/>
  <c r="B91" i="46"/>
  <c r="L33" i="43"/>
  <c r="M33" i="43" s="1"/>
  <c r="G91" i="43"/>
  <c r="Q94" i="72"/>
  <c r="D91" i="43"/>
  <c r="P94" i="72"/>
  <c r="B94" i="43"/>
  <c r="J91" i="43"/>
  <c r="R94" i="72"/>
  <c r="M92" i="43"/>
  <c r="F92" i="43"/>
  <c r="H93" i="43"/>
  <c r="I92" i="43"/>
  <c r="C92" i="43"/>
  <c r="H94" i="49"/>
  <c r="K93" i="49"/>
  <c r="J92" i="49"/>
  <c r="R97" i="70"/>
  <c r="G91" i="49"/>
  <c r="Q96" i="70"/>
  <c r="J91" i="49"/>
  <c r="R96" i="70"/>
  <c r="M92" i="49"/>
  <c r="F92" i="49"/>
  <c r="C92" i="49"/>
  <c r="D91" i="49"/>
  <c r="P96" i="70"/>
  <c r="K65" i="58"/>
  <c r="L65" i="58"/>
  <c r="J65" i="58"/>
  <c r="Q65" i="58"/>
  <c r="A67" i="58"/>
  <c r="F66" i="58"/>
  <c r="I66" i="58"/>
  <c r="C66" i="58"/>
  <c r="O65" i="58"/>
  <c r="D65" i="58"/>
  <c r="N64" i="58"/>
  <c r="M64" i="58"/>
  <c r="P65" i="58"/>
  <c r="G65" i="58"/>
  <c r="D30" i="46"/>
  <c r="L30" i="46"/>
  <c r="I31" i="46" s="1"/>
  <c r="J31" i="46" s="1"/>
  <c r="I34" i="43" l="1"/>
  <c r="R34" i="72" s="1"/>
  <c r="C90" i="46"/>
  <c r="D90" i="46" s="1"/>
  <c r="E92" i="46"/>
  <c r="B92" i="46"/>
  <c r="F90" i="46"/>
  <c r="G90" i="46" s="1"/>
  <c r="H91" i="46"/>
  <c r="K91" i="46" s="1"/>
  <c r="M91" i="46" s="1"/>
  <c r="I90" i="46"/>
  <c r="J90" i="46" s="1"/>
  <c r="C34" i="43"/>
  <c r="P34" i="72" s="1"/>
  <c r="F34" i="43"/>
  <c r="Q34" i="72" s="1"/>
  <c r="H94" i="43"/>
  <c r="G92" i="43"/>
  <c r="Q95" i="72"/>
  <c r="K93" i="43"/>
  <c r="I93" i="43" s="1"/>
  <c r="J92" i="43"/>
  <c r="R95" i="72"/>
  <c r="D92" i="43"/>
  <c r="P95" i="72"/>
  <c r="K94" i="43"/>
  <c r="C94" i="43" s="1"/>
  <c r="B95" i="43"/>
  <c r="G92" i="49"/>
  <c r="Q97" i="70"/>
  <c r="M93" i="49"/>
  <c r="F93" i="49"/>
  <c r="C93" i="49"/>
  <c r="I93" i="49"/>
  <c r="D92" i="49"/>
  <c r="P97" i="70"/>
  <c r="H95" i="49"/>
  <c r="K94" i="49"/>
  <c r="I94" i="49" s="1"/>
  <c r="P66" i="58"/>
  <c r="G66" i="58"/>
  <c r="A68" i="58"/>
  <c r="F67" i="58"/>
  <c r="I67" i="58"/>
  <c r="C67" i="58"/>
  <c r="O66" i="58"/>
  <c r="D66" i="58"/>
  <c r="K66" i="58"/>
  <c r="J66" i="58"/>
  <c r="L66" i="58"/>
  <c r="Q66" i="58"/>
  <c r="N65" i="58"/>
  <c r="M65" i="58"/>
  <c r="M30" i="46"/>
  <c r="C31" i="46"/>
  <c r="F31" i="46"/>
  <c r="G31" i="46" s="1"/>
  <c r="J34" i="43" l="1"/>
  <c r="G34" i="43"/>
  <c r="C91" i="46"/>
  <c r="D91" i="46" s="1"/>
  <c r="H92" i="46"/>
  <c r="K92" i="46" s="1"/>
  <c r="I91" i="46"/>
  <c r="J91" i="46" s="1"/>
  <c r="B93" i="46"/>
  <c r="E93" i="46"/>
  <c r="F91" i="46"/>
  <c r="G91" i="46" s="1"/>
  <c r="D34" i="43"/>
  <c r="L34" i="43"/>
  <c r="M34" i="43" s="1"/>
  <c r="D94" i="43"/>
  <c r="P97" i="72"/>
  <c r="B96" i="43"/>
  <c r="F94" i="43"/>
  <c r="M94" i="43"/>
  <c r="J93" i="43"/>
  <c r="R96" i="72"/>
  <c r="C93" i="43"/>
  <c r="M93" i="43"/>
  <c r="F93" i="43"/>
  <c r="H95" i="43"/>
  <c r="K95" i="43" s="1"/>
  <c r="I94" i="43"/>
  <c r="J94" i="49"/>
  <c r="R99" i="70"/>
  <c r="G93" i="49"/>
  <c r="Q98" i="70"/>
  <c r="M94" i="49"/>
  <c r="F94" i="49"/>
  <c r="C94" i="49"/>
  <c r="J93" i="49"/>
  <c r="R98" i="70"/>
  <c r="K95" i="49"/>
  <c r="D93" i="49"/>
  <c r="P98" i="70"/>
  <c r="K67" i="58"/>
  <c r="L67" i="58"/>
  <c r="J67" i="58"/>
  <c r="Q67" i="58"/>
  <c r="A69" i="58"/>
  <c r="I68" i="58"/>
  <c r="F68" i="58"/>
  <c r="C68" i="58"/>
  <c r="P67" i="58"/>
  <c r="G67" i="58"/>
  <c r="N66" i="58"/>
  <c r="M66" i="58"/>
  <c r="D67" i="58"/>
  <c r="O67" i="58"/>
  <c r="D31" i="46"/>
  <c r="L31" i="46"/>
  <c r="F32" i="46" s="1"/>
  <c r="G32" i="46" s="1"/>
  <c r="M92" i="46" l="1"/>
  <c r="F92" i="46"/>
  <c r="G92" i="46" s="1"/>
  <c r="C35" i="43"/>
  <c r="D35" i="43" s="1"/>
  <c r="C92" i="46"/>
  <c r="D92" i="46" s="1"/>
  <c r="E94" i="46"/>
  <c r="B94" i="46"/>
  <c r="H93" i="46"/>
  <c r="K93" i="46" s="1"/>
  <c r="I92" i="46"/>
  <c r="J92" i="46" s="1"/>
  <c r="F35" i="43"/>
  <c r="Q35" i="72" s="1"/>
  <c r="I35" i="43"/>
  <c r="R35" i="72" s="1"/>
  <c r="B97" i="43"/>
  <c r="M95" i="43"/>
  <c r="F95" i="43"/>
  <c r="J94" i="43"/>
  <c r="R97" i="72"/>
  <c r="D93" i="43"/>
  <c r="P96" i="72"/>
  <c r="G94" i="43"/>
  <c r="Q97" i="72"/>
  <c r="G93" i="43"/>
  <c r="Q96" i="72"/>
  <c r="H96" i="43"/>
  <c r="K96" i="43" s="1"/>
  <c r="I95" i="43"/>
  <c r="C95" i="43"/>
  <c r="G35" i="43"/>
  <c r="M95" i="49"/>
  <c r="F95" i="49"/>
  <c r="C95" i="49"/>
  <c r="D94" i="49"/>
  <c r="P99" i="70"/>
  <c r="I95" i="49"/>
  <c r="G94" i="49"/>
  <c r="Q99" i="70"/>
  <c r="Q68" i="58"/>
  <c r="L68" i="58"/>
  <c r="J68" i="58"/>
  <c r="A70" i="58"/>
  <c r="I69" i="58"/>
  <c r="F69" i="58"/>
  <c r="C69" i="58"/>
  <c r="O68" i="58"/>
  <c r="D68" i="58"/>
  <c r="K68" i="58"/>
  <c r="P68" i="58"/>
  <c r="G68" i="58"/>
  <c r="N67" i="58"/>
  <c r="M67" i="58"/>
  <c r="C32" i="46"/>
  <c r="M31" i="46"/>
  <c r="I32" i="46"/>
  <c r="J32" i="46" s="1"/>
  <c r="P35" i="72" l="1"/>
  <c r="J35" i="43"/>
  <c r="M93" i="46"/>
  <c r="F93" i="46"/>
  <c r="G93" i="46" s="1"/>
  <c r="C93" i="46"/>
  <c r="D93" i="46" s="1"/>
  <c r="H94" i="46"/>
  <c r="K94" i="46" s="1"/>
  <c r="M94" i="46" s="1"/>
  <c r="I93" i="46"/>
  <c r="J93" i="46" s="1"/>
  <c r="L35" i="43"/>
  <c r="I36" i="43" s="1"/>
  <c r="R36" i="72" s="1"/>
  <c r="M96" i="43"/>
  <c r="F96" i="43"/>
  <c r="C96" i="43"/>
  <c r="D95" i="43"/>
  <c r="P98" i="72"/>
  <c r="J95" i="43"/>
  <c r="R98" i="72"/>
  <c r="H97" i="43"/>
  <c r="K97" i="43" s="1"/>
  <c r="I96" i="43"/>
  <c r="G95" i="43"/>
  <c r="Q98" i="72"/>
  <c r="D95" i="49"/>
  <c r="C96" i="49"/>
  <c r="C98" i="49" s="1"/>
  <c r="P100" i="70"/>
  <c r="J95" i="49"/>
  <c r="I96" i="49"/>
  <c r="I98" i="49" s="1"/>
  <c r="R100" i="70"/>
  <c r="G95" i="49"/>
  <c r="F96" i="49"/>
  <c r="F98" i="49" s="1"/>
  <c r="Q100" i="70"/>
  <c r="K69" i="58"/>
  <c r="J69" i="58"/>
  <c r="Q69" i="58"/>
  <c r="L69" i="58"/>
  <c r="A71" i="58"/>
  <c r="I70" i="58"/>
  <c r="F70" i="58"/>
  <c r="C70" i="58"/>
  <c r="D69" i="58"/>
  <c r="O69" i="58"/>
  <c r="M68" i="58"/>
  <c r="N68" i="58"/>
  <c r="P69" i="58"/>
  <c r="G69" i="58"/>
  <c r="D32" i="46"/>
  <c r="L32" i="46"/>
  <c r="C33" i="46" s="1"/>
  <c r="F94" i="46" l="1"/>
  <c r="I94" i="46"/>
  <c r="C94" i="46"/>
  <c r="J36" i="43"/>
  <c r="C36" i="43"/>
  <c r="D36" i="43" s="1"/>
  <c r="M35" i="43"/>
  <c r="F36" i="43"/>
  <c r="G36" i="43" s="1"/>
  <c r="M97" i="43"/>
  <c r="F97" i="43"/>
  <c r="I97" i="43"/>
  <c r="D96" i="43"/>
  <c r="P99" i="72"/>
  <c r="G96" i="43"/>
  <c r="Q99" i="72"/>
  <c r="C97" i="43"/>
  <c r="J96" i="43"/>
  <c r="R99" i="72"/>
  <c r="P101" i="70"/>
  <c r="R101" i="70"/>
  <c r="R103" i="70" s="1"/>
  <c r="Q101" i="70"/>
  <c r="Q103" i="70" s="1"/>
  <c r="K70" i="58"/>
  <c r="M69" i="58"/>
  <c r="N69" i="58"/>
  <c r="O70" i="58"/>
  <c r="D70" i="58"/>
  <c r="P70" i="58"/>
  <c r="G70" i="58"/>
  <c r="Q70" i="58"/>
  <c r="L70" i="58"/>
  <c r="J70" i="58"/>
  <c r="A72" i="58"/>
  <c r="F71" i="58"/>
  <c r="I71" i="58"/>
  <c r="C71" i="58"/>
  <c r="D33" i="46"/>
  <c r="F33" i="46"/>
  <c r="G33" i="46" s="1"/>
  <c r="M32" i="46"/>
  <c r="I33" i="46"/>
  <c r="J33" i="46" s="1"/>
  <c r="D94" i="46" l="1"/>
  <c r="C95" i="46"/>
  <c r="J94" i="46"/>
  <c r="I95" i="46"/>
  <c r="G94" i="46"/>
  <c r="F95" i="46"/>
  <c r="P36" i="72"/>
  <c r="L36" i="43"/>
  <c r="M36" i="43" s="1"/>
  <c r="Q36" i="72"/>
  <c r="D97" i="43"/>
  <c r="C98" i="43"/>
  <c r="P100" i="72"/>
  <c r="J97" i="43"/>
  <c r="I98" i="43"/>
  <c r="R100" i="72"/>
  <c r="G97" i="43"/>
  <c r="Q100" i="72"/>
  <c r="F98" i="43"/>
  <c r="P102" i="70"/>
  <c r="P103" i="70"/>
  <c r="S101" i="70"/>
  <c r="O71" i="58"/>
  <c r="D71" i="58"/>
  <c r="K71" i="58"/>
  <c r="N70" i="58"/>
  <c r="M70" i="58"/>
  <c r="L71" i="58"/>
  <c r="J71" i="58"/>
  <c r="Q71" i="58"/>
  <c r="G71" i="58"/>
  <c r="P71" i="58"/>
  <c r="A73" i="58"/>
  <c r="I72" i="58"/>
  <c r="F72" i="58"/>
  <c r="C72" i="58"/>
  <c r="L33" i="46"/>
  <c r="I37" i="43" l="1"/>
  <c r="R37" i="72" s="1"/>
  <c r="F37" i="43"/>
  <c r="G37" i="43" s="1"/>
  <c r="C37" i="43"/>
  <c r="D37" i="43" s="1"/>
  <c r="K72" i="58"/>
  <c r="D72" i="58"/>
  <c r="O72" i="58"/>
  <c r="P72" i="58"/>
  <c r="G72" i="58"/>
  <c r="J72" i="58"/>
  <c r="Q72" i="58"/>
  <c r="L72" i="58"/>
  <c r="A74" i="58"/>
  <c r="I73" i="58"/>
  <c r="F73" i="58"/>
  <c r="C73" i="58"/>
  <c r="M71" i="58"/>
  <c r="N71" i="58"/>
  <c r="F34" i="46"/>
  <c r="G34" i="46" s="1"/>
  <c r="C34" i="46"/>
  <c r="M33" i="46"/>
  <c r="I34" i="46"/>
  <c r="J34" i="46" s="1"/>
  <c r="J37" i="43" l="1"/>
  <c r="Q37" i="72"/>
  <c r="L37" i="43"/>
  <c r="M37" i="43" s="1"/>
  <c r="P37" i="72"/>
  <c r="G73" i="58"/>
  <c r="P73" i="58"/>
  <c r="J73" i="58"/>
  <c r="L73" i="58"/>
  <c r="Q73" i="58"/>
  <c r="A75" i="58"/>
  <c r="I74" i="58"/>
  <c r="F74" i="58"/>
  <c r="C74" i="58"/>
  <c r="M72" i="58"/>
  <c r="N72" i="58"/>
  <c r="O73" i="58"/>
  <c r="D73" i="58"/>
  <c r="K73" i="58"/>
  <c r="D34" i="46"/>
  <c r="L34" i="46"/>
  <c r="F35" i="46" s="1"/>
  <c r="G35" i="46" s="1"/>
  <c r="C38" i="43" l="1"/>
  <c r="D38" i="43" s="1"/>
  <c r="I38" i="43"/>
  <c r="J38" i="43" s="1"/>
  <c r="F38" i="43"/>
  <c r="G38" i="43" s="1"/>
  <c r="D74" i="58"/>
  <c r="O74" i="58"/>
  <c r="K74" i="58"/>
  <c r="N73" i="58"/>
  <c r="M73" i="58"/>
  <c r="G74" i="58"/>
  <c r="P74" i="58"/>
  <c r="Q74" i="58"/>
  <c r="L74" i="58"/>
  <c r="J74" i="58"/>
  <c r="A76" i="58"/>
  <c r="I75" i="58"/>
  <c r="F75" i="58"/>
  <c r="C75" i="58"/>
  <c r="C35" i="46"/>
  <c r="I35" i="46"/>
  <c r="M34" i="46"/>
  <c r="P38" i="72" l="1"/>
  <c r="L38" i="43"/>
  <c r="M38" i="43" s="1"/>
  <c r="R38" i="72"/>
  <c r="Q38" i="72"/>
  <c r="K75" i="58"/>
  <c r="D75" i="58"/>
  <c r="O75" i="58"/>
  <c r="N74" i="58"/>
  <c r="M74" i="58"/>
  <c r="G75" i="58"/>
  <c r="P75" i="58"/>
  <c r="L75" i="58"/>
  <c r="J75" i="58"/>
  <c r="Q75" i="58"/>
  <c r="A77" i="58"/>
  <c r="I76" i="58"/>
  <c r="F76" i="58"/>
  <c r="C76" i="58"/>
  <c r="L35" i="46"/>
  <c r="I36" i="46" s="1"/>
  <c r="J36" i="46" s="1"/>
  <c r="D35" i="46"/>
  <c r="J35" i="46"/>
  <c r="C39" i="43"/>
  <c r="F39" i="43"/>
  <c r="Q39" i="72" s="1"/>
  <c r="I39" i="43"/>
  <c r="J39" i="43" l="1"/>
  <c r="R39" i="72"/>
  <c r="D39" i="43"/>
  <c r="P39" i="72"/>
  <c r="D76" i="58"/>
  <c r="O76" i="58"/>
  <c r="K76" i="58"/>
  <c r="P76" i="58"/>
  <c r="G76" i="58"/>
  <c r="N75" i="58"/>
  <c r="M75" i="58"/>
  <c r="L76" i="58"/>
  <c r="J76" i="58"/>
  <c r="Q76" i="58"/>
  <c r="A78" i="58"/>
  <c r="I77" i="58"/>
  <c r="F77" i="58"/>
  <c r="C77" i="58"/>
  <c r="F36" i="46"/>
  <c r="G36" i="46" s="1"/>
  <c r="M35" i="46"/>
  <c r="C36" i="46"/>
  <c r="D36" i="46" s="1"/>
  <c r="L39" i="43"/>
  <c r="M39" i="43" s="1"/>
  <c r="G39" i="43"/>
  <c r="O77" i="58" l="1"/>
  <c r="D77" i="58"/>
  <c r="P77" i="58"/>
  <c r="G77" i="58"/>
  <c r="K77" i="58"/>
  <c r="M76" i="58"/>
  <c r="N76" i="58"/>
  <c r="L77" i="58"/>
  <c r="Q77" i="58"/>
  <c r="J77" i="58"/>
  <c r="A79" i="58"/>
  <c r="I78" i="58"/>
  <c r="F78" i="58"/>
  <c r="C78" i="58"/>
  <c r="L36" i="46"/>
  <c r="M36" i="46" s="1"/>
  <c r="F40" i="43"/>
  <c r="C40" i="43"/>
  <c r="I40" i="43"/>
  <c r="G40" i="43" l="1"/>
  <c r="Q40" i="72"/>
  <c r="D40" i="43"/>
  <c r="P40" i="72"/>
  <c r="J40" i="43"/>
  <c r="R40" i="72"/>
  <c r="K78" i="58"/>
  <c r="P78" i="58"/>
  <c r="G78" i="58"/>
  <c r="N77" i="58"/>
  <c r="M77" i="58"/>
  <c r="A80" i="58"/>
  <c r="F79" i="58"/>
  <c r="I79" i="58"/>
  <c r="C79" i="58"/>
  <c r="Q78" i="58"/>
  <c r="L78" i="58"/>
  <c r="J78" i="58"/>
  <c r="O78" i="58"/>
  <c r="D78" i="58"/>
  <c r="C37" i="46"/>
  <c r="D37" i="46" s="1"/>
  <c r="F37" i="46"/>
  <c r="G37" i="46" s="1"/>
  <c r="I37" i="46"/>
  <c r="J37" i="46" s="1"/>
  <c r="L40" i="43"/>
  <c r="F41" i="43" s="1"/>
  <c r="Q41" i="72" s="1"/>
  <c r="P20" i="61"/>
  <c r="Q20" i="61" s="1"/>
  <c r="P30" i="61"/>
  <c r="Q30" i="61" s="1"/>
  <c r="P15" i="61"/>
  <c r="Q15" i="61" s="1"/>
  <c r="P41" i="61"/>
  <c r="Q41" i="61" s="1"/>
  <c r="P21" i="61"/>
  <c r="Q21" i="61" s="1"/>
  <c r="P32" i="61"/>
  <c r="Q32" i="61" s="1"/>
  <c r="P35" i="61"/>
  <c r="Q35" i="61" s="1"/>
  <c r="P25" i="61"/>
  <c r="Q25" i="61" s="1"/>
  <c r="P22" i="61"/>
  <c r="Q22" i="61" s="1"/>
  <c r="P16" i="61"/>
  <c r="Q16" i="61" s="1"/>
  <c r="P33" i="61"/>
  <c r="Q33" i="61" s="1"/>
  <c r="P38" i="61"/>
  <c r="Q38" i="61" s="1"/>
  <c r="P40" i="61"/>
  <c r="Q40" i="61" s="1"/>
  <c r="P17" i="61"/>
  <c r="Q17" i="61" s="1"/>
  <c r="P26" i="61"/>
  <c r="Q26" i="61" s="1"/>
  <c r="P28" i="61"/>
  <c r="Q28" i="61" s="1"/>
  <c r="P27" i="61"/>
  <c r="Q27" i="61" s="1"/>
  <c r="P43" i="61"/>
  <c r="Q43" i="61" s="1"/>
  <c r="P36" i="61"/>
  <c r="Q36" i="61" s="1"/>
  <c r="P39" i="61"/>
  <c r="Q39" i="61" s="1"/>
  <c r="P23" i="61"/>
  <c r="Q23" i="61" s="1"/>
  <c r="P42" i="61"/>
  <c r="Q42" i="61" s="1"/>
  <c r="P14" i="61"/>
  <c r="Q14" i="61" s="1"/>
  <c r="P37" i="61"/>
  <c r="Q37" i="61" s="1"/>
  <c r="P29" i="61"/>
  <c r="Q29" i="61" s="1"/>
  <c r="P24" i="61"/>
  <c r="Q24" i="61" s="1"/>
  <c r="P31" i="61"/>
  <c r="Q31" i="61" s="1"/>
  <c r="P18" i="61"/>
  <c r="Q18" i="61" s="1"/>
  <c r="P19" i="61"/>
  <c r="Q19" i="61" s="1"/>
  <c r="P34" i="61"/>
  <c r="Q34" i="61" s="1"/>
  <c r="P13" i="61"/>
  <c r="Q13" i="61" s="1"/>
  <c r="D79" i="58" l="1"/>
  <c r="O79" i="58"/>
  <c r="K79" i="58"/>
  <c r="Q79" i="58"/>
  <c r="J79" i="58"/>
  <c r="L79" i="58"/>
  <c r="M78" i="58"/>
  <c r="N78" i="58"/>
  <c r="G79" i="58"/>
  <c r="P79" i="58"/>
  <c r="A81" i="58"/>
  <c r="I80" i="58"/>
  <c r="F80" i="58"/>
  <c r="C80" i="58"/>
  <c r="L37" i="46"/>
  <c r="F38" i="46" s="1"/>
  <c r="G38" i="46" s="1"/>
  <c r="C41" i="43"/>
  <c r="I41" i="43"/>
  <c r="M40" i="43"/>
  <c r="G41" i="43"/>
  <c r="I13" i="61"/>
  <c r="H13" i="61" s="1"/>
  <c r="M13" i="61"/>
  <c r="L13" i="61" s="1"/>
  <c r="J41" i="43" l="1"/>
  <c r="R41" i="72"/>
  <c r="D41" i="43"/>
  <c r="P41" i="72"/>
  <c r="K80" i="58"/>
  <c r="P80" i="58"/>
  <c r="G80" i="58"/>
  <c r="L80" i="58"/>
  <c r="J80" i="58"/>
  <c r="Q80" i="58"/>
  <c r="A82" i="58"/>
  <c r="I81" i="58"/>
  <c r="F81" i="58"/>
  <c r="C81" i="58"/>
  <c r="M79" i="58"/>
  <c r="N79" i="58"/>
  <c r="D80" i="58"/>
  <c r="O80" i="58"/>
  <c r="C38" i="46"/>
  <c r="D38" i="46" s="1"/>
  <c r="M37" i="46"/>
  <c r="I38" i="46"/>
  <c r="J38" i="46" s="1"/>
  <c r="L41" i="43"/>
  <c r="M41" i="43" s="1"/>
  <c r="M14" i="61"/>
  <c r="L14" i="61" s="1"/>
  <c r="I14" i="61"/>
  <c r="H14" i="61" s="1"/>
  <c r="K81" i="58" l="1"/>
  <c r="D81" i="58"/>
  <c r="O81" i="58"/>
  <c r="M80" i="58"/>
  <c r="N80" i="58"/>
  <c r="P81" i="58"/>
  <c r="G81" i="58"/>
  <c r="Q81" i="58"/>
  <c r="L81" i="58"/>
  <c r="J81" i="58"/>
  <c r="A83" i="58"/>
  <c r="F82" i="58"/>
  <c r="I82" i="58"/>
  <c r="C82" i="58"/>
  <c r="L38" i="46"/>
  <c r="M38" i="46" s="1"/>
  <c r="C42" i="43"/>
  <c r="I42" i="43"/>
  <c r="F42" i="43"/>
  <c r="M15" i="61"/>
  <c r="L15" i="61" s="1"/>
  <c r="I15" i="61"/>
  <c r="H15" i="61" s="1"/>
  <c r="C43" i="43" l="1"/>
  <c r="C100" i="43" s="1"/>
  <c r="P42" i="72"/>
  <c r="P101" i="72" s="1"/>
  <c r="I43" i="43"/>
  <c r="I100" i="43" s="1"/>
  <c r="R42" i="72"/>
  <c r="R101" i="72" s="1"/>
  <c r="F43" i="43"/>
  <c r="F100" i="43" s="1"/>
  <c r="Q42" i="72"/>
  <c r="Q101" i="72" s="1"/>
  <c r="D82" i="58"/>
  <c r="O82" i="58"/>
  <c r="K82" i="58"/>
  <c r="M81" i="58"/>
  <c r="N81" i="58"/>
  <c r="Q82" i="58"/>
  <c r="L82" i="58"/>
  <c r="J82" i="58"/>
  <c r="P82" i="58"/>
  <c r="G82" i="58"/>
  <c r="A84" i="58"/>
  <c r="F83" i="58"/>
  <c r="I83" i="58"/>
  <c r="C83" i="58"/>
  <c r="C39" i="46"/>
  <c r="D39" i="46" s="1"/>
  <c r="F39" i="46"/>
  <c r="G39" i="46" s="1"/>
  <c r="I39" i="46"/>
  <c r="D42" i="43"/>
  <c r="J42" i="43"/>
  <c r="L42" i="43"/>
  <c r="M42" i="43" s="1"/>
  <c r="G42" i="43"/>
  <c r="I16" i="61"/>
  <c r="H16" i="61" s="1"/>
  <c r="M16" i="61"/>
  <c r="L16" i="61" s="1"/>
  <c r="R103" i="72" l="1"/>
  <c r="Q103" i="72"/>
  <c r="P103" i="72"/>
  <c r="S101" i="72"/>
  <c r="P102" i="72"/>
  <c r="F40" i="46"/>
  <c r="F97" i="46" s="1"/>
  <c r="K83" i="58"/>
  <c r="O83" i="58"/>
  <c r="D83" i="58"/>
  <c r="L83" i="58"/>
  <c r="Q83" i="58"/>
  <c r="J83" i="58"/>
  <c r="G83" i="58"/>
  <c r="P83" i="58"/>
  <c r="A85" i="58"/>
  <c r="I84" i="58"/>
  <c r="F84" i="58"/>
  <c r="C84" i="58"/>
  <c r="N82" i="58"/>
  <c r="M82" i="58"/>
  <c r="C40" i="46"/>
  <c r="C97" i="46" s="1"/>
  <c r="L39" i="46"/>
  <c r="M39" i="46" s="1"/>
  <c r="J39" i="46"/>
  <c r="I40" i="46"/>
  <c r="I97" i="46" s="1"/>
  <c r="L43" i="43"/>
  <c r="M17" i="61"/>
  <c r="L17" i="61" s="1"/>
  <c r="I17" i="61"/>
  <c r="H17" i="61" s="1"/>
  <c r="L46" i="43" l="1"/>
  <c r="L100" i="43"/>
  <c r="P84" i="58"/>
  <c r="G84" i="58"/>
  <c r="L84" i="58"/>
  <c r="Q84" i="58"/>
  <c r="J84" i="58"/>
  <c r="A86" i="58"/>
  <c r="I85" i="58"/>
  <c r="F85" i="58"/>
  <c r="C85" i="58"/>
  <c r="N83" i="58"/>
  <c r="M83" i="58"/>
  <c r="O84" i="58"/>
  <c r="D84" i="58"/>
  <c r="K84" i="58"/>
  <c r="L40" i="46"/>
  <c r="I18" i="61"/>
  <c r="H18" i="61" s="1"/>
  <c r="M18" i="61"/>
  <c r="L18" i="61" s="1"/>
  <c r="L43" i="46" l="1"/>
  <c r="L97" i="46"/>
  <c r="L103" i="43"/>
  <c r="I111" i="43"/>
  <c r="I116" i="43" s="1"/>
  <c r="F111" i="43"/>
  <c r="F116" i="43" s="1"/>
  <c r="C111" i="43"/>
  <c r="C116" i="43" s="1"/>
  <c r="F110" i="43"/>
  <c r="F115" i="43" s="1"/>
  <c r="I112" i="43"/>
  <c r="I117" i="43" s="1"/>
  <c r="F112" i="43"/>
  <c r="F117" i="43" s="1"/>
  <c r="C112" i="43"/>
  <c r="C117" i="43" s="1"/>
  <c r="C110" i="43"/>
  <c r="C115" i="43" s="1"/>
  <c r="I113" i="43"/>
  <c r="I118" i="43" s="1"/>
  <c r="F113" i="43"/>
  <c r="F118" i="43" s="1"/>
  <c r="C113" i="43"/>
  <c r="C118" i="43" s="1"/>
  <c r="I110" i="43"/>
  <c r="I115" i="43" s="1"/>
  <c r="K85" i="58"/>
  <c r="D85" i="58"/>
  <c r="O85" i="58"/>
  <c r="N84" i="58"/>
  <c r="M84" i="58"/>
  <c r="G85" i="58"/>
  <c r="P85" i="58"/>
  <c r="L85" i="58"/>
  <c r="J85" i="58"/>
  <c r="Q85" i="58"/>
  <c r="A87" i="58"/>
  <c r="I86" i="58"/>
  <c r="F86" i="58"/>
  <c r="C86" i="58"/>
  <c r="M19" i="61"/>
  <c r="L19" i="61" s="1"/>
  <c r="I19" i="61"/>
  <c r="H19" i="61" s="1"/>
  <c r="L115" i="43" l="1"/>
  <c r="L100" i="46"/>
  <c r="F108" i="46"/>
  <c r="F113" i="46" s="1"/>
  <c r="I109" i="46"/>
  <c r="I114" i="46" s="1"/>
  <c r="I107" i="46"/>
  <c r="I112" i="46" s="1"/>
  <c r="C109" i="46"/>
  <c r="C114" i="46" s="1"/>
  <c r="C108" i="46"/>
  <c r="I110" i="46"/>
  <c r="I115" i="46" s="1"/>
  <c r="I108" i="46"/>
  <c r="I113" i="46" s="1"/>
  <c r="C110" i="46"/>
  <c r="C115" i="46" s="1"/>
  <c r="F107" i="46"/>
  <c r="F112" i="46" s="1"/>
  <c r="F110" i="46"/>
  <c r="F115" i="46" s="1"/>
  <c r="C107" i="46"/>
  <c r="C112" i="46" s="1"/>
  <c r="F109" i="46"/>
  <c r="F114" i="46" s="1"/>
  <c r="C113" i="46"/>
  <c r="L118" i="43"/>
  <c r="L117" i="43"/>
  <c r="L116" i="43"/>
  <c r="O86" i="58"/>
  <c r="D86" i="58"/>
  <c r="K86" i="58"/>
  <c r="P86" i="58"/>
  <c r="G86" i="58"/>
  <c r="N85" i="58"/>
  <c r="M85" i="58"/>
  <c r="J86" i="58"/>
  <c r="L86" i="58"/>
  <c r="Q86" i="58"/>
  <c r="A88" i="58"/>
  <c r="F87" i="58"/>
  <c r="I87" i="58"/>
  <c r="C87" i="58"/>
  <c r="M20" i="61"/>
  <c r="L20" i="61" s="1"/>
  <c r="I20" i="61"/>
  <c r="H20" i="61" s="1"/>
  <c r="L112" i="46" l="1"/>
  <c r="L113" i="46"/>
  <c r="L114" i="46"/>
  <c r="L115" i="46"/>
  <c r="G87" i="58"/>
  <c r="P87" i="58"/>
  <c r="A89" i="58"/>
  <c r="I88" i="58"/>
  <c r="F88" i="58"/>
  <c r="C88" i="58"/>
  <c r="O87" i="58"/>
  <c r="D87" i="58"/>
  <c r="K87" i="58"/>
  <c r="N86" i="58"/>
  <c r="M86" i="58"/>
  <c r="J87" i="58"/>
  <c r="L87" i="58"/>
  <c r="Q87" i="58"/>
  <c r="M21" i="61"/>
  <c r="L21" i="61" s="1"/>
  <c r="I21" i="61"/>
  <c r="H21" i="61" s="1"/>
  <c r="K88" i="58" l="1"/>
  <c r="N87" i="58"/>
  <c r="M87" i="58"/>
  <c r="P88" i="58"/>
  <c r="G88" i="58"/>
  <c r="L88" i="58"/>
  <c r="Q88" i="58"/>
  <c r="J88" i="58"/>
  <c r="A90" i="58"/>
  <c r="I89" i="58"/>
  <c r="F89" i="58"/>
  <c r="C89" i="58"/>
  <c r="D88" i="58"/>
  <c r="O88" i="58"/>
  <c r="I22" i="61"/>
  <c r="H22" i="61" s="1"/>
  <c r="M22" i="61"/>
  <c r="L22" i="61" s="1"/>
  <c r="P89" i="58" l="1"/>
  <c r="G89" i="58"/>
  <c r="K89" i="58"/>
  <c r="M88" i="58"/>
  <c r="N88" i="58"/>
  <c r="L89" i="58"/>
  <c r="J89" i="58"/>
  <c r="Q89" i="58"/>
  <c r="A91" i="58"/>
  <c r="I90" i="58"/>
  <c r="F90" i="58"/>
  <c r="C90" i="58"/>
  <c r="O89" i="58"/>
  <c r="D89" i="58"/>
  <c r="M23" i="61"/>
  <c r="L23" i="61" s="1"/>
  <c r="I23" i="61"/>
  <c r="H23" i="61" s="1"/>
  <c r="K90" i="58" l="1"/>
  <c r="J90" i="58"/>
  <c r="Q90" i="58"/>
  <c r="L90" i="58"/>
  <c r="A92" i="58"/>
  <c r="I91" i="58"/>
  <c r="F91" i="58"/>
  <c r="C91" i="58"/>
  <c r="O90" i="58"/>
  <c r="D90" i="58"/>
  <c r="G90" i="58"/>
  <c r="P90" i="58"/>
  <c r="N89" i="58"/>
  <c r="M89" i="58"/>
  <c r="I24" i="61"/>
  <c r="H24" i="61" s="1"/>
  <c r="M24" i="61"/>
  <c r="L24" i="61" s="1"/>
  <c r="G91" i="58" l="1"/>
  <c r="P91" i="58"/>
  <c r="Q91" i="58"/>
  <c r="L91" i="58"/>
  <c r="J91" i="58"/>
  <c r="A93" i="58"/>
  <c r="I92" i="58"/>
  <c r="F92" i="58"/>
  <c r="C92" i="58"/>
  <c r="N90" i="58"/>
  <c r="M90" i="58"/>
  <c r="O91" i="58"/>
  <c r="D91" i="58"/>
  <c r="K91" i="58"/>
  <c r="M25" i="61"/>
  <c r="L25" i="61" s="1"/>
  <c r="I25" i="61"/>
  <c r="H25" i="61" s="1"/>
  <c r="O92" i="58" l="1"/>
  <c r="D92" i="58"/>
  <c r="K92" i="58"/>
  <c r="M91" i="58"/>
  <c r="N91" i="58"/>
  <c r="G92" i="58"/>
  <c r="P92" i="58"/>
  <c r="Q92" i="58"/>
  <c r="L92" i="58"/>
  <c r="J92" i="58"/>
  <c r="A94" i="58"/>
  <c r="I93" i="58"/>
  <c r="F93" i="58"/>
  <c r="C93" i="58"/>
  <c r="I26" i="61"/>
  <c r="H26" i="61" s="1"/>
  <c r="M26" i="61"/>
  <c r="L26" i="61" s="1"/>
  <c r="D93" i="58" l="1"/>
  <c r="O93" i="58"/>
  <c r="N92" i="58"/>
  <c r="M92" i="58"/>
  <c r="G93" i="58"/>
  <c r="P93" i="58"/>
  <c r="K93" i="58"/>
  <c r="L93" i="58"/>
  <c r="Q93" i="58"/>
  <c r="J93" i="58"/>
  <c r="A95" i="58"/>
  <c r="I94" i="58"/>
  <c r="F94" i="58"/>
  <c r="C94" i="58"/>
  <c r="M27" i="61"/>
  <c r="L27" i="61" s="1"/>
  <c r="I27" i="61"/>
  <c r="H27" i="61" s="1"/>
  <c r="K94" i="58" l="1"/>
  <c r="P94" i="58"/>
  <c r="G94" i="58"/>
  <c r="N93" i="58"/>
  <c r="M93" i="58"/>
  <c r="J94" i="58"/>
  <c r="L94" i="58"/>
  <c r="Q94" i="58"/>
  <c r="A96" i="58"/>
  <c r="F95" i="58"/>
  <c r="I95" i="58"/>
  <c r="C95" i="58"/>
  <c r="O94" i="58"/>
  <c r="D94" i="58"/>
  <c r="I28" i="61"/>
  <c r="H28" i="61" s="1"/>
  <c r="M28" i="61"/>
  <c r="L28" i="61" s="1"/>
  <c r="L95" i="58" l="1"/>
  <c r="Q95" i="58"/>
  <c r="J95" i="58"/>
  <c r="P95" i="58"/>
  <c r="G95" i="58"/>
  <c r="A97" i="58"/>
  <c r="I96" i="58"/>
  <c r="F96" i="58"/>
  <c r="C96" i="58"/>
  <c r="D95" i="58"/>
  <c r="O95" i="58"/>
  <c r="K95" i="58"/>
  <c r="N94" i="58"/>
  <c r="M94" i="58"/>
  <c r="M29" i="61"/>
  <c r="L29" i="61" s="1"/>
  <c r="I29" i="61"/>
  <c r="H29" i="61" s="1"/>
  <c r="N95" i="58" l="1"/>
  <c r="M95" i="58"/>
  <c r="O96" i="58"/>
  <c r="D96" i="58"/>
  <c r="K96" i="58"/>
  <c r="G96" i="58"/>
  <c r="P96" i="58"/>
  <c r="J96" i="58"/>
  <c r="Q96" i="58"/>
  <c r="L96" i="58"/>
  <c r="A98" i="58"/>
  <c r="I97" i="58"/>
  <c r="F97" i="58"/>
  <c r="C97" i="58"/>
  <c r="I30" i="61"/>
  <c r="H30" i="61" s="1"/>
  <c r="M30" i="61"/>
  <c r="L30" i="61" s="1"/>
  <c r="O97" i="58" l="1"/>
  <c r="D97" i="58"/>
  <c r="P97" i="58"/>
  <c r="G97" i="58"/>
  <c r="K97" i="58"/>
  <c r="L97" i="58"/>
  <c r="Q97" i="58"/>
  <c r="J97" i="58"/>
  <c r="A99" i="58"/>
  <c r="F98" i="58"/>
  <c r="I98" i="58"/>
  <c r="C98" i="58"/>
  <c r="M96" i="58"/>
  <c r="N96" i="58"/>
  <c r="M31" i="61"/>
  <c r="L31" i="61" s="1"/>
  <c r="I31" i="61"/>
  <c r="H31" i="61" s="1"/>
  <c r="K98" i="58" l="1"/>
  <c r="G98" i="58"/>
  <c r="P98" i="58"/>
  <c r="A100" i="58"/>
  <c r="F99" i="58"/>
  <c r="I99" i="58"/>
  <c r="C99" i="58"/>
  <c r="O98" i="58"/>
  <c r="D98" i="58"/>
  <c r="L98" i="58"/>
  <c r="Q98" i="58"/>
  <c r="J98" i="58"/>
  <c r="M97" i="58"/>
  <c r="N97" i="58"/>
  <c r="I32" i="61"/>
  <c r="H32" i="61" s="1"/>
  <c r="M32" i="61"/>
  <c r="L32" i="61" s="1"/>
  <c r="K99" i="58" l="1"/>
  <c r="D99" i="58"/>
  <c r="O99" i="58"/>
  <c r="N98" i="58"/>
  <c r="M98" i="58"/>
  <c r="J99" i="58"/>
  <c r="L99" i="58"/>
  <c r="Q99" i="58"/>
  <c r="G99" i="58"/>
  <c r="P99" i="58"/>
  <c r="I102" i="58"/>
  <c r="F102" i="58"/>
  <c r="I100" i="58"/>
  <c r="F100" i="58"/>
  <c r="C102" i="58"/>
  <c r="C100" i="58"/>
  <c r="M33" i="61"/>
  <c r="L33" i="61" s="1"/>
  <c r="I33" i="61"/>
  <c r="H33" i="61" s="1"/>
  <c r="K100" i="58" l="1"/>
  <c r="L102" i="58"/>
  <c r="G100" i="58"/>
  <c r="P100" i="58"/>
  <c r="F101" i="58"/>
  <c r="F103" i="58" s="1"/>
  <c r="F105" i="58" s="1"/>
  <c r="J100" i="58"/>
  <c r="L100" i="58"/>
  <c r="Q100" i="58"/>
  <c r="I101" i="58"/>
  <c r="I103" i="58" s="1"/>
  <c r="I105" i="58" s="1"/>
  <c r="O100" i="58"/>
  <c r="D100" i="58"/>
  <c r="C101" i="58"/>
  <c r="C103" i="58" s="1"/>
  <c r="C105" i="58" s="1"/>
  <c r="M99" i="58"/>
  <c r="N99" i="58"/>
  <c r="I34" i="61"/>
  <c r="H34" i="61" s="1"/>
  <c r="M34" i="61"/>
  <c r="L34" i="61" s="1"/>
  <c r="L105" i="58" l="1"/>
  <c r="L108" i="58" s="1"/>
  <c r="M100" i="58"/>
  <c r="N100" i="58"/>
  <c r="L101" i="58"/>
  <c r="L103" i="58" s="1"/>
  <c r="M35" i="61"/>
  <c r="L35" i="61" s="1"/>
  <c r="I35" i="61"/>
  <c r="H35" i="61" s="1"/>
  <c r="I36" i="61" l="1"/>
  <c r="H36" i="61" s="1"/>
  <c r="M36" i="61"/>
  <c r="L36" i="61" s="1"/>
  <c r="M37" i="61" l="1"/>
  <c r="L37" i="61" s="1"/>
  <c r="I37" i="61"/>
  <c r="H37" i="61" s="1"/>
  <c r="I38" i="61" l="1"/>
  <c r="H38" i="61" s="1"/>
  <c r="M38" i="61"/>
  <c r="L38" i="61" s="1"/>
  <c r="M39" i="61" l="1"/>
  <c r="L39" i="61" s="1"/>
  <c r="I39" i="61"/>
  <c r="H39" i="61" s="1"/>
  <c r="I40" i="61" l="1"/>
  <c r="H40" i="61" s="1"/>
  <c r="M40" i="61"/>
  <c r="L40" i="61" s="1"/>
  <c r="M41" i="61" l="1"/>
  <c r="L41" i="61" s="1"/>
  <c r="I41" i="61"/>
  <c r="H41" i="61" s="1"/>
  <c r="M42" i="61" l="1"/>
  <c r="L42" i="61" s="1"/>
  <c r="E13" i="61"/>
  <c r="D13" i="61" s="1"/>
  <c r="AC13" i="61" l="1"/>
  <c r="AE13" i="61"/>
  <c r="AD13" i="61"/>
  <c r="M43" i="61"/>
  <c r="L43" i="61" s="1"/>
  <c r="K45" i="61"/>
  <c r="I42" i="61"/>
  <c r="H42" i="61" s="1"/>
  <c r="X13" i="61" l="1"/>
  <c r="AA13" i="61"/>
  <c r="U13" i="61"/>
  <c r="E14" i="61"/>
  <c r="D14" i="61" s="1"/>
  <c r="AC14" i="61" l="1"/>
  <c r="AE14" i="61"/>
  <c r="AD14" i="61"/>
  <c r="I43" i="61"/>
  <c r="H43" i="61" s="1"/>
  <c r="G45" i="61"/>
  <c r="X14" i="61" l="1"/>
  <c r="AA14" i="61"/>
  <c r="U14" i="61"/>
  <c r="E15" i="61"/>
  <c r="D15" i="61" s="1"/>
  <c r="AE15" i="61" l="1"/>
  <c r="AD15" i="61"/>
  <c r="AC15" i="61"/>
  <c r="E16" i="61"/>
  <c r="D16" i="61" s="1"/>
  <c r="AA15" i="61" l="1"/>
  <c r="X15" i="61"/>
  <c r="U15" i="61"/>
  <c r="AD16" i="61"/>
  <c r="AC16" i="61"/>
  <c r="E17" i="61"/>
  <c r="D17" i="61" s="1"/>
  <c r="AE16" i="61" l="1"/>
  <c r="U16" i="61" s="1"/>
  <c r="AD17" i="61"/>
  <c r="AC17" i="61"/>
  <c r="E18" i="61"/>
  <c r="D18" i="61" s="1"/>
  <c r="AA16" i="61" l="1"/>
  <c r="X16" i="61"/>
  <c r="AD18" i="61"/>
  <c r="AC18" i="61"/>
  <c r="E19" i="61"/>
  <c r="D19" i="61" s="1"/>
  <c r="AE17" i="61" l="1"/>
  <c r="U17" i="61" s="1"/>
  <c r="AD19" i="61"/>
  <c r="AC19" i="61"/>
  <c r="E20" i="61"/>
  <c r="D20" i="61" s="1"/>
  <c r="AA17" i="61" l="1"/>
  <c r="X17" i="61"/>
  <c r="AD20" i="61"/>
  <c r="AC20" i="61"/>
  <c r="E21" i="61"/>
  <c r="D21" i="61" s="1"/>
  <c r="AE18" i="61" l="1"/>
  <c r="AA18" i="61" s="1"/>
  <c r="AD21" i="61"/>
  <c r="AC21" i="61"/>
  <c r="E22" i="61"/>
  <c r="D22" i="61" s="1"/>
  <c r="X18" i="61" l="1"/>
  <c r="U18" i="61"/>
  <c r="AD22" i="61"/>
  <c r="AC22" i="61"/>
  <c r="E23" i="61"/>
  <c r="D23" i="61" s="1"/>
  <c r="AE19" i="61" l="1"/>
  <c r="U19" i="61" s="1"/>
  <c r="AD23" i="61"/>
  <c r="AC23" i="61"/>
  <c r="E24" i="61"/>
  <c r="D24" i="61" s="1"/>
  <c r="AA19" i="61" l="1"/>
  <c r="X19" i="61"/>
  <c r="AD24" i="61"/>
  <c r="AC24" i="61"/>
  <c r="E25" i="61"/>
  <c r="D25" i="61" s="1"/>
  <c r="AE20" i="61" l="1"/>
  <c r="U20" i="61" s="1"/>
  <c r="AD25" i="61"/>
  <c r="AC25" i="61"/>
  <c r="E26" i="61"/>
  <c r="D26" i="61" s="1"/>
  <c r="X20" i="61" l="1"/>
  <c r="AA20" i="61"/>
  <c r="AD26" i="61"/>
  <c r="AC26" i="61"/>
  <c r="E27" i="61"/>
  <c r="D27" i="61" s="1"/>
  <c r="AE21" i="61" l="1"/>
  <c r="U21" i="61" s="1"/>
  <c r="AD27" i="61"/>
  <c r="AC27" i="61"/>
  <c r="E28" i="61"/>
  <c r="D28" i="61" s="1"/>
  <c r="AA21" i="61" l="1"/>
  <c r="X21" i="61"/>
  <c r="AD28" i="61"/>
  <c r="AC28" i="61"/>
  <c r="E29" i="61"/>
  <c r="D29" i="61" s="1"/>
  <c r="AE22" i="61" l="1"/>
  <c r="U22" i="61" s="1"/>
  <c r="AA22" i="61"/>
  <c r="AD29" i="61"/>
  <c r="AC29" i="61"/>
  <c r="E30" i="61"/>
  <c r="D30" i="61" s="1"/>
  <c r="X22" i="61" l="1"/>
  <c r="AE23" i="61" s="1"/>
  <c r="U23" i="61" s="1"/>
  <c r="AD30" i="61"/>
  <c r="AC30" i="61"/>
  <c r="E31" i="61"/>
  <c r="D31" i="61" s="1"/>
  <c r="X23" i="61" l="1"/>
  <c r="AA23" i="61"/>
  <c r="AD31" i="61"/>
  <c r="AC31" i="61"/>
  <c r="E32" i="61"/>
  <c r="D32" i="61" s="1"/>
  <c r="AE24" i="61" l="1"/>
  <c r="U24" i="61" s="1"/>
  <c r="AD32" i="61"/>
  <c r="AC32" i="61"/>
  <c r="E33" i="61"/>
  <c r="D33" i="61" s="1"/>
  <c r="X24" i="61" l="1"/>
  <c r="AA24" i="61"/>
  <c r="AD33" i="61"/>
  <c r="AC33" i="61"/>
  <c r="E34" i="61"/>
  <c r="D34" i="61" s="1"/>
  <c r="AE25" i="61" l="1"/>
  <c r="U25" i="61" s="1"/>
  <c r="AD34" i="61"/>
  <c r="AC34" i="61"/>
  <c r="E35" i="61"/>
  <c r="D35" i="61" s="1"/>
  <c r="X25" i="61" l="1"/>
  <c r="AA25" i="61"/>
  <c r="AD35" i="61"/>
  <c r="AC35" i="61"/>
  <c r="E36" i="61"/>
  <c r="D36" i="61" s="1"/>
  <c r="AE26" i="61" l="1"/>
  <c r="U26" i="61" s="1"/>
  <c r="AD36" i="61"/>
  <c r="AC36" i="61"/>
  <c r="E37" i="61"/>
  <c r="D37" i="61" s="1"/>
  <c r="X26" i="61" l="1"/>
  <c r="AA26" i="61"/>
  <c r="AD37" i="61"/>
  <c r="AC37" i="61"/>
  <c r="E38" i="61"/>
  <c r="D38" i="61" s="1"/>
  <c r="AE27" i="61" l="1"/>
  <c r="U27" i="61" s="1"/>
  <c r="AD38" i="61"/>
  <c r="AC38" i="61"/>
  <c r="E39" i="61"/>
  <c r="D39" i="61" s="1"/>
  <c r="X27" i="61" l="1"/>
  <c r="AA27" i="61"/>
  <c r="AD39" i="61"/>
  <c r="AC39" i="61"/>
  <c r="E40" i="61"/>
  <c r="D40" i="61" s="1"/>
  <c r="AE28" i="61" l="1"/>
  <c r="U28" i="61" s="1"/>
  <c r="AD40" i="61"/>
  <c r="AC40" i="61"/>
  <c r="E41" i="61"/>
  <c r="D41" i="61" s="1"/>
  <c r="AA28" i="61" l="1"/>
  <c r="X28" i="61"/>
  <c r="AD41" i="61"/>
  <c r="AC41" i="61"/>
  <c r="E42" i="61"/>
  <c r="D42" i="61" s="1"/>
  <c r="AE29" i="61" l="1"/>
  <c r="U29" i="61" s="1"/>
  <c r="AD42" i="61"/>
  <c r="AC42" i="61"/>
  <c r="E43" i="61"/>
  <c r="D43" i="61" s="1"/>
  <c r="C45" i="61"/>
  <c r="O45" i="61" s="1"/>
  <c r="O46" i="61" s="1"/>
  <c r="X29" i="61" l="1"/>
  <c r="AA29" i="61"/>
  <c r="AD43" i="61"/>
  <c r="AC43" i="61"/>
  <c r="AB13" i="61"/>
  <c r="AE30" i="61" l="1"/>
  <c r="U30" i="61" s="1"/>
  <c r="AB14" i="61"/>
  <c r="V13" i="61"/>
  <c r="AG13" i="61"/>
  <c r="Y13" i="61"/>
  <c r="AF14" i="61"/>
  <c r="AF13" i="61"/>
  <c r="AA30" i="61" l="1"/>
  <c r="X30" i="61"/>
  <c r="AB15" i="61"/>
  <c r="Y14" i="61"/>
  <c r="AI13" i="61"/>
  <c r="AG14" i="61"/>
  <c r="AI14" i="61" s="1"/>
  <c r="V14" i="61"/>
  <c r="AF15" i="61"/>
  <c r="AF16" i="61"/>
  <c r="AE31" i="61" l="1"/>
  <c r="U31" i="61" s="1"/>
  <c r="AB16" i="61"/>
  <c r="Y15" i="61"/>
  <c r="AG15" i="61"/>
  <c r="AI15" i="61" s="1"/>
  <c r="V15" i="61"/>
  <c r="AF18" i="61"/>
  <c r="AF17" i="61"/>
  <c r="AA31" i="61" l="1"/>
  <c r="X31" i="61"/>
  <c r="AB17" i="61"/>
  <c r="Y16" i="61"/>
  <c r="AG16" i="61"/>
  <c r="AI16" i="61" s="1"/>
  <c r="V16" i="61"/>
  <c r="AF19" i="61"/>
  <c r="AE32" i="61" l="1"/>
  <c r="U32" i="61" s="1"/>
  <c r="AB18" i="61"/>
  <c r="Y17" i="61"/>
  <c r="AG17" i="61"/>
  <c r="AI17" i="61" s="1"/>
  <c r="V17" i="61"/>
  <c r="AF20" i="61"/>
  <c r="AF21" i="61"/>
  <c r="AA32" i="61" l="1"/>
  <c r="X32" i="61"/>
  <c r="AB19" i="61"/>
  <c r="Y18" i="61"/>
  <c r="AG18" i="61"/>
  <c r="AI18" i="61" s="1"/>
  <c r="V18" i="61"/>
  <c r="AF22" i="61"/>
  <c r="AE33" i="61" l="1"/>
  <c r="U33" i="61" s="1"/>
  <c r="AB20" i="61"/>
  <c r="AG19" i="61"/>
  <c r="AI19" i="61" s="1"/>
  <c r="V19" i="61"/>
  <c r="Y19" i="61"/>
  <c r="AF23" i="61"/>
  <c r="AA33" i="61" l="1"/>
  <c r="X33" i="61"/>
  <c r="AB21" i="61"/>
  <c r="Y20" i="61"/>
  <c r="AG20" i="61"/>
  <c r="AI20" i="61" s="1"/>
  <c r="V20" i="61"/>
  <c r="AF24" i="61"/>
  <c r="AE34" i="61" l="1"/>
  <c r="U34" i="61" s="1"/>
  <c r="AA34" i="61"/>
  <c r="AB22" i="61"/>
  <c r="AG21" i="61"/>
  <c r="AI21" i="61" s="1"/>
  <c r="V21" i="61"/>
  <c r="Y21" i="61"/>
  <c r="AF25" i="61"/>
  <c r="X34" i="61" l="1"/>
  <c r="AE35" i="61" s="1"/>
  <c r="U35" i="61" s="1"/>
  <c r="AB23" i="61"/>
  <c r="AG22" i="61"/>
  <c r="AI22" i="61" s="1"/>
  <c r="V22" i="61"/>
  <c r="Y22" i="61"/>
  <c r="AF26" i="61"/>
  <c r="X35" i="61" l="1"/>
  <c r="AA35" i="61"/>
  <c r="AB24" i="61"/>
  <c r="Y23" i="61"/>
  <c r="AG23" i="61"/>
  <c r="AI23" i="61" s="1"/>
  <c r="V23" i="61"/>
  <c r="AF27" i="61"/>
  <c r="AE36" i="61" l="1"/>
  <c r="U36" i="61" s="1"/>
  <c r="AB25" i="61"/>
  <c r="AG24" i="61"/>
  <c r="AI24" i="61" s="1"/>
  <c r="V24" i="61"/>
  <c r="Y24" i="61"/>
  <c r="AF28" i="61"/>
  <c r="X36" i="61" l="1"/>
  <c r="AA36" i="61"/>
  <c r="AB26" i="61"/>
  <c r="AG25" i="61"/>
  <c r="AI25" i="61" s="1"/>
  <c r="V25" i="61"/>
  <c r="Y25" i="61"/>
  <c r="AF29" i="61"/>
  <c r="AE37" i="61" l="1"/>
  <c r="U37" i="61" s="1"/>
  <c r="AB27" i="61"/>
  <c r="AG26" i="61"/>
  <c r="AI26" i="61" s="1"/>
  <c r="V26" i="61"/>
  <c r="Y26" i="61"/>
  <c r="AF30" i="61"/>
  <c r="X37" i="61" l="1"/>
  <c r="AA37" i="61"/>
  <c r="AB28" i="61"/>
  <c r="Y27" i="61"/>
  <c r="AG27" i="61"/>
  <c r="AI27" i="61" s="1"/>
  <c r="V27" i="61"/>
  <c r="AF31" i="61"/>
  <c r="AE38" i="61" l="1"/>
  <c r="U38" i="61" s="1"/>
  <c r="AB29" i="61"/>
  <c r="AG28" i="61"/>
  <c r="AI28" i="61" s="1"/>
  <c r="V28" i="61"/>
  <c r="Y28" i="61"/>
  <c r="AF32" i="61"/>
  <c r="AA38" i="61" l="1"/>
  <c r="X38" i="61"/>
  <c r="AB30" i="61"/>
  <c r="AG29" i="61"/>
  <c r="AI29" i="61" s="1"/>
  <c r="V29" i="61"/>
  <c r="Y29" i="61"/>
  <c r="AF33" i="61"/>
  <c r="AE39" i="61" l="1"/>
  <c r="U39" i="61" s="1"/>
  <c r="AB31" i="61"/>
  <c r="AG30" i="61"/>
  <c r="AI30" i="61" s="1"/>
  <c r="V30" i="61"/>
  <c r="Y30" i="61"/>
  <c r="AF34" i="61"/>
  <c r="X39" i="61" l="1"/>
  <c r="AA39" i="61"/>
  <c r="AB32" i="61"/>
  <c r="Y31" i="61"/>
  <c r="AG31" i="61"/>
  <c r="AI31" i="61" s="1"/>
  <c r="V31" i="61"/>
  <c r="AF35" i="61"/>
  <c r="AE40" i="61" l="1"/>
  <c r="X40" i="61" s="1"/>
  <c r="AB33" i="61"/>
  <c r="Y32" i="61"/>
  <c r="AG32" i="61"/>
  <c r="AI32" i="61" s="1"/>
  <c r="V32" i="61"/>
  <c r="AF36" i="61"/>
  <c r="AA40" i="61" l="1"/>
  <c r="U40" i="61"/>
  <c r="AB34" i="61"/>
  <c r="Y33" i="61"/>
  <c r="AG33" i="61"/>
  <c r="AI33" i="61" s="1"/>
  <c r="V33" i="61"/>
  <c r="AF37" i="61"/>
  <c r="AE41" i="61" l="1"/>
  <c r="X41" i="61" s="1"/>
  <c r="AB35" i="61"/>
  <c r="Y34" i="61"/>
  <c r="AG34" i="61"/>
  <c r="AI34" i="61" s="1"/>
  <c r="V34" i="61"/>
  <c r="AF38" i="61"/>
  <c r="AA41" i="61" l="1"/>
  <c r="U41" i="61"/>
  <c r="AB36" i="61"/>
  <c r="Y35" i="61"/>
  <c r="AG35" i="61"/>
  <c r="AI35" i="61" s="1"/>
  <c r="V35" i="61"/>
  <c r="AF39" i="61"/>
  <c r="AE42" i="61" l="1"/>
  <c r="X42" i="61" s="1"/>
  <c r="AB37" i="61"/>
  <c r="Y36" i="61"/>
  <c r="AG36" i="61"/>
  <c r="AI36" i="61" s="1"/>
  <c r="V36" i="61"/>
  <c r="AF40" i="61"/>
  <c r="U42" i="61" l="1"/>
  <c r="AA42" i="61"/>
  <c r="AB38" i="61"/>
  <c r="Y37" i="61"/>
  <c r="AG37" i="61"/>
  <c r="AI37" i="61" s="1"/>
  <c r="V37" i="61"/>
  <c r="AF41" i="61"/>
  <c r="AE43" i="61" l="1"/>
  <c r="X43" i="61" s="1"/>
  <c r="AB39" i="61"/>
  <c r="Y38" i="61"/>
  <c r="AG38" i="61"/>
  <c r="AI38" i="61" s="1"/>
  <c r="V38" i="61"/>
  <c r="AF42" i="61"/>
  <c r="U43" i="61" l="1"/>
  <c r="AA43" i="61"/>
  <c r="AB40" i="61"/>
  <c r="Y39" i="61"/>
  <c r="AG39" i="61"/>
  <c r="AI39" i="61" s="1"/>
  <c r="V39" i="61"/>
  <c r="AB41" i="61" l="1"/>
  <c r="AG40" i="61"/>
  <c r="AI40" i="61" s="1"/>
  <c r="V40" i="61"/>
  <c r="Y40" i="61"/>
  <c r="AF43" i="61"/>
  <c r="AD44" i="61"/>
  <c r="AB43" i="61" l="1"/>
  <c r="AB42" i="61"/>
  <c r="Y41" i="61"/>
  <c r="AG41" i="61"/>
  <c r="AI41" i="61" s="1"/>
  <c r="V41" i="61"/>
  <c r="AA45" i="61" l="1"/>
  <c r="Y42" i="61"/>
  <c r="AG42" i="61"/>
  <c r="AI42" i="61" s="1"/>
  <c r="V42" i="61"/>
  <c r="Y43" i="61" l="1"/>
  <c r="X45" i="61"/>
  <c r="V43" i="61"/>
  <c r="AG43" i="61"/>
  <c r="U45" i="61"/>
  <c r="AG45" i="61" l="1"/>
  <c r="AI43" i="61"/>
  <c r="AI44" i="61" s="1"/>
  <c r="AG44" i="61"/>
  <c r="L9" i="63" l="1"/>
  <c r="D9" i="63"/>
  <c r="O9" i="63"/>
  <c r="G10" i="63" s="1"/>
  <c r="H9" i="63"/>
  <c r="T10" i="63" l="1"/>
  <c r="K10" i="63"/>
  <c r="U10" i="63" s="1"/>
  <c r="C10" i="63"/>
  <c r="S10" i="63" s="1"/>
  <c r="P9" i="63"/>
  <c r="D10" i="63" l="1"/>
  <c r="O10" i="63"/>
  <c r="G11" i="63" s="1"/>
  <c r="L10" i="63"/>
  <c r="H10" i="63"/>
  <c r="P10" i="63" l="1"/>
  <c r="T11" i="63"/>
  <c r="K11" i="63"/>
  <c r="U11" i="63" s="1"/>
  <c r="C11" i="63"/>
  <c r="S11" i="63" s="1"/>
  <c r="L11" i="63" l="1"/>
  <c r="D11" i="63"/>
  <c r="O11" i="63" l="1"/>
  <c r="G12" i="63" s="1"/>
  <c r="H11" i="63"/>
  <c r="P11" i="63" l="1"/>
  <c r="T12" i="63"/>
  <c r="K12" i="63"/>
  <c r="U12" i="63" s="1"/>
  <c r="C12" i="63"/>
  <c r="S12" i="63" s="1"/>
  <c r="D12" i="63" l="1"/>
  <c r="L12" i="63" l="1"/>
  <c r="O12" i="63"/>
  <c r="G13" i="63" s="1"/>
  <c r="H12" i="63"/>
  <c r="T13" i="63" l="1"/>
  <c r="K13" i="63"/>
  <c r="U13" i="63" s="1"/>
  <c r="P12" i="63"/>
  <c r="C13" i="63"/>
  <c r="S13" i="63" s="1"/>
  <c r="D13" i="63" l="1"/>
  <c r="O13" i="63" l="1"/>
  <c r="G14" i="63" s="1"/>
  <c r="L13" i="63"/>
  <c r="H13" i="63"/>
  <c r="T14" i="63" l="1"/>
  <c r="K14" i="63"/>
  <c r="U14" i="63" s="1"/>
  <c r="C14" i="63"/>
  <c r="S14" i="63" s="1"/>
  <c r="P13" i="63"/>
  <c r="D14" i="63" l="1"/>
  <c r="H14" i="63" l="1"/>
  <c r="L14" i="63"/>
  <c r="O14" i="63"/>
  <c r="G15" i="63" s="1"/>
  <c r="T15" i="63" l="1"/>
  <c r="K15" i="63"/>
  <c r="U15" i="63" s="1"/>
  <c r="P14" i="63"/>
  <c r="C15" i="63"/>
  <c r="S15" i="63" s="1"/>
  <c r="D15" i="63" l="1"/>
  <c r="H15" i="63" l="1"/>
  <c r="L15" i="63"/>
  <c r="O15" i="63"/>
  <c r="G16" i="63" s="1"/>
  <c r="T16" i="63" l="1"/>
  <c r="K16" i="63"/>
  <c r="U16" i="63" s="1"/>
  <c r="P15" i="63"/>
  <c r="C16" i="63"/>
  <c r="S16" i="63" s="1"/>
  <c r="D16" i="63" l="1"/>
  <c r="H16" i="63" l="1"/>
  <c r="L16" i="63"/>
  <c r="O16" i="63"/>
  <c r="G17" i="63" s="1"/>
  <c r="T17" i="63" l="1"/>
  <c r="K17" i="63"/>
  <c r="U17" i="63" s="1"/>
  <c r="P16" i="63"/>
  <c r="C17" i="63"/>
  <c r="S17" i="63" s="1"/>
  <c r="D17" i="63" l="1"/>
  <c r="L17" i="63" l="1"/>
  <c r="O17" i="63"/>
  <c r="G18" i="63" s="1"/>
  <c r="H17" i="63"/>
  <c r="T18" i="63" l="1"/>
  <c r="K18" i="63"/>
  <c r="U18" i="63" s="1"/>
  <c r="P17" i="63"/>
  <c r="C18" i="63"/>
  <c r="S18" i="63" s="1"/>
  <c r="D18" i="63" l="1"/>
  <c r="L18" i="63" l="1"/>
  <c r="O18" i="63"/>
  <c r="G19" i="63" s="1"/>
  <c r="H18" i="63"/>
  <c r="T19" i="63" l="1"/>
  <c r="K19" i="63"/>
  <c r="U19" i="63" s="1"/>
  <c r="C19" i="63"/>
  <c r="S19" i="63" s="1"/>
  <c r="P18" i="63"/>
  <c r="D19" i="63" l="1"/>
  <c r="H19" i="63" l="1"/>
  <c r="O19" i="63"/>
  <c r="G20" i="63" s="1"/>
  <c r="L19" i="63"/>
  <c r="T20" i="63" l="1"/>
  <c r="K20" i="63"/>
  <c r="U20" i="63" s="1"/>
  <c r="C20" i="63"/>
  <c r="S20" i="63" s="1"/>
  <c r="P19" i="63"/>
  <c r="D20" i="63" l="1"/>
  <c r="O20" i="63" l="1"/>
  <c r="G21" i="63" s="1"/>
  <c r="L20" i="63"/>
  <c r="H20" i="63"/>
  <c r="T21" i="63" l="1"/>
  <c r="K21" i="63"/>
  <c r="U21" i="63" s="1"/>
  <c r="P20" i="63"/>
  <c r="C21" i="63"/>
  <c r="S21" i="63" s="1"/>
  <c r="D21" i="63" l="1"/>
  <c r="L21" i="63" l="1"/>
  <c r="O21" i="63"/>
  <c r="G22" i="63" s="1"/>
  <c r="H21" i="63"/>
  <c r="T22" i="63" l="1"/>
  <c r="K22" i="63"/>
  <c r="U22" i="63" s="1"/>
  <c r="C22" i="63"/>
  <c r="S22" i="63" s="1"/>
  <c r="P21" i="63"/>
  <c r="D22" i="63" l="1"/>
  <c r="L22" i="63" l="1"/>
  <c r="O22" i="63"/>
  <c r="G23" i="63" s="1"/>
  <c r="H22" i="63"/>
  <c r="T23" i="63" l="1"/>
  <c r="K23" i="63"/>
  <c r="U23" i="63" s="1"/>
  <c r="P22" i="63"/>
  <c r="C23" i="63"/>
  <c r="S23" i="63" s="1"/>
  <c r="D23" i="63" l="1"/>
  <c r="H23" i="63" l="1"/>
  <c r="O23" i="63"/>
  <c r="G24" i="63" s="1"/>
  <c r="L23" i="63"/>
  <c r="T24" i="63" l="1"/>
  <c r="K24" i="63"/>
  <c r="U24" i="63" s="1"/>
  <c r="P23" i="63"/>
  <c r="C24" i="63"/>
  <c r="S24" i="63" s="1"/>
  <c r="D24" i="63" l="1"/>
  <c r="L24" i="63" l="1"/>
  <c r="O24" i="63"/>
  <c r="G25" i="63" s="1"/>
  <c r="H24" i="63"/>
  <c r="T25" i="63" l="1"/>
  <c r="K25" i="63"/>
  <c r="U25" i="63" s="1"/>
  <c r="P24" i="63"/>
  <c r="C25" i="63"/>
  <c r="S25" i="63" s="1"/>
  <c r="D25" i="63" l="1"/>
  <c r="L25" i="63" l="1"/>
  <c r="O25" i="63"/>
  <c r="G26" i="63" s="1"/>
  <c r="H25" i="63"/>
  <c r="T26" i="63" l="1"/>
  <c r="K26" i="63"/>
  <c r="U26" i="63" s="1"/>
  <c r="P25" i="63"/>
  <c r="C26" i="63"/>
  <c r="S26" i="63" s="1"/>
  <c r="D26" i="63" l="1"/>
  <c r="H26" i="63" l="1"/>
  <c r="L26" i="63"/>
  <c r="O26" i="63"/>
  <c r="G27" i="63" s="1"/>
  <c r="T27" i="63" l="1"/>
  <c r="K27" i="63"/>
  <c r="U27" i="63" s="1"/>
  <c r="P26" i="63"/>
  <c r="C27" i="63"/>
  <c r="S27" i="63" s="1"/>
  <c r="D27" i="63" l="1"/>
  <c r="H27" i="63" l="1"/>
  <c r="L27" i="63"/>
  <c r="O27" i="63"/>
  <c r="G28" i="63" s="1"/>
  <c r="T28" i="63" l="1"/>
  <c r="K28" i="63"/>
  <c r="U28" i="63" s="1"/>
  <c r="P27" i="63"/>
  <c r="C28" i="63"/>
  <c r="S28" i="63" s="1"/>
  <c r="D28" i="63" l="1"/>
  <c r="H28" i="63" l="1"/>
  <c r="O28" i="63"/>
  <c r="G29" i="63" s="1"/>
  <c r="L28" i="63"/>
  <c r="T29" i="63" l="1"/>
  <c r="K29" i="63"/>
  <c r="U29" i="63" s="1"/>
  <c r="P28" i="63"/>
  <c r="C29" i="63"/>
  <c r="S29" i="63" s="1"/>
  <c r="D29" i="63" l="1"/>
  <c r="H29" i="63" l="1"/>
  <c r="L29" i="63"/>
  <c r="O29" i="63"/>
  <c r="G30" i="63" s="1"/>
  <c r="T30" i="63" l="1"/>
  <c r="K30" i="63"/>
  <c r="U30" i="63" s="1"/>
  <c r="P29" i="63"/>
  <c r="C30" i="63"/>
  <c r="S30" i="63" s="1"/>
  <c r="D30" i="63" l="1"/>
  <c r="H30" i="63" l="1"/>
  <c r="O30" i="63"/>
  <c r="G31" i="63" s="1"/>
  <c r="L30" i="63"/>
  <c r="T31" i="63" l="1"/>
  <c r="K31" i="63"/>
  <c r="U31" i="63" s="1"/>
  <c r="C31" i="63"/>
  <c r="S31" i="63" s="1"/>
  <c r="P30" i="63"/>
  <c r="D31" i="63" l="1"/>
  <c r="O31" i="63" l="1"/>
  <c r="G32" i="63" s="1"/>
  <c r="L31" i="63"/>
  <c r="H31" i="63"/>
  <c r="T32" i="63" l="1"/>
  <c r="K32" i="63"/>
  <c r="U32" i="63" s="1"/>
  <c r="P31" i="63"/>
  <c r="C32" i="63"/>
  <c r="S32" i="63" s="1"/>
  <c r="D32" i="63" l="1"/>
  <c r="H32" i="63" l="1"/>
  <c r="L32" i="63"/>
  <c r="O32" i="63"/>
  <c r="G33" i="63" s="1"/>
  <c r="T33" i="63" l="1"/>
  <c r="K33" i="63"/>
  <c r="U33" i="63" s="1"/>
  <c r="P32" i="63"/>
  <c r="C33" i="63"/>
  <c r="S33" i="63" s="1"/>
  <c r="D33" i="63" l="1"/>
  <c r="H33" i="63" l="1"/>
  <c r="O33" i="63"/>
  <c r="G34" i="63" s="1"/>
  <c r="L33" i="63"/>
  <c r="T34" i="63" l="1"/>
  <c r="K34" i="63"/>
  <c r="U34" i="63" s="1"/>
  <c r="P33" i="63"/>
  <c r="C34" i="63"/>
  <c r="S34" i="63" s="1"/>
  <c r="D34" i="63" l="1"/>
  <c r="H34" i="63" l="1"/>
  <c r="O34" i="63"/>
  <c r="G35" i="63" s="1"/>
  <c r="L34" i="63"/>
  <c r="T35" i="63" l="1"/>
  <c r="K35" i="63"/>
  <c r="U35" i="63" s="1"/>
  <c r="P34" i="63"/>
  <c r="C35" i="63"/>
  <c r="S35" i="63" s="1"/>
  <c r="D35" i="63" l="1"/>
  <c r="L35" i="63" l="1"/>
  <c r="O35" i="63"/>
  <c r="G36" i="63" s="1"/>
  <c r="H35" i="63"/>
  <c r="T36" i="63" l="1"/>
  <c r="K36" i="63"/>
  <c r="U36" i="63" s="1"/>
  <c r="P35" i="63"/>
  <c r="C36" i="63"/>
  <c r="S36" i="63" s="1"/>
  <c r="D36" i="63" l="1"/>
  <c r="H36" i="63" l="1"/>
  <c r="O36" i="63"/>
  <c r="G37" i="63" s="1"/>
  <c r="L36" i="63"/>
  <c r="T37" i="63" l="1"/>
  <c r="K37" i="63"/>
  <c r="U37" i="63" s="1"/>
  <c r="P36" i="63"/>
  <c r="C37" i="63"/>
  <c r="S37" i="63" s="1"/>
  <c r="D37" i="63" l="1"/>
  <c r="L37" i="63" l="1"/>
  <c r="O37" i="63"/>
  <c r="G38" i="63" s="1"/>
  <c r="H37" i="63"/>
  <c r="T38" i="63" l="1"/>
  <c r="K38" i="63"/>
  <c r="U38" i="63" s="1"/>
  <c r="C38" i="63"/>
  <c r="S38" i="63" s="1"/>
  <c r="P37" i="63"/>
  <c r="D38" i="63" l="1"/>
  <c r="L38" i="63" l="1"/>
  <c r="O38" i="63"/>
  <c r="G39" i="63" s="1"/>
  <c r="H38" i="63"/>
  <c r="T39" i="63" l="1"/>
  <c r="K39" i="63"/>
  <c r="U39" i="63" s="1"/>
  <c r="P38" i="63"/>
  <c r="C39" i="63"/>
  <c r="S39" i="63" s="1"/>
  <c r="D39" i="63" l="1"/>
  <c r="C40" i="63"/>
  <c r="O39" i="63" l="1"/>
  <c r="L39" i="63"/>
  <c r="K40" i="63"/>
  <c r="H39" i="63"/>
  <c r="G40" i="63"/>
  <c r="P39" i="63" l="1"/>
  <c r="O40" i="63"/>
  <c r="O43" i="63" s="1"/>
  <c r="AE50" i="59"/>
  <c r="AD35" i="59"/>
  <c r="AE35" i="59" s="1"/>
  <c r="AE87" i="59"/>
  <c r="AD48" i="59"/>
  <c r="AE51" i="59"/>
  <c r="AE69" i="59"/>
  <c r="AE53" i="59"/>
  <c r="AE86" i="59"/>
  <c r="AE60" i="59"/>
  <c r="AE79" i="59"/>
  <c r="AE84" i="59"/>
  <c r="AE80" i="59"/>
  <c r="AE82" i="59"/>
  <c r="AD49" i="59"/>
  <c r="AE49" i="59" s="1"/>
  <c r="AE76" i="59"/>
  <c r="AD38" i="59"/>
  <c r="AE61" i="59"/>
  <c r="AE93" i="59"/>
  <c r="AD30" i="59"/>
  <c r="AE30" i="59" s="1"/>
  <c r="AD44" i="59"/>
  <c r="AE91" i="59"/>
  <c r="AD34" i="59"/>
  <c r="AE34" i="59" s="1"/>
  <c r="AD27" i="59"/>
  <c r="AE27" i="59" s="1"/>
  <c r="AD47" i="59"/>
  <c r="AD40" i="59"/>
  <c r="AE40" i="59" s="1"/>
  <c r="AE58" i="59"/>
  <c r="AD29" i="59"/>
  <c r="AE100" i="59"/>
  <c r="AD20" i="59"/>
  <c r="AE20" i="59" s="1"/>
  <c r="AD36" i="59"/>
  <c r="AE36" i="59" s="1"/>
  <c r="AD45" i="59"/>
  <c r="AE45" i="59" s="1"/>
  <c r="AE72" i="59"/>
  <c r="AD23" i="59"/>
  <c r="AE23" i="59" s="1"/>
  <c r="AD46" i="59"/>
  <c r="AE46" i="59" s="1"/>
  <c r="AE88" i="59"/>
  <c r="AD22" i="59"/>
  <c r="AE97" i="59"/>
  <c r="AD33" i="59"/>
  <c r="AE33" i="59" s="1"/>
  <c r="AD32" i="59"/>
  <c r="AE95" i="59"/>
  <c r="AD42" i="59"/>
  <c r="AD24" i="59"/>
  <c r="AD37" i="59"/>
  <c r="AE37" i="59" s="1"/>
  <c r="AD21" i="59"/>
  <c r="AE64" i="59"/>
  <c r="AE89" i="59"/>
  <c r="AE77" i="59"/>
  <c r="AE54" i="59"/>
  <c r="AE52" i="59"/>
  <c r="AD28" i="59"/>
  <c r="AE28" i="59" s="1"/>
  <c r="AE57" i="59"/>
  <c r="AE62" i="59"/>
  <c r="AE63" i="59"/>
  <c r="AE59" i="59"/>
  <c r="AE71" i="59"/>
  <c r="AD43" i="59"/>
  <c r="AE43" i="59" s="1"/>
  <c r="AE98" i="59"/>
  <c r="AD39" i="59"/>
  <c r="AE66" i="59"/>
  <c r="AD31" i="59"/>
  <c r="AE31" i="59" s="1"/>
  <c r="AD41" i="59"/>
  <c r="AE41" i="59" s="1"/>
  <c r="AE75" i="59"/>
  <c r="AE67" i="59"/>
  <c r="AD26" i="59"/>
  <c r="AE26" i="59" s="1"/>
  <c r="AD25" i="59"/>
  <c r="AE25" i="59" s="1"/>
  <c r="AE42" i="59" l="1"/>
  <c r="AE56" i="59"/>
  <c r="AE39" i="59"/>
  <c r="AE96" i="59"/>
  <c r="AE22" i="59"/>
  <c r="AE73" i="59"/>
  <c r="AE92" i="59"/>
  <c r="AE99" i="59"/>
  <c r="AE83" i="59"/>
  <c r="AE74" i="59"/>
  <c r="AE90" i="59"/>
  <c r="AE48" i="59"/>
  <c r="AE70" i="59"/>
  <c r="AE32" i="59"/>
  <c r="AE44" i="59"/>
  <c r="AE21" i="59"/>
  <c r="AE24" i="59"/>
  <c r="AE85" i="59"/>
  <c r="AE78" i="59"/>
  <c r="AE55" i="59"/>
  <c r="AE81" i="59"/>
  <c r="AE38" i="59"/>
  <c r="AE47" i="59"/>
  <c r="AE29" i="59"/>
  <c r="AE94" i="59"/>
  <c r="AE68" i="59"/>
  <c r="AE65" i="59"/>
  <c r="AH50" i="59"/>
  <c r="AH55" i="59"/>
  <c r="AH54" i="59"/>
  <c r="AH61" i="59"/>
  <c r="AH51" i="59"/>
  <c r="AG30" i="59"/>
  <c r="AH30" i="59" s="1"/>
  <c r="AH80" i="59"/>
  <c r="AG48" i="59"/>
  <c r="AH72" i="59"/>
  <c r="AH58" i="59"/>
  <c r="AG40" i="59"/>
  <c r="AH40" i="59" s="1"/>
  <c r="AH85" i="59"/>
  <c r="AG44" i="59"/>
  <c r="AH44" i="59" s="1"/>
  <c r="AG37" i="59"/>
  <c r="AH37" i="59" s="1"/>
  <c r="AH97" i="59"/>
  <c r="AH62" i="59"/>
  <c r="AH78" i="59"/>
  <c r="AH53" i="59"/>
  <c r="AH69" i="59"/>
  <c r="AG36" i="59"/>
  <c r="AG49" i="59"/>
  <c r="AH84" i="59"/>
  <c r="AG27" i="59"/>
  <c r="AH75" i="59"/>
  <c r="AG35" i="59"/>
  <c r="AH35" i="59" s="1"/>
  <c r="AG20" i="59"/>
  <c r="AH20" i="59" s="1"/>
  <c r="AH81" i="59"/>
  <c r="AG39" i="59"/>
  <c r="AH39" i="59" s="1"/>
  <c r="AG34" i="59"/>
  <c r="AH34" i="59" s="1"/>
  <c r="AH57" i="59"/>
  <c r="AH73" i="59"/>
  <c r="AG33" i="59"/>
  <c r="AG41" i="59"/>
  <c r="AH41" i="59" s="1"/>
  <c r="AH100" i="59"/>
  <c r="AH90" i="59"/>
  <c r="AH74" i="59"/>
  <c r="AH89" i="59"/>
  <c r="AG42" i="59"/>
  <c r="AH42" i="59" s="1"/>
  <c r="AH79" i="59"/>
  <c r="AG22" i="59"/>
  <c r="AH22" i="59" s="1"/>
  <c r="AG26" i="59"/>
  <c r="AH26" i="59" s="1"/>
  <c r="AH60" i="59"/>
  <c r="AH87" i="59"/>
  <c r="AH76" i="59"/>
  <c r="AG23" i="59"/>
  <c r="AH23" i="59" s="1"/>
  <c r="AH99" i="59"/>
  <c r="AH59" i="59"/>
  <c r="AG43" i="59"/>
  <c r="AH66" i="59"/>
  <c r="AG28" i="59"/>
  <c r="AH28" i="59" s="1"/>
  <c r="AH70" i="59"/>
  <c r="AH71" i="59"/>
  <c r="AH63" i="59"/>
  <c r="AH68" i="59"/>
  <c r="AH83" i="59"/>
  <c r="AG47" i="59"/>
  <c r="AH47" i="59" s="1"/>
  <c r="AG45" i="59"/>
  <c r="AH45" i="59" s="1"/>
  <c r="AH94" i="59"/>
  <c r="AG32" i="59"/>
  <c r="AH32" i="59" s="1"/>
  <c r="AG38" i="59"/>
  <c r="AH38" i="59" s="1"/>
  <c r="AH92" i="59"/>
  <c r="AH67" i="59"/>
  <c r="AG21" i="59"/>
  <c r="AH21" i="59" s="1"/>
  <c r="AH98" i="59"/>
  <c r="AG25" i="59"/>
  <c r="AH25" i="59" s="1"/>
  <c r="AG46" i="59"/>
  <c r="AH46" i="59" s="1"/>
  <c r="AG31" i="59"/>
  <c r="AH31" i="59" s="1"/>
  <c r="AH96" i="59"/>
  <c r="AH65" i="59"/>
  <c r="AG24" i="59"/>
  <c r="AH24" i="59" s="1"/>
  <c r="AH64" i="59"/>
  <c r="AG29" i="59"/>
  <c r="AH29" i="59" s="1"/>
  <c r="AE101" i="59" l="1"/>
  <c r="AH77" i="59"/>
  <c r="AH88" i="59"/>
  <c r="AH49" i="59"/>
  <c r="AH52" i="59"/>
  <c r="AH91" i="59"/>
  <c r="AH43" i="59"/>
  <c r="AH86" i="59"/>
  <c r="AH56" i="59"/>
  <c r="AH95" i="59"/>
  <c r="AH27" i="59"/>
  <c r="AH33" i="59"/>
  <c r="AH93" i="59"/>
  <c r="AH36" i="59"/>
  <c r="AH82" i="59"/>
  <c r="AH48" i="59"/>
  <c r="Y89" i="59"/>
  <c r="AA89" i="59" s="1"/>
  <c r="AJ35" i="59"/>
  <c r="Y35" i="59" s="1"/>
  <c r="AA35" i="59" s="1"/>
  <c r="Y98" i="59"/>
  <c r="AA98" i="59" s="1"/>
  <c r="AJ34" i="59"/>
  <c r="AK34" i="59" s="1"/>
  <c r="AL34" i="59" s="1"/>
  <c r="AM34" i="59" s="1"/>
  <c r="Y61" i="59"/>
  <c r="AA61" i="59" s="1"/>
  <c r="AK61" i="59"/>
  <c r="AL61" i="59" s="1"/>
  <c r="AM61" i="59" s="1"/>
  <c r="AJ38" i="59"/>
  <c r="Y38" i="59" s="1"/>
  <c r="AA38" i="59" s="1"/>
  <c r="Y54" i="59"/>
  <c r="AA54" i="59" s="1"/>
  <c r="AJ30" i="59"/>
  <c r="Y30" i="59" s="1"/>
  <c r="AA30" i="59" s="1"/>
  <c r="AK82" i="59"/>
  <c r="Y82" i="59"/>
  <c r="AA82" i="59" s="1"/>
  <c r="Y72" i="59"/>
  <c r="AA72" i="59" s="1"/>
  <c r="AJ40" i="59"/>
  <c r="AK40" i="59" s="1"/>
  <c r="AL40" i="59" s="1"/>
  <c r="AM40" i="59" s="1"/>
  <c r="AK68" i="59"/>
  <c r="AL68" i="59" s="1"/>
  <c r="AM68" i="59" s="1"/>
  <c r="AK72" i="59"/>
  <c r="AL72" i="59" s="1"/>
  <c r="AM72" i="59" s="1"/>
  <c r="Y99" i="59"/>
  <c r="AA99" i="59" s="1"/>
  <c r="AJ39" i="59"/>
  <c r="AK39" i="59" s="1"/>
  <c r="AL39" i="59" s="1"/>
  <c r="AM39" i="59" s="1"/>
  <c r="AK55" i="59"/>
  <c r="AL55" i="59" s="1"/>
  <c r="AM55" i="59" s="1"/>
  <c r="AK50" i="59"/>
  <c r="AL50" i="59" s="1"/>
  <c r="AM50" i="59" s="1"/>
  <c r="Y78" i="59"/>
  <c r="AA78" i="59" s="1"/>
  <c r="AK78" i="59"/>
  <c r="AL78" i="59" s="1"/>
  <c r="AM78" i="59" s="1"/>
  <c r="AJ33" i="59"/>
  <c r="Y33" i="59" s="1"/>
  <c r="AA33" i="59" s="1"/>
  <c r="AK98" i="59"/>
  <c r="AL98" i="59" s="1"/>
  <c r="AM98" i="59" s="1"/>
  <c r="AJ37" i="59"/>
  <c r="Y37" i="59" s="1"/>
  <c r="AA37" i="59" s="1"/>
  <c r="AJ31" i="59"/>
  <c r="AK31" i="59" s="1"/>
  <c r="AL31" i="59" s="1"/>
  <c r="AM31" i="59" s="1"/>
  <c r="Y50" i="59"/>
  <c r="AA50" i="59" s="1"/>
  <c r="AJ22" i="59"/>
  <c r="AJ28" i="59"/>
  <c r="AK28" i="59" s="1"/>
  <c r="AL28" i="59" s="1"/>
  <c r="AM28" i="59" s="1"/>
  <c r="Y68" i="59"/>
  <c r="AA68" i="59" s="1"/>
  <c r="AK90" i="59"/>
  <c r="AL90" i="59" s="1"/>
  <c r="AM90" i="59" s="1"/>
  <c r="AK56" i="59"/>
  <c r="Y56" i="59"/>
  <c r="AA56" i="59" s="1"/>
  <c r="AK84" i="59"/>
  <c r="AL84" i="59" s="1"/>
  <c r="AM84" i="59" s="1"/>
  <c r="Y65" i="59"/>
  <c r="AA65" i="59" s="1"/>
  <c r="Y75" i="59"/>
  <c r="AA75" i="59" s="1"/>
  <c r="Y77" i="59"/>
  <c r="AA77" i="59" s="1"/>
  <c r="AJ42" i="59"/>
  <c r="AK42" i="59" s="1"/>
  <c r="AL42" i="59" s="1"/>
  <c r="AM42" i="59" s="1"/>
  <c r="AK77" i="59"/>
  <c r="Y51" i="59"/>
  <c r="AA51" i="59" s="1"/>
  <c r="AK51" i="59"/>
  <c r="AL51" i="59" s="1"/>
  <c r="AM51" i="59" s="1"/>
  <c r="AJ48" i="59"/>
  <c r="AK48" i="59" s="1"/>
  <c r="AJ26" i="59"/>
  <c r="Y26" i="59" s="1"/>
  <c r="AA26" i="59" s="1"/>
  <c r="AJ21" i="59"/>
  <c r="AK21" i="59" s="1"/>
  <c r="AL21" i="59" s="1"/>
  <c r="AM21" i="59" s="1"/>
  <c r="AK65" i="59"/>
  <c r="AL65" i="59" s="1"/>
  <c r="AM65" i="59" s="1"/>
  <c r="AJ44" i="59"/>
  <c r="Y44" i="59" s="1"/>
  <c r="AA44" i="59" s="1"/>
  <c r="Y80" i="59"/>
  <c r="AA80" i="59" s="1"/>
  <c r="Y52" i="59"/>
  <c r="AA52" i="59" s="1"/>
  <c r="Y66" i="59"/>
  <c r="AA66" i="59" s="1"/>
  <c r="AK66" i="59"/>
  <c r="AL66" i="59" s="1"/>
  <c r="AM66" i="59" s="1"/>
  <c r="Y69" i="59"/>
  <c r="AA69" i="59" s="1"/>
  <c r="AJ47" i="59"/>
  <c r="Y47" i="59" s="1"/>
  <c r="AA47" i="59" s="1"/>
  <c r="AJ29" i="59"/>
  <c r="AK29" i="59" s="1"/>
  <c r="AL29" i="59" s="1"/>
  <c r="AM29" i="59" s="1"/>
  <c r="AJ23" i="59"/>
  <c r="Y23" i="59" s="1"/>
  <c r="AA23" i="59" s="1"/>
  <c r="Y73" i="59"/>
  <c r="AA73" i="59" s="1"/>
  <c r="AK52" i="59"/>
  <c r="AK74" i="59"/>
  <c r="AL74" i="59" s="1"/>
  <c r="AM74" i="59" s="1"/>
  <c r="AJ25" i="59"/>
  <c r="AK79" i="59"/>
  <c r="AL79" i="59" s="1"/>
  <c r="AM79" i="59" s="1"/>
  <c r="AK89" i="59"/>
  <c r="AL89" i="59" s="1"/>
  <c r="AM89" i="59" s="1"/>
  <c r="AJ36" i="59"/>
  <c r="Y36" i="59" s="1"/>
  <c r="AA36" i="59" s="1"/>
  <c r="Y90" i="59"/>
  <c r="AA90" i="59" s="1"/>
  <c r="Y58" i="59"/>
  <c r="AA58" i="59" s="1"/>
  <c r="AK58" i="59"/>
  <c r="AL58" i="59" s="1"/>
  <c r="AM58" i="59" s="1"/>
  <c r="AJ41" i="59"/>
  <c r="Y41" i="59" s="1"/>
  <c r="AA41" i="59" s="1"/>
  <c r="AK73" i="59"/>
  <c r="AL73" i="59" s="1"/>
  <c r="AM73" i="59" s="1"/>
  <c r="Y57" i="59"/>
  <c r="AA57" i="59" s="1"/>
  <c r="AK57" i="59"/>
  <c r="AL57" i="59" s="1"/>
  <c r="AM57" i="59" s="1"/>
  <c r="Y93" i="59"/>
  <c r="AA93" i="59" s="1"/>
  <c r="AK93" i="59"/>
  <c r="Y95" i="59"/>
  <c r="AA95" i="59" s="1"/>
  <c r="AJ46" i="59"/>
  <c r="AK46" i="59" s="1"/>
  <c r="AL46" i="59" s="1"/>
  <c r="AM46" i="59" s="1"/>
  <c r="AJ32" i="59"/>
  <c r="AK32" i="59" s="1"/>
  <c r="AL32" i="59" s="1"/>
  <c r="AM32" i="59" s="1"/>
  <c r="AJ49" i="59"/>
  <c r="AK49" i="59" s="1"/>
  <c r="Y60" i="59"/>
  <c r="AA60" i="59" s="1"/>
  <c r="AK60" i="59"/>
  <c r="AL60" i="59" s="1"/>
  <c r="AM60" i="59" s="1"/>
  <c r="Y91" i="59"/>
  <c r="AA91" i="59" s="1"/>
  <c r="AK91" i="59"/>
  <c r="AK92" i="59"/>
  <c r="AL92" i="59" s="1"/>
  <c r="AM92" i="59" s="1"/>
  <c r="Y92" i="59"/>
  <c r="AA92" i="59" s="1"/>
  <c r="AK54" i="59"/>
  <c r="AL54" i="59" s="1"/>
  <c r="AM54" i="59" s="1"/>
  <c r="AJ27" i="59"/>
  <c r="Y27" i="59" s="1"/>
  <c r="AA27" i="59" s="1"/>
  <c r="Y88" i="59"/>
  <c r="AA88" i="59" s="1"/>
  <c r="AJ43" i="59"/>
  <c r="Y43" i="59" s="1"/>
  <c r="AA43" i="59" s="1"/>
  <c r="AK95" i="59"/>
  <c r="Y100" i="59"/>
  <c r="AA100" i="59" s="1"/>
  <c r="AK100" i="59"/>
  <c r="AL100" i="59" s="1"/>
  <c r="AM100" i="59" s="1"/>
  <c r="AK86" i="59"/>
  <c r="Y86" i="59"/>
  <c r="AA86" i="59" s="1"/>
  <c r="Y55" i="59"/>
  <c r="AA55" i="59" s="1"/>
  <c r="AJ45" i="59"/>
  <c r="Y45" i="59" s="1"/>
  <c r="AA45" i="59" s="1"/>
  <c r="AJ24" i="59"/>
  <c r="Y24" i="59" s="1"/>
  <c r="AA24" i="59" s="1"/>
  <c r="AJ20" i="59"/>
  <c r="AK20" i="59" s="1"/>
  <c r="AK99" i="59"/>
  <c r="AL99" i="59" s="1"/>
  <c r="AM99" i="59" s="1"/>
  <c r="Y85" i="59"/>
  <c r="AA85" i="59" s="1"/>
  <c r="Y71" i="59"/>
  <c r="AA71" i="59" s="1"/>
  <c r="Y53" i="59"/>
  <c r="AA53" i="59" s="1"/>
  <c r="AK53" i="59"/>
  <c r="AL53" i="59" s="1"/>
  <c r="AM53" i="59" s="1"/>
  <c r="AK69" i="59"/>
  <c r="AL69" i="59" s="1"/>
  <c r="AM69" i="59" s="1"/>
  <c r="AK37" i="59" l="1"/>
  <c r="AL37" i="59" s="1"/>
  <c r="AM37" i="59" s="1"/>
  <c r="Y20" i="59"/>
  <c r="AA20" i="59" s="1"/>
  <c r="AK35" i="59"/>
  <c r="AL35" i="59" s="1"/>
  <c r="AM35" i="59" s="1"/>
  <c r="Y46" i="59"/>
  <c r="AA46" i="59" s="1"/>
  <c r="AK41" i="59"/>
  <c r="AL41" i="59" s="1"/>
  <c r="AM41" i="59" s="1"/>
  <c r="AK33" i="59"/>
  <c r="AL33" i="59" s="1"/>
  <c r="AM33" i="59" s="1"/>
  <c r="AL91" i="59"/>
  <c r="AM91" i="59" s="1"/>
  <c r="Y48" i="59"/>
  <c r="AA48" i="59" s="1"/>
  <c r="AK30" i="59"/>
  <c r="AL30" i="59" s="1"/>
  <c r="AM30" i="59" s="1"/>
  <c r="AK24" i="59"/>
  <c r="AL24" i="59" s="1"/>
  <c r="AM24" i="59" s="1"/>
  <c r="Y21" i="59"/>
  <c r="AA21" i="59" s="1"/>
  <c r="Y31" i="59"/>
  <c r="AA31" i="59" s="1"/>
  <c r="Y29" i="59"/>
  <c r="AA29" i="59" s="1"/>
  <c r="AK47" i="59"/>
  <c r="AL47" i="59" s="1"/>
  <c r="AM47" i="59" s="1"/>
  <c r="AK38" i="59"/>
  <c r="AL38" i="59" s="1"/>
  <c r="AM38" i="59" s="1"/>
  <c r="AK36" i="59"/>
  <c r="AL36" i="59" s="1"/>
  <c r="AM36" i="59" s="1"/>
  <c r="AK23" i="59"/>
  <c r="AL23" i="59" s="1"/>
  <c r="AM23" i="59" s="1"/>
  <c r="AK44" i="59"/>
  <c r="AL44" i="59" s="1"/>
  <c r="AM44" i="59" s="1"/>
  <c r="Y42" i="59"/>
  <c r="AA42" i="59" s="1"/>
  <c r="AL49" i="59"/>
  <c r="AM49" i="59" s="1"/>
  <c r="AL52" i="59"/>
  <c r="AM52" i="59" s="1"/>
  <c r="AL77" i="59"/>
  <c r="AM77" i="59" s="1"/>
  <c r="AL95" i="59"/>
  <c r="AM95" i="59" s="1"/>
  <c r="AL48" i="59"/>
  <c r="AM48" i="59" s="1"/>
  <c r="AL86" i="59"/>
  <c r="AM86" i="59" s="1"/>
  <c r="AL93" i="59"/>
  <c r="AM93" i="59" s="1"/>
  <c r="AL82" i="59"/>
  <c r="AM82" i="59" s="1"/>
  <c r="AL56" i="59"/>
  <c r="AM56" i="59" s="1"/>
  <c r="AH101" i="59"/>
  <c r="AL20" i="59"/>
  <c r="AM20" i="59" s="1"/>
  <c r="AK59" i="59"/>
  <c r="AL59" i="59" s="1"/>
  <c r="AM59" i="59" s="1"/>
  <c r="Y59" i="59"/>
  <c r="AA59" i="59" s="1"/>
  <c r="AK45" i="59"/>
  <c r="AL45" i="59" s="1"/>
  <c r="AM45" i="59" s="1"/>
  <c r="Y25" i="59"/>
  <c r="AA25" i="59" s="1"/>
  <c r="AK25" i="59"/>
  <c r="AL25" i="59" s="1"/>
  <c r="AM25" i="59" s="1"/>
  <c r="AK75" i="59"/>
  <c r="AL75" i="59" s="1"/>
  <c r="AM75" i="59" s="1"/>
  <c r="AK64" i="59"/>
  <c r="AL64" i="59" s="1"/>
  <c r="AM64" i="59" s="1"/>
  <c r="Y64" i="59"/>
  <c r="AA64" i="59" s="1"/>
  <c r="Y79" i="59"/>
  <c r="AA79" i="59" s="1"/>
  <c r="AK70" i="59"/>
  <c r="AL70" i="59" s="1"/>
  <c r="AM70" i="59" s="1"/>
  <c r="Y70" i="59"/>
  <c r="AA70" i="59" s="1"/>
  <c r="Y84" i="59"/>
  <c r="AA84" i="59" s="1"/>
  <c r="Y74" i="59"/>
  <c r="AA74" i="59" s="1"/>
  <c r="Y39" i="59"/>
  <c r="AA39" i="59" s="1"/>
  <c r="Y32" i="59"/>
  <c r="AA32" i="59" s="1"/>
  <c r="Y40" i="59"/>
  <c r="AA40" i="59" s="1"/>
  <c r="Y28" i="59"/>
  <c r="AA28" i="59" s="1"/>
  <c r="AK71" i="59"/>
  <c r="AL71" i="59" s="1"/>
  <c r="AM71" i="59" s="1"/>
  <c r="AK85" i="59"/>
  <c r="AL85" i="59" s="1"/>
  <c r="AM85" i="59" s="1"/>
  <c r="AK43" i="59"/>
  <c r="AL43" i="59" s="1"/>
  <c r="AM43" i="59" s="1"/>
  <c r="AK88" i="59"/>
  <c r="AL88" i="59" s="1"/>
  <c r="AM88" i="59" s="1"/>
  <c r="AK27" i="59"/>
  <c r="AL27" i="59" s="1"/>
  <c r="AM27" i="59" s="1"/>
  <c r="Y49" i="59"/>
  <c r="AA49" i="59" s="1"/>
  <c r="Y94" i="59"/>
  <c r="AA94" i="59" s="1"/>
  <c r="AK94" i="59"/>
  <c r="AL94" i="59" s="1"/>
  <c r="AM94" i="59" s="1"/>
  <c r="AK80" i="59"/>
  <c r="AL80" i="59" s="1"/>
  <c r="AM80" i="59" s="1"/>
  <c r="AK26" i="59"/>
  <c r="AL26" i="59" s="1"/>
  <c r="AM26" i="59" s="1"/>
  <c r="Y87" i="59"/>
  <c r="AA87" i="59" s="1"/>
  <c r="AK87" i="59"/>
  <c r="AL87" i="59" s="1"/>
  <c r="AM87" i="59" s="1"/>
  <c r="Y76" i="59"/>
  <c r="AA76" i="59" s="1"/>
  <c r="AK76" i="59"/>
  <c r="AL76" i="59" s="1"/>
  <c r="AM76" i="59" s="1"/>
  <c r="AK96" i="59"/>
  <c r="AL96" i="59" s="1"/>
  <c r="AM96" i="59" s="1"/>
  <c r="Y96" i="59"/>
  <c r="AA96" i="59" s="1"/>
  <c r="Y22" i="59"/>
  <c r="AA22" i="59" s="1"/>
  <c r="AK22" i="59"/>
  <c r="AL22" i="59" s="1"/>
  <c r="AM22" i="59" s="1"/>
  <c r="AK81" i="59"/>
  <c r="AL81" i="59" s="1"/>
  <c r="AM81" i="59" s="1"/>
  <c r="Y81" i="59"/>
  <c r="AA81" i="59" s="1"/>
  <c r="Y34" i="59"/>
  <c r="AA34" i="59" s="1"/>
  <c r="Y63" i="59"/>
  <c r="AA63" i="59" s="1"/>
  <c r="AK63" i="59"/>
  <c r="AL63" i="59" s="1"/>
  <c r="AM63" i="59" s="1"/>
  <c r="AK67" i="59"/>
  <c r="AL67" i="59" s="1"/>
  <c r="AM67" i="59" s="1"/>
  <c r="Y67" i="59"/>
  <c r="AA67" i="59" s="1"/>
  <c r="Y62" i="59"/>
  <c r="AA62" i="59" s="1"/>
  <c r="AK62" i="59"/>
  <c r="AL62" i="59" s="1"/>
  <c r="AM62" i="59" s="1"/>
  <c r="AK97" i="59"/>
  <c r="AL97" i="59" s="1"/>
  <c r="AM97" i="59" s="1"/>
  <c r="Y97" i="59"/>
  <c r="AA97" i="59" s="1"/>
  <c r="AK83" i="59"/>
  <c r="AL83" i="59" s="1"/>
  <c r="AM83" i="59" s="1"/>
  <c r="Y83" i="59"/>
  <c r="AA83" i="59" s="1"/>
  <c r="AK101" i="59" l="1"/>
  <c r="AM101" i="59"/>
  <c r="H2" i="52" s="1"/>
</calcChain>
</file>

<file path=xl/comments1.xml><?xml version="1.0" encoding="utf-8"?>
<comments xmlns="http://schemas.openxmlformats.org/spreadsheetml/2006/main">
  <authors>
    <author>AW</author>
    <author>GW</author>
  </authors>
  <commentList>
    <comment ref="A9" authorId="0" shapeId="0">
      <text>
        <r>
          <rPr>
            <b/>
            <sz val="9"/>
            <color indexed="81"/>
            <rFont val="Tahoma"/>
            <family val="2"/>
          </rPr>
          <t>AW:</t>
        </r>
        <r>
          <rPr>
            <sz val="9"/>
            <color indexed="81"/>
            <rFont val="Tahoma"/>
            <family val="2"/>
          </rPr>
          <t xml:space="preserve">
business as usual scenario</t>
        </r>
      </text>
    </comment>
    <comment ref="D10" authorId="1" shapeId="0">
      <text>
        <r>
          <rPr>
            <sz val="11"/>
            <color indexed="81"/>
            <rFont val="Tahoma"/>
            <family val="2"/>
          </rPr>
          <t xml:space="preserve">over threshold
</t>
        </r>
      </text>
    </comment>
    <comment ref="H10" authorId="1" shapeId="0">
      <text>
        <r>
          <rPr>
            <sz val="11"/>
            <color indexed="81"/>
            <rFont val="Tahoma"/>
            <family val="2"/>
          </rPr>
          <t xml:space="preserve">over threshold
</t>
        </r>
      </text>
    </comment>
    <comment ref="L10" authorId="1" shapeId="0">
      <text>
        <r>
          <rPr>
            <sz val="11"/>
            <color indexed="81"/>
            <rFont val="Tahoma"/>
            <family val="2"/>
          </rPr>
          <t xml:space="preserve">over threshold
</t>
        </r>
      </text>
    </comment>
  </commentList>
</comments>
</file>

<file path=xl/comments2.xml><?xml version="1.0" encoding="utf-8"?>
<comments xmlns="http://schemas.openxmlformats.org/spreadsheetml/2006/main">
  <authors>
    <author>GW</author>
  </authors>
  <commentList>
    <comment ref="I9" authorId="0" shapeId="0">
      <text>
        <r>
          <rPr>
            <sz val="10"/>
            <color indexed="81"/>
            <rFont val="Times New Roman"/>
            <family val="1"/>
          </rPr>
          <t>GW:
Determination of a parabola with the following run: 
(2019;0), (2020; Value in Cell I9); (2050;100).
The value determines the beginning of the run of the parabola.
Only values between 0 and 100 are possible for C</t>
        </r>
        <r>
          <rPr>
            <vertAlign val="subscript"/>
            <sz val="10"/>
            <color indexed="81"/>
            <rFont val="Times New Roman"/>
            <family val="1"/>
          </rPr>
          <t>t</t>
        </r>
        <r>
          <rPr>
            <sz val="10"/>
            <color indexed="81"/>
            <rFont val="Times New Roman"/>
            <family val="1"/>
          </rPr>
          <t>.</t>
        </r>
      </text>
    </comment>
  </commentList>
</comments>
</file>

<file path=xl/sharedStrings.xml><?xml version="1.0" encoding="utf-8"?>
<sst xmlns="http://schemas.openxmlformats.org/spreadsheetml/2006/main" count="1128" uniqueCount="233">
  <si>
    <t>t</t>
  </si>
  <si>
    <t>∑</t>
  </si>
  <si>
    <t>a</t>
  </si>
  <si>
    <t>b</t>
  </si>
  <si>
    <t>c</t>
  </si>
  <si>
    <t>Global</t>
  </si>
  <si>
    <t>bn</t>
  </si>
  <si>
    <t>Country A</t>
  </si>
  <si>
    <t>Country B</t>
  </si>
  <si>
    <t>Country C</t>
  </si>
  <si>
    <t>Year
t</t>
  </si>
  <si>
    <t>Per capita</t>
  </si>
  <si>
    <r>
      <t>E</t>
    </r>
    <r>
      <rPr>
        <vertAlign val="superscript"/>
        <sz val="8"/>
        <rFont val="Times New Roman"/>
        <family val="1"/>
      </rPr>
      <t>i</t>
    </r>
    <r>
      <rPr>
        <vertAlign val="subscript"/>
        <sz val="8"/>
        <rFont val="Times New Roman"/>
        <family val="1"/>
      </rPr>
      <t>t</t>
    </r>
  </si>
  <si>
    <r>
      <t>Popu-lation
P</t>
    </r>
    <r>
      <rPr>
        <vertAlign val="superscript"/>
        <sz val="8"/>
        <rFont val="Times New Roman"/>
        <family val="1"/>
      </rPr>
      <t>i</t>
    </r>
    <r>
      <rPr>
        <vertAlign val="subscript"/>
        <sz val="8"/>
        <rFont val="Times New Roman"/>
        <family val="1"/>
      </rPr>
      <t>t</t>
    </r>
  </si>
  <si>
    <t>Constraint 1 in 2019:</t>
  </si>
  <si>
    <t>Constraint 2 in 2050:</t>
  </si>
  <si>
    <t>Constraint 3 in 2020:</t>
  </si>
  <si>
    <t>Remodeled constraint 1</t>
  </si>
  <si>
    <t>Remodeled constraint 2</t>
  </si>
  <si>
    <t>Remodeled constraint 3</t>
  </si>
  <si>
    <t>Authors:</t>
  </si>
  <si>
    <t>Gt</t>
  </si>
  <si>
    <r>
      <t>Popu-lation
P</t>
    </r>
    <r>
      <rPr>
        <vertAlign val="subscript"/>
        <sz val="8"/>
        <rFont val="Times New Roman"/>
        <family val="1"/>
      </rPr>
      <t>t</t>
    </r>
  </si>
  <si>
    <r>
      <t>E</t>
    </r>
    <r>
      <rPr>
        <vertAlign val="subscript"/>
        <sz val="8"/>
        <rFont val="Times New Roman"/>
        <family val="1"/>
      </rPr>
      <t>t</t>
    </r>
  </si>
  <si>
    <t>t=2019</t>
  </si>
  <si>
    <t>t=2050</t>
  </si>
  <si>
    <t>t=2020</t>
  </si>
  <si>
    <t>Parameter a:</t>
  </si>
  <si>
    <r>
      <rPr>
        <b/>
        <sz val="8"/>
        <rFont val="Times New Roman"/>
        <family val="1"/>
      </rPr>
      <t>C</t>
    </r>
    <r>
      <rPr>
        <b/>
        <vertAlign val="subscript"/>
        <sz val="8"/>
        <rFont val="Times New Roman"/>
        <family val="1"/>
      </rPr>
      <t>t</t>
    </r>
  </si>
  <si>
    <r>
      <t>Determination of C</t>
    </r>
    <r>
      <rPr>
        <vertAlign val="subscript"/>
        <sz val="8"/>
        <rFont val="Times New Roman"/>
        <family val="1"/>
      </rPr>
      <t>t</t>
    </r>
  </si>
  <si>
    <r>
      <rPr>
        <b/>
        <sz val="10"/>
        <rFont val="Times New Roman"/>
        <family val="1"/>
      </rPr>
      <t>C</t>
    </r>
    <r>
      <rPr>
        <b/>
        <vertAlign val="subscript"/>
        <sz val="10"/>
        <rFont val="Times New Roman"/>
        <family val="1"/>
      </rPr>
      <t>t</t>
    </r>
  </si>
  <si>
    <t>Sargl/Wolfsteiner/Wittmann</t>
  </si>
  <si>
    <t>C&amp;C: exponential approach</t>
  </si>
  <si>
    <t>C&amp;C: linear aproach</t>
  </si>
  <si>
    <t>LIMITS</t>
  </si>
  <si>
    <t>source:</t>
  </si>
  <si>
    <t>www.save-the-climate.info</t>
  </si>
  <si>
    <t>www.gci.org.uk</t>
  </si>
  <si>
    <t>www.feem-project.net/limits/docs/</t>
  </si>
  <si>
    <t>pc20</t>
  </si>
  <si>
    <t>input values</t>
  </si>
  <si>
    <t>global path:</t>
  </si>
  <si>
    <t>Allocation per capita starting 2020</t>
  </si>
  <si>
    <r>
      <t>T</t>
    </r>
    <r>
      <rPr>
        <vertAlign val="superscript"/>
        <sz val="10"/>
        <rFont val="Times New Roman"/>
        <family val="1"/>
      </rPr>
      <t>A</t>
    </r>
  </si>
  <si>
    <r>
      <t>r</t>
    </r>
    <r>
      <rPr>
        <vertAlign val="superscript"/>
        <sz val="10"/>
        <rFont val="Times New Roman"/>
        <family val="1"/>
      </rPr>
      <t>A</t>
    </r>
  </si>
  <si>
    <r>
      <t>m</t>
    </r>
    <r>
      <rPr>
        <vertAlign val="superscript"/>
        <sz val="10"/>
        <rFont val="Times New Roman"/>
        <family val="1"/>
      </rPr>
      <t>A</t>
    </r>
  </si>
  <si>
    <r>
      <t>r</t>
    </r>
    <r>
      <rPr>
        <vertAlign val="superscript"/>
        <sz val="10"/>
        <rFont val="Times New Roman"/>
        <family val="1"/>
      </rPr>
      <t>B</t>
    </r>
  </si>
  <si>
    <r>
      <t>T</t>
    </r>
    <r>
      <rPr>
        <vertAlign val="superscript"/>
        <sz val="10"/>
        <rFont val="Times New Roman"/>
        <family val="1"/>
      </rPr>
      <t>B</t>
    </r>
  </si>
  <si>
    <r>
      <t>m</t>
    </r>
    <r>
      <rPr>
        <vertAlign val="superscript"/>
        <sz val="10"/>
        <rFont val="Times New Roman"/>
        <family val="1"/>
      </rPr>
      <t>B</t>
    </r>
  </si>
  <si>
    <r>
      <t>T</t>
    </r>
    <r>
      <rPr>
        <vertAlign val="superscript"/>
        <sz val="10"/>
        <rFont val="Times New Roman"/>
        <family val="1"/>
      </rPr>
      <t>C</t>
    </r>
  </si>
  <si>
    <r>
      <t>r</t>
    </r>
    <r>
      <rPr>
        <vertAlign val="superscript"/>
        <sz val="10"/>
        <rFont val="Times New Roman"/>
        <family val="1"/>
      </rPr>
      <t>C</t>
    </r>
  </si>
  <si>
    <r>
      <t>m</t>
    </r>
    <r>
      <rPr>
        <vertAlign val="superscript"/>
        <sz val="10"/>
        <rFont val="Times New Roman"/>
        <family val="1"/>
      </rPr>
      <t>C</t>
    </r>
  </si>
  <si>
    <t>Rest</t>
  </si>
  <si>
    <r>
      <t>E</t>
    </r>
    <r>
      <rPr>
        <vertAlign val="superscript"/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CY</t>
    </r>
  </si>
  <si>
    <r>
      <t>E</t>
    </r>
    <r>
      <rPr>
        <vertAlign val="superscript"/>
        <sz val="10"/>
        <rFont val="Times New Roman"/>
        <family val="1"/>
      </rPr>
      <t>B</t>
    </r>
    <r>
      <rPr>
        <vertAlign val="subscript"/>
        <sz val="10"/>
        <rFont val="Times New Roman"/>
        <family val="1"/>
      </rPr>
      <t>CY</t>
    </r>
  </si>
  <si>
    <r>
      <t>E</t>
    </r>
    <r>
      <rPr>
        <vertAlign val="superscript"/>
        <sz val="10"/>
        <rFont val="Times New Roman"/>
        <family val="1"/>
      </rPr>
      <t>C</t>
    </r>
    <r>
      <rPr>
        <vertAlign val="subscript"/>
        <sz val="10"/>
        <rFont val="Times New Roman"/>
        <family val="1"/>
      </rPr>
      <t>CY</t>
    </r>
  </si>
  <si>
    <r>
      <t>E</t>
    </r>
    <r>
      <rPr>
        <vertAlign val="subscript"/>
        <sz val="10"/>
        <rFont val="Times New Roman"/>
        <family val="1"/>
      </rPr>
      <t>CY</t>
    </r>
  </si>
  <si>
    <t>Global path ist different to the path in sheet "global path".</t>
  </si>
  <si>
    <t>global path 2020 - 2100 sheet "global path":</t>
  </si>
  <si>
    <t>Limitations</t>
  </si>
  <si>
    <t>-</t>
  </si>
  <si>
    <t>Description</t>
  </si>
  <si>
    <t>Data of the probability density functions</t>
  </si>
  <si>
    <t>G income</t>
  </si>
  <si>
    <t>G emissions</t>
  </si>
  <si>
    <t>E</t>
  </si>
  <si>
    <t>Data of the Lorenz curve</t>
  </si>
  <si>
    <t>population
share</t>
  </si>
  <si>
    <t>income
share</t>
  </si>
  <si>
    <t>quantiles</t>
  </si>
  <si>
    <t>squares</t>
  </si>
  <si>
    <t>emission
share</t>
  </si>
  <si>
    <t>target</t>
  </si>
  <si>
    <t>income</t>
  </si>
  <si>
    <t>probability</t>
  </si>
  <si>
    <t>cumulative</t>
  </si>
  <si>
    <t>emissions</t>
  </si>
  <si>
    <t>Cap</t>
  </si>
  <si>
    <t>square</t>
  </si>
  <si>
    <t>EPM</t>
  </si>
  <si>
    <t>Smooth Pathways; based on: Raupach et al. (2014) / Sharing a quota on cumulative carbon emissions / nature climate change DOI: 10.1038/NCLIMATE2384</t>
  </si>
  <si>
    <t>2020 - 2050</t>
  </si>
  <si>
    <t>Input of the quantiles of the Lorenz curve possible.</t>
  </si>
  <si>
    <t>Cap Model</t>
  </si>
  <si>
    <r>
      <rPr>
        <sz val="11"/>
        <color theme="1"/>
        <rFont val="Calibri"/>
        <family val="2"/>
      </rPr>
      <t>≈</t>
    </r>
    <r>
      <rPr>
        <sz val="11"/>
        <color theme="1"/>
        <rFont val="Times New Roman"/>
        <family val="2"/>
      </rPr>
      <t xml:space="preserve"> USA</t>
    </r>
  </si>
  <si>
    <r>
      <rPr>
        <sz val="11"/>
        <color theme="1"/>
        <rFont val="Calibri"/>
        <family val="2"/>
      </rPr>
      <t>≈</t>
    </r>
    <r>
      <rPr>
        <sz val="11"/>
        <color theme="1"/>
        <rFont val="Times New Roman"/>
        <family val="2"/>
      </rPr>
      <t xml:space="preserve"> Brazil</t>
    </r>
  </si>
  <si>
    <t>source data:</t>
  </si>
  <si>
    <t>http://data.worldbank.org/indicator/SI.DST.04TH.20/countries?display=default</t>
  </si>
  <si>
    <t>www.pnas.org</t>
  </si>
  <si>
    <r>
      <t>RB</t>
    </r>
    <r>
      <rPr>
        <vertAlign val="superscript"/>
        <sz val="10"/>
        <rFont val="Times New Roman"/>
        <family val="1"/>
      </rPr>
      <t>A</t>
    </r>
    <r>
      <rPr>
        <sz val="10"/>
        <rFont val="Times New Roman"/>
        <family val="1"/>
      </rPr>
      <t>:</t>
    </r>
  </si>
  <si>
    <r>
      <t>RB</t>
    </r>
    <r>
      <rPr>
        <vertAlign val="superscript"/>
        <sz val="10"/>
        <rFont val="Times New Roman"/>
        <family val="1"/>
      </rPr>
      <t>B</t>
    </r>
    <r>
      <rPr>
        <sz val="10"/>
        <rFont val="Times New Roman"/>
        <family val="1"/>
      </rPr>
      <t>:</t>
    </r>
  </si>
  <si>
    <r>
      <t>RB</t>
    </r>
    <r>
      <rPr>
        <vertAlign val="superscript"/>
        <sz val="10"/>
        <rFont val="Times New Roman"/>
        <family val="1"/>
      </rPr>
      <t>C</t>
    </r>
    <r>
      <rPr>
        <sz val="10"/>
        <rFont val="Times New Roman"/>
        <family val="1"/>
      </rPr>
      <t>:</t>
    </r>
  </si>
  <si>
    <t>RB:</t>
  </si>
  <si>
    <t>- Redefine caps for each year. Target = 0 by adjusting the caps of the individual years (variables).</t>
  </si>
  <si>
    <t>If you change the quantile values of countries, you have to do the following optimization with the help of the Excel solver:</t>
  </si>
  <si>
    <t>- For each country: minimize the target value by adjusting the parameter a (variable)</t>
  </si>
  <si>
    <t>Professor Manfred Sargl</t>
  </si>
  <si>
    <t>Andreas Wolfsteiner, Master of Economics</t>
  </si>
  <si>
    <t>Günter Wittmann, Master of Mathematics</t>
  </si>
  <si>
    <t>http://www.save-the-climate.info</t>
  </si>
  <si>
    <t>≈ emerging countries</t>
  </si>
  <si>
    <t>≈ developing countries</t>
  </si>
  <si>
    <t>Input value</t>
  </si>
  <si>
    <t>Input values</t>
  </si>
  <si>
    <t>≈ Niger</t>
  </si>
  <si>
    <t>The resulting global pathway ist different to the pathway in sheet "global path". So this model is comparable with the other models to a limited extent only.</t>
  </si>
  <si>
    <t>The per capita emissions converge far into the future; as you can see on the remaining budgets as of 2051. So this model is comparable with the other models to a limited extent only.</t>
  </si>
  <si>
    <t>reduction rate at the beginnging of 2020 for each country</t>
  </si>
  <si>
    <t>- The per capita emissions converge far into the future. So is it comparable with the models with converging per capita emissions upto 2050 to a limited extent only.</t>
  </si>
  <si>
    <t>- Actual correlation between emission and income distribution?</t>
  </si>
  <si>
    <t>weighting of per capita in 2020</t>
  </si>
  <si>
    <t>convergence period: 2020 - 2050</t>
  </si>
  <si>
    <t>≈ developed countries</t>
  </si>
  <si>
    <r>
      <t xml:space="preserve">parameter 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 xml:space="preserve"> of the weighting formula </t>
    </r>
    <r>
      <rPr>
        <i/>
        <sz val="10"/>
        <rFont val="Times New Roman"/>
        <family val="1"/>
      </rPr>
      <t>C</t>
    </r>
    <r>
      <rPr>
        <i/>
        <vertAlign val="subscript"/>
        <sz val="10"/>
        <rFont val="Times New Roman"/>
        <family val="1"/>
      </rPr>
      <t>t</t>
    </r>
  </si>
  <si>
    <t>difference</t>
  </si>
  <si>
    <t>over threshold</t>
  </si>
  <si>
    <t>CDC</t>
  </si>
  <si>
    <t>Niklas Höhne, Michel den Elzen, Martin Weiss</t>
  </si>
  <si>
    <t>https://ethree.com/downloads/Climate%20Change%20Readings/International%20Climate%20Policy/Hohne%20-%20Common%20but%20differentiated%20convergence.pdf</t>
  </si>
  <si>
    <t>differ-ence</t>
  </si>
  <si>
    <r>
      <t>change rate (</t>
    </r>
    <r>
      <rPr>
        <i/>
        <sz val="9"/>
        <rFont val="Times New Roman"/>
        <family val="1"/>
      </rPr>
      <t>CR</t>
    </r>
    <r>
      <rPr>
        <i/>
        <vertAlign val="superscript"/>
        <sz val="9"/>
        <rFont val="Times New Roman"/>
        <family val="1"/>
      </rPr>
      <t>i</t>
    </r>
    <r>
      <rPr>
        <sz val="9"/>
        <rFont val="Times New Roman"/>
        <family val="1"/>
      </rPr>
      <t>)</t>
    </r>
  </si>
  <si>
    <t>business as usual</t>
  </si>
  <si>
    <r>
      <t>E</t>
    </r>
    <r>
      <rPr>
        <vertAlign val="superscript"/>
        <sz val="8"/>
        <rFont val="Times New Roman"/>
        <family val="1"/>
      </rPr>
      <t>i_bau</t>
    </r>
    <r>
      <rPr>
        <vertAlign val="subscript"/>
        <sz val="8"/>
        <rFont val="Times New Roman"/>
        <family val="1"/>
      </rPr>
      <t>t</t>
    </r>
  </si>
  <si>
    <t xml:space="preserve"> o TH</t>
  </si>
  <si>
    <r>
      <t>thres-hold
TH</t>
    </r>
    <r>
      <rPr>
        <b/>
        <vertAlign val="subscript"/>
        <sz val="8"/>
        <rFont val="Times New Roman"/>
        <family val="1"/>
      </rPr>
      <t>t</t>
    </r>
  </si>
  <si>
    <r>
      <t>EP</t>
    </r>
    <r>
      <rPr>
        <vertAlign val="superscript"/>
        <sz val="8"/>
        <rFont val="Times New Roman"/>
        <family val="1"/>
      </rPr>
      <t>oTH</t>
    </r>
    <r>
      <rPr>
        <vertAlign val="subscript"/>
        <sz val="8"/>
        <rFont val="Times New Roman"/>
        <family val="1"/>
      </rPr>
      <t>t-1</t>
    </r>
  </si>
  <si>
    <r>
      <t>E</t>
    </r>
    <r>
      <rPr>
        <vertAlign val="superscript"/>
        <sz val="8"/>
        <rFont val="Times New Roman"/>
        <family val="1"/>
      </rPr>
      <t>oTH</t>
    </r>
    <r>
      <rPr>
        <vertAlign val="subscript"/>
        <sz val="8"/>
        <rFont val="Times New Roman"/>
        <family val="1"/>
      </rPr>
      <t>t</t>
    </r>
  </si>
  <si>
    <r>
      <t>Popu-lation
P</t>
    </r>
    <r>
      <rPr>
        <vertAlign val="superscript"/>
        <sz val="8"/>
        <rFont val="Times New Roman"/>
        <family val="1"/>
      </rPr>
      <t>oTH</t>
    </r>
  </si>
  <si>
    <t>Chakravarty et al. insinuate that the income and emissions distribution correlated. Each person is attributed his emissions or a cap, whatever is the least. The cap is calculated for each year such that the emissions of the global pathway are met.</t>
  </si>
  <si>
    <t>A</t>
  </si>
  <si>
    <t>B</t>
  </si>
  <si>
    <t>C</t>
  </si>
  <si>
    <t>Country</t>
  </si>
  <si>
    <t>global</t>
  </si>
  <si>
    <t>input value</t>
  </si>
  <si>
    <t>Which population size is to be used for the convergence year 2050?</t>
  </si>
  <si>
    <t>population growth</t>
  </si>
  <si>
    <r>
      <t>Percentage threshold (</t>
    </r>
    <r>
      <rPr>
        <i/>
        <sz val="11"/>
        <rFont val="Times New Roman"/>
        <family val="1"/>
      </rPr>
      <t>PT</t>
    </r>
    <r>
      <rPr>
        <sz val="11"/>
        <rFont val="Times New Roman"/>
        <family val="1"/>
      </rPr>
      <t>):</t>
    </r>
  </si>
  <si>
    <t>per capita emissions 2019</t>
  </si>
  <si>
    <r>
      <t>C</t>
    </r>
    <r>
      <rPr>
        <i/>
        <vertAlign val="subscript"/>
        <sz val="11"/>
        <rFont val="Times New Roman"/>
        <family val="1"/>
      </rPr>
      <t>2020</t>
    </r>
  </si>
  <si>
    <r>
      <t xml:space="preserve">parameter </t>
    </r>
    <r>
      <rPr>
        <i/>
        <sz val="11"/>
        <rFont val="Times New Roman"/>
        <family val="1"/>
      </rPr>
      <t>a</t>
    </r>
    <r>
      <rPr>
        <sz val="11"/>
        <rFont val="Times New Roman"/>
        <family val="1"/>
      </rPr>
      <t xml:space="preserve"> of the weighting formula Ct</t>
    </r>
  </si>
  <si>
    <t>input fields</t>
  </si>
  <si>
    <t>input data models</t>
  </si>
  <si>
    <t>input data countries</t>
  </si>
  <si>
    <t>parameter of the parabola:</t>
  </si>
  <si>
    <t>linear</t>
  </si>
  <si>
    <t>other value</t>
  </si>
  <si>
    <t>General Quadratic Weigthing Formula</t>
  </si>
  <si>
    <t>GQWF</t>
  </si>
  <si>
    <r>
      <t>C</t>
    </r>
    <r>
      <rPr>
        <i/>
        <vertAlign val="subscript"/>
        <sz val="12"/>
        <rFont val="Times New Roman"/>
        <family val="1"/>
      </rPr>
      <t>2020</t>
    </r>
  </si>
  <si>
    <t>convergence periond per capita emissions: RF, GQWF, C&amp;C, LIMITS, CDC</t>
  </si>
  <si>
    <r>
      <rPr>
        <b/>
        <sz val="10"/>
        <rFont val="Times New Roman"/>
        <family val="1"/>
      </rPr>
      <t>C</t>
    </r>
    <r>
      <rPr>
        <b/>
        <vertAlign val="superscript"/>
        <sz val="10"/>
        <rFont val="Times New Roman"/>
        <family val="1"/>
      </rPr>
      <t>i</t>
    </r>
    <r>
      <rPr>
        <b/>
        <vertAlign val="subscript"/>
        <sz val="10"/>
        <rFont val="Times New Roman"/>
        <family val="1"/>
      </rPr>
      <t>t</t>
    </r>
  </si>
  <si>
    <t>Input value sheet "input data":</t>
  </si>
  <si>
    <r>
      <t>C</t>
    </r>
    <r>
      <rPr>
        <vertAlign val="subscript"/>
        <sz val="10"/>
        <rFont val="Times New Roman"/>
        <family val="1"/>
      </rPr>
      <t>BY</t>
    </r>
    <r>
      <rPr>
        <sz val="10"/>
        <rFont val="Times New Roman"/>
        <family val="1"/>
      </rPr>
      <t xml:space="preserve"> = exp(-</t>
    </r>
    <r>
      <rPr>
        <i/>
        <sz val="10"/>
        <rFont val="Times New Roman"/>
        <family val="1"/>
      </rPr>
      <t>a</t>
    </r>
    <r>
      <rPr>
        <sz val="10"/>
        <rFont val="Times New Roman"/>
        <family val="1"/>
      </rPr>
      <t>)</t>
    </r>
  </si>
  <si>
    <t>C_t_A - C_t_C</t>
  </si>
  <si>
    <t>G-C&amp;C ≙ RM</t>
  </si>
  <si>
    <t>RM</t>
  </si>
  <si>
    <t>Share that is distributed over the population key</t>
  </si>
  <si>
    <t>Comparison to RM</t>
  </si>
  <si>
    <t>G-C&amp;C</t>
  </si>
  <si>
    <t>C&amp;C-exp</t>
  </si>
  <si>
    <t>C&amp;C-lin</t>
  </si>
  <si>
    <t>SPM-eq</t>
  </si>
  <si>
    <t>SPM-in</t>
  </si>
  <si>
    <t>convex quadratic</t>
  </si>
  <si>
    <t>conkave quadratic</t>
  </si>
  <si>
    <t>RM - 
G-LIMITS
A</t>
  </si>
  <si>
    <t>RM -
G-LIMITS
B</t>
  </si>
  <si>
    <t>RM - 
G-LIMITS
C</t>
  </si>
  <si>
    <t>SPM</t>
  </si>
  <si>
    <t>solver</t>
  </si>
  <si>
    <t>cap model; based on: Chakravartya et al. / Sharing global CO2 emission reductions among
one billion high emitters / 11884–11888   PNAS   July 21, 2009   vol. 106   no. 29 / doi 10.1073 pnas.0905232106</t>
  </si>
  <si>
    <t>annual change rates</t>
  </si>
  <si>
    <t>Simplification</t>
  </si>
  <si>
    <t>We assumed that the emission power at the end of the base year are the emissions in the base year divided by one year.</t>
  </si>
  <si>
    <t>country</t>
  </si>
  <si>
    <t>change rates</t>
  </si>
  <si>
    <t>frozen</t>
  </si>
  <si>
    <t>Generalized C&amp;C</t>
  </si>
  <si>
    <t>population 2019 bn</t>
  </si>
  <si>
    <t>population 2050 bn</t>
  </si>
  <si>
    <t>emissions 2019 Gt</t>
  </si>
  <si>
    <t>RM - 
SPM</t>
  </si>
  <si>
    <t>solver: variable</t>
  </si>
  <si>
    <r>
      <t>square</t>
    </r>
    <r>
      <rPr>
        <sz val="8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deviation</t>
    </r>
  </si>
  <si>
    <t>deviation from RM budget</t>
  </si>
  <si>
    <t>Percentage threshold</t>
  </si>
  <si>
    <t>Comparision SPM and C&amp;C exp</t>
  </si>
  <si>
    <t>share population key:</t>
  </si>
  <si>
    <t>Reduction rate at the beginnging of 2020 for each country; share population key</t>
  </si>
  <si>
    <t>Raupach et al. have developed a formula to convert a budget of a country or global into a smooth emission pathway.</t>
  </si>
  <si>
    <t>deviation from C&amp;C exp budget</t>
  </si>
  <si>
    <t>original input data</t>
  </si>
  <si>
    <t>original scenario global path:</t>
  </si>
  <si>
    <t>choosen scenario global path:</t>
  </si>
  <si>
    <t>emissions key 2019</t>
  </si>
  <si>
    <t>population key</t>
  </si>
  <si>
    <t>2020-2100</t>
  </si>
  <si>
    <t>choosen global path:</t>
  </si>
  <si>
    <t>solver is used?</t>
  </si>
  <si>
    <t>share population key</t>
  </si>
  <si>
    <t>pop. growth</t>
  </si>
  <si>
    <t>solver: target value min</t>
  </si>
  <si>
    <t>save-the-climate@online.ms</t>
  </si>
  <si>
    <r>
      <t xml:space="preserve">The author of the model recommends </t>
    </r>
    <r>
      <rPr>
        <i/>
        <sz val="11"/>
        <rFont val="Times New Roman"/>
        <family val="1"/>
      </rPr>
      <t>a</t>
    </r>
    <r>
      <rPr>
        <sz val="11"/>
        <rFont val="Times New Roman"/>
        <family val="1"/>
      </rPr>
      <t xml:space="preserve"> = 4.</t>
    </r>
  </si>
  <si>
    <t>macro is to be used EPM?</t>
  </si>
  <si>
    <t>Which global path will you select?</t>
  </si>
  <si>
    <t>Smooth Pathways - equity (spk = 100%)</t>
  </si>
  <si>
    <t>Smooth Pathways - inertia (spk = 0%)</t>
  </si>
  <si>
    <t>Common but Differentiated Convergence</t>
  </si>
  <si>
    <t>Smooth Pathways - equity (spk variabel)</t>
  </si>
  <si>
    <r>
      <t>Parameter a (C</t>
    </r>
    <r>
      <rPr>
        <vertAlign val="subscript"/>
        <sz val="10"/>
        <rFont val="Times New Roman"/>
        <family val="1"/>
      </rPr>
      <t xml:space="preserve">t </t>
    </r>
    <r>
      <rPr>
        <sz val="10"/>
        <rFont val="Times New Roman"/>
        <family val="1"/>
      </rPr>
      <t>:= C&amp;C exp):</t>
    </r>
  </si>
  <si>
    <t>GtCO2</t>
  </si>
  <si>
    <t>number:</t>
  </si>
  <si>
    <t>number 3</t>
  </si>
  <si>
    <t>control:</t>
  </si>
  <si>
    <t>C&amp;Cexp</t>
  </si>
  <si>
    <t>C&amp;Clin</t>
  </si>
  <si>
    <t>Sum 2020 - 2100</t>
  </si>
  <si>
    <t>Regensburg Formula</t>
  </si>
  <si>
    <t>RF</t>
  </si>
  <si>
    <t>Sum 2020 - 2050</t>
  </si>
  <si>
    <t>XL Toolbox Settings</t>
  </si>
  <si>
    <t>export_preset</t>
  </si>
  <si>
    <t>&lt;?xml version="1.0" encoding="utf-16"?&gt;_x000D_
&lt;Preset xmlns:xsi="http://www.w3.org/2001/XMLSchema-instance" xmlns:xsd="http://www.w3.org/2001/XMLSchema"&gt;_x000D_
  &lt;Name&gt;Png, 600 dpi, RGB, Transparente Leinwand&lt;/Name&gt;_x000D_
  &lt;Dpi&gt;600&lt;/Dpi&gt;_x000D_
  &lt;FileType&gt;Png&lt;/FileType&gt;_x000D_
  &lt;ColorSpace&gt;Rgb&lt;/ColorSpace&gt;_x000D_
  &lt;Transparency&gt;TransparentCanvas&lt;/Transparency&gt;_x000D_
  &lt;UseColorProfile&gt;false&lt;/UseColorProfile&gt;_x000D_
  &lt;ColorProfile&gt;sRGB Color Space Profile&lt;/ColorProfile&gt;_x000D_
&lt;/Preset&gt;</t>
  </si>
  <si>
    <t>export_path</t>
  </si>
  <si>
    <t>E:\Klima\Veröffentlichungen\Website\GP.png</t>
  </si>
  <si>
    <t>Regensburg Model resp. Regensburg Formula</t>
  </si>
  <si>
    <t>last update:</t>
  </si>
  <si>
    <t>Comparision of G-C&amp;C and RF</t>
  </si>
  <si>
    <t>Comparison of RF and G-LIMITS</t>
  </si>
  <si>
    <t>Comparision SPM and RF</t>
  </si>
  <si>
    <t>You can download the most recent version of the tool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</si>
</sst>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\ _€_-;\-* #,##0.00\ _€_-;_-* &quot;-&quot;??\ _€_-;_-@_-"/>
    <numFmt numFmtId="164" formatCode="#,##0.0"/>
    <numFmt numFmtId="165" formatCode="0.0%"/>
    <numFmt numFmtId="166" formatCode="#,##0.0000"/>
    <numFmt numFmtId="167" formatCode="0.000"/>
    <numFmt numFmtId="168" formatCode="0.00000"/>
    <numFmt numFmtId="169" formatCode="#,##0.000"/>
    <numFmt numFmtId="170" formatCode="0.0"/>
    <numFmt numFmtId="171" formatCode="[$-809]dd\ mmmm\ yyyy;@"/>
    <numFmt numFmtId="172" formatCode="0.00000000%"/>
    <numFmt numFmtId="173" formatCode="0.000000"/>
    <numFmt numFmtId="174" formatCode="0.000000%"/>
    <numFmt numFmtId="175" formatCode="0.0000"/>
  </numFmts>
  <fonts count="55" x14ac:knownFonts="1">
    <font>
      <sz val="11"/>
      <name val="Times New Roman"/>
      <family val="1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i/>
      <sz val="8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vertAlign val="subscript"/>
      <sz val="10"/>
      <name val="Times New Roman"/>
      <family val="1"/>
    </font>
    <font>
      <sz val="6"/>
      <name val="Times New Roman"/>
      <family val="1"/>
    </font>
    <font>
      <sz val="9"/>
      <name val="Times New Roman"/>
      <family val="1"/>
    </font>
    <font>
      <vertAlign val="subscript"/>
      <sz val="8"/>
      <name val="Times New Roman"/>
      <family val="1"/>
    </font>
    <font>
      <sz val="11"/>
      <name val="Times New Roman"/>
      <family val="1"/>
    </font>
    <font>
      <b/>
      <sz val="8"/>
      <name val="Times New Roman"/>
      <family val="1"/>
    </font>
    <font>
      <vertAlign val="superscript"/>
      <sz val="8"/>
      <name val="Times New Roman"/>
      <family val="1"/>
    </font>
    <font>
      <sz val="11"/>
      <color indexed="8"/>
      <name val="Times New Roman"/>
      <family val="1"/>
    </font>
    <font>
      <b/>
      <vertAlign val="subscript"/>
      <sz val="8"/>
      <name val="Times New Roman"/>
      <family val="1"/>
    </font>
    <font>
      <vertAlign val="superscript"/>
      <sz val="10"/>
      <name val="Times New Roman"/>
      <family val="1"/>
    </font>
    <font>
      <sz val="10"/>
      <color indexed="81"/>
      <name val="Times New Roman"/>
      <family val="1"/>
    </font>
    <font>
      <sz val="12"/>
      <name val="Times New Roman"/>
      <family val="1"/>
    </font>
    <font>
      <vertAlign val="subscript"/>
      <sz val="10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2"/>
    </font>
    <font>
      <u/>
      <sz val="11"/>
      <color theme="10"/>
      <name val="Times New Roman"/>
      <family val="1"/>
    </font>
    <font>
      <sz val="11"/>
      <color theme="1"/>
      <name val="Times New Roman"/>
      <family val="2"/>
    </font>
    <font>
      <sz val="11"/>
      <color theme="1"/>
      <name val="Calibri"/>
      <family val="2"/>
    </font>
    <font>
      <b/>
      <sz val="1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2"/>
    </font>
    <font>
      <i/>
      <sz val="9"/>
      <name val="Times New Roman"/>
      <family val="1"/>
    </font>
    <font>
      <i/>
      <sz val="10"/>
      <name val="Times New Roman"/>
      <family val="1"/>
    </font>
    <font>
      <i/>
      <vertAlign val="subscript"/>
      <sz val="1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name val="Times New Roman"/>
      <family val="1"/>
    </font>
    <font>
      <i/>
      <vertAlign val="superscript"/>
      <sz val="9"/>
      <name val="Times New Roman"/>
      <family val="1"/>
    </font>
    <font>
      <b/>
      <sz val="14"/>
      <name val="Times New Roman"/>
      <family val="1"/>
    </font>
    <font>
      <sz val="11"/>
      <color indexed="81"/>
      <name val="Tahoma"/>
      <family val="2"/>
    </font>
    <font>
      <i/>
      <vertAlign val="subscript"/>
      <sz val="11"/>
      <name val="Times New Roman"/>
      <family val="1"/>
    </font>
    <font>
      <vertAlign val="subscript"/>
      <sz val="10"/>
      <color indexed="81"/>
      <name val="Times New Roman"/>
      <family val="1"/>
    </font>
    <font>
      <i/>
      <sz val="12"/>
      <name val="Times New Roman"/>
      <family val="1"/>
    </font>
    <font>
      <i/>
      <vertAlign val="subscript"/>
      <sz val="12"/>
      <name val="Times New Roman"/>
      <family val="1"/>
    </font>
    <font>
      <b/>
      <vertAlign val="superscript"/>
      <sz val="10"/>
      <name val="Times New Roman"/>
      <family val="1"/>
    </font>
    <font>
      <sz val="8"/>
      <name val="Arial Unicode MS"/>
      <family val="2"/>
    </font>
    <font>
      <sz val="8"/>
      <color rgb="FF000000"/>
      <name val="Times New Roman"/>
      <family val="1"/>
    </font>
    <font>
      <sz val="10"/>
      <color theme="1"/>
      <name val="Times New Roman"/>
      <family val="1"/>
    </font>
    <font>
      <sz val="6"/>
      <name val="Arial"/>
      <family val="2"/>
    </font>
    <font>
      <b/>
      <sz val="10"/>
      <color rgb="FFFFFF00"/>
      <name val="Times New Roman"/>
      <family val="1"/>
    </font>
    <font>
      <b/>
      <sz val="18"/>
      <color rgb="FF000000"/>
      <name val="Times New Roman"/>
      <family val="1"/>
    </font>
    <font>
      <b/>
      <sz val="11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indexed="51"/>
        <bgColor indexed="38"/>
      </patternFill>
    </fill>
    <fill>
      <patternFill patternType="solid">
        <fgColor indexed="40"/>
        <bgColor indexed="30"/>
      </patternFill>
    </fill>
    <fill>
      <patternFill patternType="solid">
        <fgColor indexed="36"/>
        <bgColor indexed="29"/>
      </patternFill>
    </fill>
    <fill>
      <patternFill patternType="solid">
        <fgColor indexed="50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29"/>
      </patternFill>
    </fill>
    <fill>
      <patternFill patternType="solid">
        <fgColor rgb="FF92D050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</fills>
  <borders count="81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8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7" fillId="0" borderId="0" applyFill="0" applyBorder="0" applyAlignment="0" applyProtection="0"/>
    <xf numFmtId="9" fontId="27" fillId="0" borderId="0" applyFont="0" applyFill="0" applyBorder="0" applyAlignment="0" applyProtection="0"/>
    <xf numFmtId="0" fontId="29" fillId="0" borderId="0"/>
    <xf numFmtId="0" fontId="7" fillId="0" borderId="0"/>
  </cellStyleXfs>
  <cellXfs count="805">
    <xf numFmtId="0" fontId="0" fillId="0" borderId="0" xfId="0"/>
    <xf numFmtId="0" fontId="8" fillId="0" borderId="0" xfId="0" applyFont="1"/>
    <xf numFmtId="0" fontId="8" fillId="0" borderId="0" xfId="0" applyFont="1" applyFill="1"/>
    <xf numFmtId="0" fontId="10" fillId="0" borderId="0" xfId="0" applyFont="1"/>
    <xf numFmtId="4" fontId="8" fillId="0" borderId="0" xfId="0" applyNumberFormat="1" applyFont="1" applyBorder="1"/>
    <xf numFmtId="164" fontId="8" fillId="0" borderId="0" xfId="0" applyNumberFormat="1" applyFont="1" applyBorder="1"/>
    <xf numFmtId="0" fontId="10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Fill="1"/>
    <xf numFmtId="0" fontId="1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Border="1"/>
    <xf numFmtId="0" fontId="11" fillId="0" borderId="0" xfId="0" applyFont="1"/>
    <xf numFmtId="0" fontId="10" fillId="0" borderId="1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2" fillId="0" borderId="0" xfId="0" applyFont="1" applyBorder="1"/>
    <xf numFmtId="0" fontId="28" fillId="0" borderId="0" xfId="2" applyAlignment="1" applyProtection="1"/>
    <xf numFmtId="0" fontId="6" fillId="0" borderId="0" xfId="0" applyFont="1"/>
    <xf numFmtId="4" fontId="8" fillId="0" borderId="1" xfId="0" applyNumberFormat="1" applyFont="1" applyBorder="1"/>
    <xf numFmtId="164" fontId="8" fillId="0" borderId="0" xfId="0" applyNumberFormat="1" applyFont="1" applyFill="1" applyBorder="1" applyAlignment="1">
      <alignment horizontal="right"/>
    </xf>
    <xf numFmtId="0" fontId="10" fillId="0" borderId="2" xfId="0" applyFont="1" applyBorder="1" applyAlignment="1">
      <alignment horizontal="center" wrapText="1"/>
    </xf>
    <xf numFmtId="0" fontId="8" fillId="0" borderId="3" xfId="0" applyFont="1" applyBorder="1"/>
    <xf numFmtId="0" fontId="10" fillId="0" borderId="3" xfId="0" applyFont="1" applyBorder="1"/>
    <xf numFmtId="0" fontId="0" fillId="0" borderId="0" xfId="0" applyAlignment="1">
      <alignment horizontal="center"/>
    </xf>
    <xf numFmtId="11" fontId="8" fillId="0" borderId="0" xfId="0" applyNumberFormat="1" applyFont="1" applyBorder="1" applyAlignment="1">
      <alignment horizontal="right" vertical="top" wrapText="1"/>
    </xf>
    <xf numFmtId="0" fontId="8" fillId="0" borderId="0" xfId="0" applyFont="1" applyBorder="1"/>
    <xf numFmtId="11" fontId="8" fillId="0" borderId="4" xfId="0" applyNumberFormat="1" applyFont="1" applyBorder="1" applyAlignment="1">
      <alignment horizontal="right" vertical="top" wrapText="1"/>
    </xf>
    <xf numFmtId="11" fontId="8" fillId="0" borderId="5" xfId="0" applyNumberFormat="1" applyFont="1" applyBorder="1" applyAlignment="1">
      <alignment horizontal="right" vertical="top" wrapText="1"/>
    </xf>
    <xf numFmtId="0" fontId="8" fillId="0" borderId="0" xfId="0" applyFont="1" applyAlignment="1">
      <alignment horizontal="center" wrapText="1"/>
    </xf>
    <xf numFmtId="0" fontId="10" fillId="0" borderId="6" xfId="0" applyFont="1" applyBorder="1" applyAlignment="1">
      <alignment horizontal="center" wrapText="1"/>
    </xf>
    <xf numFmtId="0" fontId="10" fillId="0" borderId="7" xfId="0" applyFont="1" applyBorder="1" applyAlignment="1">
      <alignment horizontal="center" wrapText="1"/>
    </xf>
    <xf numFmtId="4" fontId="8" fillId="0" borderId="3" xfId="0" applyNumberFormat="1" applyFont="1" applyBorder="1"/>
    <xf numFmtId="164" fontId="8" fillId="0" borderId="3" xfId="0" applyNumberFormat="1" applyFont="1" applyFill="1" applyBorder="1" applyAlignment="1">
      <alignment horizontal="right"/>
    </xf>
    <xf numFmtId="0" fontId="10" fillId="0" borderId="8" xfId="0" applyFont="1" applyBorder="1" applyAlignment="1">
      <alignment horizontal="center" wrapText="1"/>
    </xf>
    <xf numFmtId="0" fontId="10" fillId="0" borderId="9" xfId="0" applyFont="1" applyBorder="1" applyAlignment="1">
      <alignment vertical="center"/>
    </xf>
    <xf numFmtId="0" fontId="10" fillId="0" borderId="10" xfId="0" applyFont="1" applyBorder="1"/>
    <xf numFmtId="0" fontId="18" fillId="0" borderId="5" xfId="0" applyFont="1" applyBorder="1"/>
    <xf numFmtId="0" fontId="10" fillId="0" borderId="5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4" xfId="0" applyFont="1" applyBorder="1" applyAlignment="1">
      <alignment horizontal="left" vertical="top" wrapText="1"/>
    </xf>
    <xf numFmtId="0" fontId="10" fillId="0" borderId="11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0" fillId="0" borderId="12" xfId="0" applyFont="1" applyBorder="1" applyAlignment="1">
      <alignment horizontal="left" vertical="center" wrapText="1"/>
    </xf>
    <xf numFmtId="0" fontId="10" fillId="0" borderId="0" xfId="0" applyFont="1" applyAlignment="1">
      <alignment vertical="center"/>
    </xf>
    <xf numFmtId="0" fontId="8" fillId="0" borderId="13" xfId="0" applyFont="1" applyFill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wrapText="1"/>
    </xf>
    <xf numFmtId="0" fontId="14" fillId="0" borderId="8" xfId="0" applyFont="1" applyBorder="1" applyAlignment="1">
      <alignment horizontal="center" wrapText="1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49" fontId="12" fillId="0" borderId="0" xfId="0" applyNumberFormat="1" applyFont="1" applyBorder="1"/>
    <xf numFmtId="0" fontId="10" fillId="0" borderId="0" xfId="0" applyFont="1" applyBorder="1" applyAlignment="1">
      <alignment vertical="center"/>
    </xf>
    <xf numFmtId="0" fontId="20" fillId="0" borderId="0" xfId="0" applyFont="1" applyAlignment="1">
      <alignment horizontal="left" readingOrder="1"/>
    </xf>
    <xf numFmtId="0" fontId="28" fillId="0" borderId="0" xfId="2" applyFont="1" applyAlignment="1" applyProtection="1">
      <alignment horizontal="left" readingOrder="1"/>
    </xf>
    <xf numFmtId="0" fontId="20" fillId="0" borderId="0" xfId="0" applyFont="1"/>
    <xf numFmtId="0" fontId="0" fillId="0" borderId="0" xfId="0" applyFont="1"/>
    <xf numFmtId="10" fontId="7" fillId="0" borderId="0" xfId="3" applyNumberFormat="1"/>
    <xf numFmtId="0" fontId="8" fillId="0" borderId="0" xfId="0" applyFont="1" applyAlignment="1">
      <alignment horizontal="left" wrapText="1"/>
    </xf>
    <xf numFmtId="0" fontId="15" fillId="0" borderId="0" xfId="0" applyFont="1" applyFill="1" applyBorder="1" applyAlignment="1">
      <alignment vertical="center" wrapText="1"/>
    </xf>
    <xf numFmtId="0" fontId="10" fillId="0" borderId="19" xfId="0" applyFont="1" applyBorder="1"/>
    <xf numFmtId="0" fontId="10" fillId="0" borderId="20" xfId="0" applyFont="1" applyBorder="1"/>
    <xf numFmtId="166" fontId="18" fillId="0" borderId="3" xfId="0" applyNumberFormat="1" applyFont="1" applyFill="1" applyBorder="1" applyAlignment="1">
      <alignment vertical="center"/>
    </xf>
    <xf numFmtId="166" fontId="18" fillId="0" borderId="12" xfId="0" applyNumberFormat="1" applyFont="1" applyFill="1" applyBorder="1" applyAlignment="1">
      <alignment vertical="center"/>
    </xf>
    <xf numFmtId="166" fontId="18" fillId="0" borderId="21" xfId="0" applyNumberFormat="1" applyFont="1" applyFill="1" applyBorder="1" applyAlignment="1">
      <alignment vertical="center"/>
    </xf>
    <xf numFmtId="0" fontId="10" fillId="0" borderId="5" xfId="0" applyFont="1" applyFill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11" fontId="10" fillId="0" borderId="11" xfId="0" applyNumberFormat="1" applyFont="1" applyFill="1" applyBorder="1" applyAlignment="1">
      <alignment horizontal="right" vertical="center" wrapText="1"/>
    </xf>
    <xf numFmtId="11" fontId="10" fillId="0" borderId="3" xfId="0" applyNumberFormat="1" applyFont="1" applyFill="1" applyBorder="1" applyAlignment="1">
      <alignment horizontal="right" vertical="center" wrapText="1"/>
    </xf>
    <xf numFmtId="11" fontId="10" fillId="0" borderId="12" xfId="0" applyNumberFormat="1" applyFont="1" applyFill="1" applyBorder="1" applyAlignment="1">
      <alignment horizontal="right" vertical="center" wrapText="1"/>
    </xf>
    <xf numFmtId="11" fontId="10" fillId="0" borderId="22" xfId="0" applyNumberFormat="1" applyFont="1" applyBorder="1" applyAlignment="1">
      <alignment horizontal="right" vertical="center" wrapText="1"/>
    </xf>
    <xf numFmtId="11" fontId="10" fillId="0" borderId="9" xfId="0" applyNumberFormat="1" applyFont="1" applyBorder="1" applyAlignment="1">
      <alignment horizontal="right" vertical="center" wrapText="1"/>
    </xf>
    <xf numFmtId="11" fontId="10" fillId="0" borderId="23" xfId="0" applyNumberFormat="1" applyFont="1" applyBorder="1" applyAlignment="1">
      <alignment horizontal="right" vertical="center" wrapText="1"/>
    </xf>
    <xf numFmtId="0" fontId="10" fillId="0" borderId="5" xfId="0" applyFont="1" applyBorder="1" applyAlignment="1">
      <alignment vertical="center"/>
    </xf>
    <xf numFmtId="11" fontId="10" fillId="0" borderId="5" xfId="0" applyNumberFormat="1" applyFont="1" applyBorder="1" applyAlignment="1">
      <alignment horizontal="right" vertical="center" wrapText="1"/>
    </xf>
    <xf numFmtId="11" fontId="10" fillId="0" borderId="0" xfId="0" applyNumberFormat="1" applyFont="1" applyBorder="1" applyAlignment="1">
      <alignment horizontal="right" vertical="center" wrapText="1"/>
    </xf>
    <xf numFmtId="11" fontId="10" fillId="0" borderId="4" xfId="0" applyNumberFormat="1" applyFont="1" applyBorder="1" applyAlignment="1">
      <alignment horizontal="right" vertical="center" wrapText="1"/>
    </xf>
    <xf numFmtId="0" fontId="10" fillId="0" borderId="24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11" fontId="10" fillId="0" borderId="24" xfId="0" applyNumberFormat="1" applyFont="1" applyBorder="1" applyAlignment="1">
      <alignment horizontal="right" vertical="center" wrapText="1"/>
    </xf>
    <xf numFmtId="11" fontId="10" fillId="0" borderId="10" xfId="0" applyNumberFormat="1" applyFont="1" applyBorder="1" applyAlignment="1">
      <alignment horizontal="right" vertical="center" wrapText="1"/>
    </xf>
    <xf numFmtId="11" fontId="10" fillId="0" borderId="19" xfId="0" applyNumberFormat="1" applyFont="1" applyBorder="1" applyAlignment="1">
      <alignment horizontal="right" vertical="center" wrapText="1"/>
    </xf>
    <xf numFmtId="0" fontId="8" fillId="0" borderId="1" xfId="0" applyFont="1" applyBorder="1" applyAlignment="1">
      <alignment vertical="center"/>
    </xf>
    <xf numFmtId="164" fontId="8" fillId="0" borderId="25" xfId="0" applyNumberFormat="1" applyFont="1" applyFill="1" applyBorder="1" applyAlignment="1">
      <alignment vertical="center"/>
    </xf>
    <xf numFmtId="164" fontId="8" fillId="0" borderId="26" xfId="0" applyNumberFormat="1" applyFont="1" applyFill="1" applyBorder="1" applyAlignment="1">
      <alignment vertical="center"/>
    </xf>
    <xf numFmtId="164" fontId="8" fillId="0" borderId="26" xfId="0" applyNumberFormat="1" applyFont="1" applyFill="1" applyBorder="1" applyAlignment="1">
      <alignment horizontal="right" vertical="center"/>
    </xf>
    <xf numFmtId="0" fontId="8" fillId="0" borderId="26" xfId="0" applyFont="1" applyFill="1" applyBorder="1" applyAlignment="1">
      <alignment horizontal="center" vertical="center" wrapText="1"/>
    </xf>
    <xf numFmtId="0" fontId="13" fillId="0" borderId="15" xfId="0" applyFont="1" applyBorder="1" applyAlignment="1">
      <alignment horizontal="center" wrapText="1"/>
    </xf>
    <xf numFmtId="0" fontId="10" fillId="0" borderId="22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1" fillId="0" borderId="11" xfId="0" applyFont="1" applyBorder="1"/>
    <xf numFmtId="0" fontId="10" fillId="0" borderId="12" xfId="0" applyFont="1" applyBorder="1"/>
    <xf numFmtId="0" fontId="10" fillId="0" borderId="4" xfId="0" applyFont="1" applyBorder="1"/>
    <xf numFmtId="0" fontId="10" fillId="0" borderId="23" xfId="0" applyFont="1" applyBorder="1" applyAlignment="1">
      <alignment vertical="center"/>
    </xf>
    <xf numFmtId="0" fontId="28" fillId="0" borderId="0" xfId="2" applyAlignment="1" applyProtection="1">
      <alignment horizontal="left" readingOrder="1"/>
    </xf>
    <xf numFmtId="165" fontId="7" fillId="0" borderId="0" xfId="3" applyNumberFormat="1"/>
    <xf numFmtId="0" fontId="10" fillId="0" borderId="0" xfId="0" applyFont="1" applyFill="1" applyBorder="1" applyAlignment="1">
      <alignment vertical="center"/>
    </xf>
    <xf numFmtId="11" fontId="10" fillId="0" borderId="0" xfId="0" applyNumberFormat="1" applyFont="1" applyFill="1" applyBorder="1" applyAlignment="1">
      <alignment horizontal="right" vertical="center" wrapText="1"/>
    </xf>
    <xf numFmtId="0" fontId="18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4" fontId="10" fillId="0" borderId="0" xfId="0" applyNumberFormat="1" applyFont="1" applyFill="1" applyBorder="1" applyAlignment="1">
      <alignment horizontal="right" vertical="center" wrapText="1"/>
    </xf>
    <xf numFmtId="0" fontId="9" fillId="0" borderId="7" xfId="0" applyFont="1" applyBorder="1" applyAlignment="1">
      <alignment horizontal="center" wrapText="1"/>
    </xf>
    <xf numFmtId="0" fontId="9" fillId="0" borderId="6" xfId="0" applyFont="1" applyBorder="1" applyAlignment="1">
      <alignment horizontal="center" wrapText="1"/>
    </xf>
    <xf numFmtId="0" fontId="18" fillId="0" borderId="4" xfId="0" applyFont="1" applyBorder="1" applyAlignment="1">
      <alignment horizontal="center" vertical="center" wrapText="1"/>
    </xf>
    <xf numFmtId="9" fontId="7" fillId="0" borderId="23" xfId="3" applyBorder="1" applyAlignment="1">
      <alignment horizontal="right" vertical="center" wrapText="1"/>
    </xf>
    <xf numFmtId="9" fontId="7" fillId="0" borderId="4" xfId="3" applyBorder="1" applyAlignment="1">
      <alignment horizontal="right" vertical="center" wrapText="1"/>
    </xf>
    <xf numFmtId="3" fontId="15" fillId="0" borderId="0" xfId="0" applyNumberFormat="1" applyFont="1"/>
    <xf numFmtId="0" fontId="7" fillId="0" borderId="0" xfId="0" applyFont="1" applyBorder="1" applyAlignment="1">
      <alignment horizontal="center" vertical="center"/>
    </xf>
    <xf numFmtId="165" fontId="7" fillId="0" borderId="28" xfId="3" applyNumberFormat="1" applyBorder="1"/>
    <xf numFmtId="9" fontId="7" fillId="0" borderId="0" xfId="3"/>
    <xf numFmtId="164" fontId="8" fillId="0" borderId="3" xfId="0" applyNumberFormat="1" applyFont="1" applyFill="1" applyBorder="1"/>
    <xf numFmtId="165" fontId="7" fillId="0" borderId="29" xfId="3" applyNumberFormat="1" applyBorder="1"/>
    <xf numFmtId="165" fontId="7" fillId="0" borderId="30" xfId="3" applyNumberFormat="1" applyBorder="1"/>
    <xf numFmtId="3" fontId="8" fillId="0" borderId="14" xfId="0" applyNumberFormat="1" applyFont="1" applyBorder="1" applyAlignment="1">
      <alignment horizontal="right" vertical="center" wrapText="1"/>
    </xf>
    <xf numFmtId="3" fontId="8" fillId="0" borderId="32" xfId="0" applyNumberFormat="1" applyFont="1" applyBorder="1" applyAlignment="1">
      <alignment horizontal="right" vertical="center" wrapText="1"/>
    </xf>
    <xf numFmtId="3" fontId="8" fillId="0" borderId="32" xfId="0" applyNumberFormat="1" applyFont="1" applyBorder="1" applyAlignment="1">
      <alignment horizontal="left" vertical="center" wrapText="1"/>
    </xf>
    <xf numFmtId="3" fontId="11" fillId="0" borderId="32" xfId="0" applyNumberFormat="1" applyFont="1" applyBorder="1" applyAlignment="1">
      <alignment horizontal="right" vertical="center" wrapText="1"/>
    </xf>
    <xf numFmtId="3" fontId="11" fillId="0" borderId="33" xfId="0" applyNumberFormat="1" applyFont="1" applyBorder="1" applyAlignment="1">
      <alignment horizontal="right" vertical="center" wrapText="1"/>
    </xf>
    <xf numFmtId="164" fontId="8" fillId="0" borderId="34" xfId="0" applyNumberFormat="1" applyFont="1" applyFill="1" applyBorder="1"/>
    <xf numFmtId="0" fontId="10" fillId="0" borderId="35" xfId="0" applyFont="1" applyBorder="1" applyAlignment="1">
      <alignment horizontal="center" wrapText="1"/>
    </xf>
    <xf numFmtId="0" fontId="9" fillId="0" borderId="36" xfId="0" applyFont="1" applyBorder="1" applyAlignment="1">
      <alignment horizontal="center" wrapText="1"/>
    </xf>
    <xf numFmtId="164" fontId="8" fillId="0" borderId="35" xfId="0" applyNumberFormat="1" applyFont="1" applyBorder="1"/>
    <xf numFmtId="164" fontId="8" fillId="0" borderId="1" xfId="0" applyNumberFormat="1" applyFont="1" applyBorder="1"/>
    <xf numFmtId="4" fontId="8" fillId="0" borderId="3" xfId="0" applyNumberFormat="1" applyFont="1" applyFill="1" applyBorder="1"/>
    <xf numFmtId="164" fontId="8" fillId="7" borderId="37" xfId="0" applyNumberFormat="1" applyFont="1" applyFill="1" applyBorder="1"/>
    <xf numFmtId="164" fontId="8" fillId="7" borderId="3" xfId="0" applyNumberFormat="1" applyFont="1" applyFill="1" applyBorder="1"/>
    <xf numFmtId="164" fontId="8" fillId="7" borderId="38" xfId="0" applyNumberFormat="1" applyFont="1" applyFill="1" applyBorder="1"/>
    <xf numFmtId="165" fontId="7" fillId="0" borderId="40" xfId="3" applyNumberFormat="1" applyBorder="1"/>
    <xf numFmtId="168" fontId="10" fillId="0" borderId="0" xfId="0" applyNumberFormat="1" applyFont="1"/>
    <xf numFmtId="43" fontId="7" fillId="0" borderId="0" xfId="1" applyFont="1"/>
    <xf numFmtId="164" fontId="8" fillId="0" borderId="38" xfId="0" applyNumberFormat="1" applyFont="1" applyFill="1" applyBorder="1"/>
    <xf numFmtId="0" fontId="8" fillId="0" borderId="0" xfId="0" applyFont="1" applyBorder="1" applyAlignment="1">
      <alignment vertical="center"/>
    </xf>
    <xf numFmtId="164" fontId="8" fillId="7" borderId="35" xfId="0" applyNumberFormat="1" applyFont="1" applyFill="1" applyBorder="1"/>
    <xf numFmtId="4" fontId="8" fillId="0" borderId="0" xfId="0" applyNumberFormat="1" applyFont="1" applyFill="1" applyBorder="1"/>
    <xf numFmtId="164" fontId="8" fillId="7" borderId="1" xfId="0" applyNumberFormat="1" applyFont="1" applyFill="1" applyBorder="1"/>
    <xf numFmtId="4" fontId="8" fillId="0" borderId="1" xfId="0" applyNumberFormat="1" applyFont="1" applyFill="1" applyBorder="1"/>
    <xf numFmtId="0" fontId="7" fillId="0" borderId="41" xfId="0" applyFont="1" applyBorder="1" applyAlignment="1">
      <alignment horizontal="center" vertical="center"/>
    </xf>
    <xf numFmtId="3" fontId="8" fillId="0" borderId="42" xfId="0" applyNumberFormat="1" applyFont="1" applyBorder="1" applyAlignment="1">
      <alignment horizontal="right" vertical="center" wrapText="1"/>
    </xf>
    <xf numFmtId="3" fontId="8" fillId="0" borderId="43" xfId="0" applyNumberFormat="1" applyFont="1" applyBorder="1" applyAlignment="1">
      <alignment horizontal="right" vertical="center" wrapText="1"/>
    </xf>
    <xf numFmtId="3" fontId="8" fillId="0" borderId="43" xfId="0" applyNumberFormat="1" applyFont="1" applyBorder="1" applyAlignment="1">
      <alignment horizontal="left" vertical="center" wrapText="1"/>
    </xf>
    <xf numFmtId="3" fontId="11" fillId="0" borderId="43" xfId="0" applyNumberFormat="1" applyFont="1" applyBorder="1" applyAlignment="1">
      <alignment horizontal="right" vertical="center" wrapText="1"/>
    </xf>
    <xf numFmtId="3" fontId="11" fillId="0" borderId="44" xfId="0" applyNumberFormat="1" applyFont="1" applyBorder="1" applyAlignment="1">
      <alignment horizontal="right" vertical="center" wrapText="1"/>
    </xf>
    <xf numFmtId="164" fontId="8" fillId="0" borderId="1" xfId="0" applyNumberFormat="1" applyFont="1" applyFill="1" applyBorder="1"/>
    <xf numFmtId="164" fontId="8" fillId="0" borderId="0" xfId="0" applyNumberFormat="1" applyFont="1" applyFill="1" applyBorder="1"/>
    <xf numFmtId="0" fontId="13" fillId="0" borderId="0" xfId="0" applyFont="1" applyBorder="1" applyAlignment="1">
      <alignment horizontal="center" wrapText="1"/>
    </xf>
    <xf numFmtId="165" fontId="7" fillId="0" borderId="0" xfId="3" applyNumberFormat="1" applyBorder="1"/>
    <xf numFmtId="0" fontId="0" fillId="0" borderId="22" xfId="0" applyBorder="1"/>
    <xf numFmtId="0" fontId="0" fillId="0" borderId="5" xfId="0" applyBorder="1"/>
    <xf numFmtId="0" fontId="0" fillId="0" borderId="24" xfId="0" applyBorder="1"/>
    <xf numFmtId="0" fontId="0" fillId="0" borderId="11" xfId="0" applyBorder="1" applyAlignment="1">
      <alignment wrapText="1"/>
    </xf>
    <xf numFmtId="0" fontId="24" fillId="0" borderId="0" xfId="0" applyFont="1" applyBorder="1"/>
    <xf numFmtId="165" fontId="7" fillId="0" borderId="16" xfId="3" applyNumberFormat="1" applyBorder="1"/>
    <xf numFmtId="165" fontId="7" fillId="0" borderId="45" xfId="3" applyNumberFormat="1" applyBorder="1"/>
    <xf numFmtId="165" fontId="7" fillId="0" borderId="17" xfId="3" applyNumberFormat="1" applyBorder="1"/>
    <xf numFmtId="165" fontId="7" fillId="0" borderId="18" xfId="3" applyNumberFormat="1" applyBorder="1"/>
    <xf numFmtId="4" fontId="8" fillId="8" borderId="38" xfId="0" applyNumberFormat="1" applyFont="1" applyFill="1" applyBorder="1"/>
    <xf numFmtId="164" fontId="8" fillId="8" borderId="3" xfId="0" applyNumberFormat="1" applyFont="1" applyFill="1" applyBorder="1"/>
    <xf numFmtId="4" fontId="8" fillId="8" borderId="39" xfId="0" applyNumberFormat="1" applyFont="1" applyFill="1" applyBorder="1"/>
    <xf numFmtId="0" fontId="10" fillId="0" borderId="0" xfId="0" applyFont="1" applyFill="1" applyBorder="1" applyAlignment="1"/>
    <xf numFmtId="49" fontId="24" fillId="0" borderId="0" xfId="0" applyNumberFormat="1" applyFont="1" applyBorder="1"/>
    <xf numFmtId="0" fontId="12" fillId="0" borderId="0" xfId="0" applyFont="1"/>
    <xf numFmtId="4" fontId="7" fillId="0" borderId="0" xfId="3" applyNumberFormat="1" applyBorder="1"/>
    <xf numFmtId="0" fontId="24" fillId="0" borderId="0" xfId="0" applyFont="1"/>
    <xf numFmtId="49" fontId="24" fillId="0" borderId="0" xfId="0" applyNumberFormat="1" applyFont="1"/>
    <xf numFmtId="0" fontId="20" fillId="0" borderId="0" xfId="0" applyFont="1" applyFill="1" applyBorder="1" applyAlignment="1">
      <alignment horizontal="left" readingOrder="1"/>
    </xf>
    <xf numFmtId="0" fontId="8" fillId="0" borderId="0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164" fontId="8" fillId="0" borderId="35" xfId="0" applyNumberFormat="1" applyFont="1" applyFill="1" applyBorder="1" applyAlignment="1">
      <alignment vertical="center"/>
    </xf>
    <xf numFmtId="164" fontId="8" fillId="0" borderId="0" xfId="0" applyNumberFormat="1" applyFont="1" applyFill="1" applyBorder="1" applyAlignment="1">
      <alignment vertical="center"/>
    </xf>
    <xf numFmtId="0" fontId="8" fillId="0" borderId="35" xfId="0" applyFont="1" applyFill="1" applyBorder="1" applyAlignment="1">
      <alignment horizontal="center" vertical="center" wrapText="1"/>
    </xf>
    <xf numFmtId="0" fontId="8" fillId="0" borderId="25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35" xfId="0" applyFont="1" applyBorder="1" applyAlignment="1">
      <alignment horizontal="center"/>
    </xf>
    <xf numFmtId="164" fontId="8" fillId="7" borderId="49" xfId="0" applyNumberFormat="1" applyFont="1" applyFill="1" applyBorder="1"/>
    <xf numFmtId="164" fontId="8" fillId="0" borderId="10" xfId="0" applyNumberFormat="1" applyFont="1" applyBorder="1"/>
    <xf numFmtId="4" fontId="8" fillId="0" borderId="10" xfId="0" applyNumberFormat="1" applyFont="1" applyFill="1" applyBorder="1"/>
    <xf numFmtId="164" fontId="8" fillId="7" borderId="50" xfId="0" applyNumberFormat="1" applyFont="1" applyFill="1" applyBorder="1"/>
    <xf numFmtId="164" fontId="8" fillId="0" borderId="10" xfId="0" applyNumberFormat="1" applyFont="1" applyFill="1" applyBorder="1" applyAlignment="1">
      <alignment horizontal="right"/>
    </xf>
    <xf numFmtId="4" fontId="8" fillId="0" borderId="51" xfId="0" applyNumberFormat="1" applyFont="1" applyBorder="1"/>
    <xf numFmtId="0" fontId="14" fillId="0" borderId="36" xfId="0" applyFont="1" applyBorder="1" applyAlignment="1">
      <alignment horizontal="center" wrapText="1"/>
    </xf>
    <xf numFmtId="0" fontId="8" fillId="0" borderId="37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164" fontId="8" fillId="7" borderId="10" xfId="0" applyNumberFormat="1" applyFont="1" applyFill="1" applyBorder="1"/>
    <xf numFmtId="0" fontId="10" fillId="0" borderId="47" xfId="0" applyFont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10" fillId="0" borderId="52" xfId="0" applyFont="1" applyBorder="1" applyAlignment="1">
      <alignment horizontal="center" wrapText="1"/>
    </xf>
    <xf numFmtId="4" fontId="8" fillId="0" borderId="53" xfId="0" applyNumberFormat="1" applyFont="1" applyFill="1" applyBorder="1"/>
    <xf numFmtId="4" fontId="8" fillId="0" borderId="48" xfId="0" applyNumberFormat="1" applyFont="1" applyBorder="1"/>
    <xf numFmtId="4" fontId="8" fillId="0" borderId="51" xfId="0" applyNumberFormat="1" applyFont="1" applyFill="1" applyBorder="1"/>
    <xf numFmtId="164" fontId="8" fillId="0" borderId="35" xfId="0" applyNumberFormat="1" applyFont="1" applyFill="1" applyBorder="1"/>
    <xf numFmtId="4" fontId="8" fillId="0" borderId="48" xfId="0" applyNumberFormat="1" applyFont="1" applyFill="1" applyBorder="1"/>
    <xf numFmtId="3" fontId="8" fillId="0" borderId="41" xfId="0" applyNumberFormat="1" applyFont="1" applyBorder="1" applyAlignment="1">
      <alignment horizontal="right" vertical="center" wrapText="1"/>
    </xf>
    <xf numFmtId="3" fontId="8" fillId="0" borderId="44" xfId="0" applyNumberFormat="1" applyFont="1" applyBorder="1" applyAlignment="1">
      <alignment horizontal="left" vertical="center" wrapText="1"/>
    </xf>
    <xf numFmtId="0" fontId="13" fillId="0" borderId="48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4" fontId="8" fillId="0" borderId="53" xfId="0" applyNumberFormat="1" applyFont="1" applyBorder="1"/>
    <xf numFmtId="4" fontId="8" fillId="0" borderId="34" xfId="0" applyNumberFormat="1" applyFont="1" applyBorder="1"/>
    <xf numFmtId="165" fontId="7" fillId="0" borderId="0" xfId="3" applyNumberFormat="1" applyFill="1" applyBorder="1"/>
    <xf numFmtId="0" fontId="10" fillId="0" borderId="0" xfId="0" applyFont="1" applyFill="1"/>
    <xf numFmtId="3" fontId="8" fillId="0" borderId="0" xfId="0" applyNumberFormat="1" applyFont="1" applyFill="1" applyBorder="1"/>
    <xf numFmtId="3" fontId="8" fillId="0" borderId="48" xfId="0" applyNumberFormat="1" applyFont="1" applyFill="1" applyBorder="1"/>
    <xf numFmtId="3" fontId="8" fillId="0" borderId="1" xfId="0" applyNumberFormat="1" applyFont="1" applyFill="1" applyBorder="1"/>
    <xf numFmtId="3" fontId="8" fillId="0" borderId="35" xfId="0" applyNumberFormat="1" applyFont="1" applyFill="1" applyBorder="1"/>
    <xf numFmtId="3" fontId="8" fillId="0" borderId="0" xfId="0" applyNumberFormat="1" applyFont="1" applyBorder="1"/>
    <xf numFmtId="3" fontId="8" fillId="0" borderId="25" xfId="0" applyNumberFormat="1" applyFont="1" applyFill="1" applyBorder="1"/>
    <xf numFmtId="3" fontId="8" fillId="0" borderId="26" xfId="0" applyNumberFormat="1" applyFont="1" applyFill="1" applyBorder="1" applyAlignment="1">
      <alignment horizontal="right"/>
    </xf>
    <xf numFmtId="0" fontId="12" fillId="2" borderId="43" xfId="0" applyFont="1" applyFill="1" applyBorder="1" applyAlignment="1">
      <alignment horizontal="center" vertical="center"/>
    </xf>
    <xf numFmtId="0" fontId="26" fillId="0" borderId="0" xfId="5" applyFont="1"/>
    <xf numFmtId="0" fontId="29" fillId="0" borderId="0" xfId="5"/>
    <xf numFmtId="0" fontId="12" fillId="3" borderId="41" xfId="5" applyFont="1" applyFill="1" applyBorder="1" applyAlignment="1">
      <alignment horizontal="centerContinuous" vertical="center"/>
    </xf>
    <xf numFmtId="0" fontId="12" fillId="3" borderId="43" xfId="5" applyFont="1" applyFill="1" applyBorder="1" applyAlignment="1">
      <alignment horizontal="centerContinuous" vertical="center"/>
    </xf>
    <xf numFmtId="0" fontId="12" fillId="4" borderId="41" xfId="5" applyFont="1" applyFill="1" applyBorder="1" applyAlignment="1">
      <alignment horizontal="centerContinuous" vertical="center"/>
    </xf>
    <xf numFmtId="0" fontId="12" fillId="4" borderId="43" xfId="5" applyFont="1" applyFill="1" applyBorder="1" applyAlignment="1">
      <alignment horizontal="centerContinuous" vertical="center"/>
    </xf>
    <xf numFmtId="0" fontId="12" fillId="5" borderId="41" xfId="5" applyFont="1" applyFill="1" applyBorder="1" applyAlignment="1">
      <alignment horizontal="centerContinuous" vertical="center"/>
    </xf>
    <xf numFmtId="0" fontId="12" fillId="5" borderId="43" xfId="5" applyFont="1" applyFill="1" applyBorder="1" applyAlignment="1">
      <alignment horizontal="centerContinuous" vertical="center"/>
    </xf>
    <xf numFmtId="0" fontId="29" fillId="0" borderId="0" xfId="5" applyAlignment="1">
      <alignment horizontal="right"/>
    </xf>
    <xf numFmtId="4" fontId="29" fillId="0" borderId="0" xfId="5" applyNumberFormat="1"/>
    <xf numFmtId="4" fontId="29" fillId="0" borderId="0" xfId="5" applyNumberFormat="1" applyFill="1"/>
    <xf numFmtId="0" fontId="29" fillId="0" borderId="11" xfId="5" applyBorder="1" applyAlignment="1">
      <alignment horizontal="right" wrapText="1"/>
    </xf>
    <xf numFmtId="0" fontId="29" fillId="0" borderId="12" xfId="5" applyBorder="1" applyAlignment="1">
      <alignment horizontal="right" wrapText="1"/>
    </xf>
    <xf numFmtId="0" fontId="29" fillId="0" borderId="3" xfId="5" applyBorder="1" applyAlignment="1">
      <alignment horizontal="right"/>
    </xf>
    <xf numFmtId="0" fontId="29" fillId="0" borderId="12" xfId="5" applyBorder="1" applyAlignment="1">
      <alignment horizontal="right"/>
    </xf>
    <xf numFmtId="4" fontId="29" fillId="0" borderId="22" xfId="5" applyNumberFormat="1" applyBorder="1"/>
    <xf numFmtId="169" fontId="29" fillId="0" borderId="22" xfId="5" applyNumberFormat="1" applyBorder="1"/>
    <xf numFmtId="0" fontId="29" fillId="0" borderId="23" xfId="5" applyBorder="1"/>
    <xf numFmtId="4" fontId="29" fillId="0" borderId="9" xfId="5" applyNumberFormat="1" applyBorder="1"/>
    <xf numFmtId="4" fontId="29" fillId="0" borderId="5" xfId="5" applyNumberFormat="1" applyBorder="1"/>
    <xf numFmtId="169" fontId="29" fillId="0" borderId="5" xfId="5" applyNumberFormat="1" applyBorder="1"/>
    <xf numFmtId="0" fontId="29" fillId="0" borderId="4" xfId="5" applyBorder="1"/>
    <xf numFmtId="4" fontId="29" fillId="0" borderId="0" xfId="5" applyNumberFormat="1" applyBorder="1"/>
    <xf numFmtId="11" fontId="29" fillId="0" borderId="4" xfId="5" applyNumberFormat="1" applyBorder="1"/>
    <xf numFmtId="169" fontId="29" fillId="0" borderId="5" xfId="5" applyNumberFormat="1" applyFill="1" applyBorder="1"/>
    <xf numFmtId="4" fontId="29" fillId="0" borderId="24" xfId="5" applyNumberFormat="1" applyBorder="1"/>
    <xf numFmtId="169" fontId="29" fillId="0" borderId="24" xfId="5" applyNumberFormat="1" applyBorder="1"/>
    <xf numFmtId="0" fontId="29" fillId="0" borderId="19" xfId="5" applyBorder="1"/>
    <xf numFmtId="4" fontId="29" fillId="0" borderId="10" xfId="5" applyNumberFormat="1" applyBorder="1"/>
    <xf numFmtId="0" fontId="29" fillId="0" borderId="24" xfId="5" applyBorder="1"/>
    <xf numFmtId="0" fontId="29" fillId="0" borderId="10" xfId="5" applyBorder="1"/>
    <xf numFmtId="0" fontId="29" fillId="0" borderId="24" xfId="5" applyBorder="1" applyAlignment="1">
      <alignment horizontal="right"/>
    </xf>
    <xf numFmtId="11" fontId="29" fillId="0" borderId="19" xfId="5" applyNumberFormat="1" applyBorder="1"/>
    <xf numFmtId="4" fontId="20" fillId="0" borderId="0" xfId="5" applyNumberFormat="1" applyFont="1"/>
    <xf numFmtId="11" fontId="29" fillId="0" borderId="0" xfId="5" applyNumberFormat="1"/>
    <xf numFmtId="0" fontId="29" fillId="0" borderId="11" xfId="5" applyBorder="1" applyAlignment="1">
      <alignment horizontal="right"/>
    </xf>
    <xf numFmtId="0" fontId="29" fillId="0" borderId="3" xfId="5" applyBorder="1" applyAlignment="1">
      <alignment horizontal="right" wrapText="1"/>
    </xf>
    <xf numFmtId="169" fontId="0" fillId="0" borderId="23" xfId="0" applyNumberFormat="1" applyBorder="1"/>
    <xf numFmtId="169" fontId="0" fillId="0" borderId="4" xfId="0" applyNumberFormat="1" applyBorder="1"/>
    <xf numFmtId="169" fontId="0" fillId="0" borderId="19" xfId="0" applyNumberFormat="1" applyBorder="1"/>
    <xf numFmtId="167" fontId="0" fillId="0" borderId="23" xfId="0" applyNumberFormat="1" applyBorder="1"/>
    <xf numFmtId="3" fontId="0" fillId="0" borderId="22" xfId="0" applyNumberFormat="1" applyBorder="1"/>
    <xf numFmtId="11" fontId="0" fillId="0" borderId="9" xfId="0" applyNumberFormat="1" applyBorder="1"/>
    <xf numFmtId="4" fontId="0" fillId="0" borderId="23" xfId="0" applyNumberFormat="1" applyBorder="1"/>
    <xf numFmtId="3" fontId="0" fillId="0" borderId="5" xfId="0" applyNumberFormat="1" applyBorder="1"/>
    <xf numFmtId="11" fontId="0" fillId="0" borderId="0" xfId="0" applyNumberFormat="1" applyBorder="1"/>
    <xf numFmtId="4" fontId="0" fillId="0" borderId="4" xfId="0" applyNumberFormat="1" applyBorder="1"/>
    <xf numFmtId="3" fontId="0" fillId="0" borderId="24" xfId="0" applyNumberFormat="1" applyBorder="1"/>
    <xf numFmtId="11" fontId="0" fillId="0" borderId="10" xfId="0" applyNumberFormat="1" applyBorder="1"/>
    <xf numFmtId="4" fontId="0" fillId="0" borderId="19" xfId="0" applyNumberFormat="1" applyBorder="1"/>
    <xf numFmtId="0" fontId="12" fillId="3" borderId="44" xfId="5" applyFont="1" applyFill="1" applyBorder="1" applyAlignment="1">
      <alignment horizontal="centerContinuous" vertical="center"/>
    </xf>
    <xf numFmtId="0" fontId="12" fillId="4" borderId="44" xfId="5" applyFont="1" applyFill="1" applyBorder="1" applyAlignment="1">
      <alignment horizontal="centerContinuous" vertical="center"/>
    </xf>
    <xf numFmtId="0" fontId="12" fillId="5" borderId="44" xfId="5" applyFont="1" applyFill="1" applyBorder="1" applyAlignment="1">
      <alignment horizontal="centerContinuous" vertical="center"/>
    </xf>
    <xf numFmtId="164" fontId="8" fillId="0" borderId="26" xfId="0" applyNumberFormat="1" applyFont="1" applyFill="1" applyBorder="1" applyAlignment="1">
      <alignment horizontal="right"/>
    </xf>
    <xf numFmtId="164" fontId="8" fillId="0" borderId="41" xfId="0" applyNumberFormat="1" applyFont="1" applyFill="1" applyBorder="1" applyAlignment="1">
      <alignment vertical="center"/>
    </xf>
    <xf numFmtId="164" fontId="8" fillId="0" borderId="43" xfId="0" applyNumberFormat="1" applyFont="1" applyFill="1" applyBorder="1" applyAlignment="1">
      <alignment horizontal="right" vertical="center"/>
    </xf>
    <xf numFmtId="0" fontId="8" fillId="0" borderId="44" xfId="0" applyFont="1" applyFill="1" applyBorder="1" applyAlignment="1">
      <alignment horizontal="center" vertical="center" wrapText="1"/>
    </xf>
    <xf numFmtId="164" fontId="8" fillId="0" borderId="37" xfId="0" applyNumberFormat="1" applyFont="1" applyFill="1" applyBorder="1"/>
    <xf numFmtId="3" fontId="8" fillId="0" borderId="42" xfId="0" applyNumberFormat="1" applyFont="1" applyFill="1" applyBorder="1" applyAlignment="1">
      <alignment horizontal="right" vertical="center" wrapText="1"/>
    </xf>
    <xf numFmtId="3" fontId="11" fillId="0" borderId="43" xfId="0" applyNumberFormat="1" applyFont="1" applyFill="1" applyBorder="1" applyAlignment="1">
      <alignment horizontal="right" vertical="center" wrapText="1"/>
    </xf>
    <xf numFmtId="3" fontId="11" fillId="0" borderId="44" xfId="0" applyNumberFormat="1" applyFont="1" applyFill="1" applyBorder="1" applyAlignment="1">
      <alignment horizontal="right" vertical="center" wrapText="1"/>
    </xf>
    <xf numFmtId="3" fontId="8" fillId="0" borderId="43" xfId="0" applyNumberFormat="1" applyFont="1" applyFill="1" applyBorder="1" applyAlignment="1">
      <alignment horizontal="right" vertical="center" wrapText="1"/>
    </xf>
    <xf numFmtId="4" fontId="8" fillId="0" borderId="16" xfId="0" applyNumberFormat="1" applyFont="1" applyFill="1" applyBorder="1"/>
    <xf numFmtId="3" fontId="11" fillId="0" borderId="13" xfId="0" applyNumberFormat="1" applyFont="1" applyFill="1" applyBorder="1" applyAlignment="1">
      <alignment horizontal="right" vertical="center" wrapText="1"/>
    </xf>
    <xf numFmtId="4" fontId="8" fillId="0" borderId="37" xfId="0" applyNumberFormat="1" applyFont="1" applyFill="1" applyBorder="1"/>
    <xf numFmtId="4" fontId="8" fillId="0" borderId="35" xfId="0" applyNumberFormat="1" applyFont="1" applyFill="1" applyBorder="1"/>
    <xf numFmtId="3" fontId="8" fillId="0" borderId="41" xfId="0" applyNumberFormat="1" applyFont="1" applyFill="1" applyBorder="1" applyAlignment="1">
      <alignment horizontal="left" vertical="center" wrapText="1"/>
    </xf>
    <xf numFmtId="164" fontId="8" fillId="0" borderId="41" xfId="0" applyNumberFormat="1" applyFont="1" applyFill="1" applyBorder="1" applyAlignment="1">
      <alignment horizontal="right" vertical="center"/>
    </xf>
    <xf numFmtId="164" fontId="8" fillId="0" borderId="37" xfId="0" applyNumberFormat="1" applyFont="1" applyFill="1" applyBorder="1" applyAlignment="1">
      <alignment horizontal="right"/>
    </xf>
    <xf numFmtId="164" fontId="8" fillId="0" borderId="35" xfId="0" applyNumberFormat="1" applyFont="1" applyFill="1" applyBorder="1" applyAlignment="1">
      <alignment horizontal="right"/>
    </xf>
    <xf numFmtId="0" fontId="20" fillId="0" borderId="0" xfId="5" applyFont="1"/>
    <xf numFmtId="169" fontId="29" fillId="11" borderId="5" xfId="5" applyNumberFormat="1" applyFill="1" applyBorder="1"/>
    <xf numFmtId="0" fontId="29" fillId="0" borderId="27" xfId="5" applyBorder="1" applyAlignment="1">
      <alignment horizontal="center"/>
    </xf>
    <xf numFmtId="0" fontId="24" fillId="0" borderId="0" xfId="0" applyNumberFormat="1" applyFont="1"/>
    <xf numFmtId="0" fontId="29" fillId="0" borderId="0" xfId="5" applyFill="1"/>
    <xf numFmtId="0" fontId="29" fillId="0" borderId="0" xfId="5" quotePrefix="1"/>
    <xf numFmtId="0" fontId="0" fillId="0" borderId="0" xfId="0" quotePrefix="1" applyFont="1"/>
    <xf numFmtId="0" fontId="0" fillId="0" borderId="0" xfId="0" applyFont="1" applyFill="1"/>
    <xf numFmtId="0" fontId="31" fillId="0" borderId="0" xfId="0" applyFont="1"/>
    <xf numFmtId="4" fontId="32" fillId="12" borderId="0" xfId="5" applyNumberFormat="1" applyFont="1" applyFill="1"/>
    <xf numFmtId="4" fontId="11" fillId="12" borderId="17" xfId="0" applyNumberFormat="1" applyFont="1" applyFill="1" applyBorder="1"/>
    <xf numFmtId="0" fontId="8" fillId="0" borderId="0" xfId="0" applyFont="1" applyFill="1" applyBorder="1" applyAlignment="1">
      <alignment vertical="center" wrapText="1"/>
    </xf>
    <xf numFmtId="0" fontId="28" fillId="0" borderId="0" xfId="2" applyFill="1" applyBorder="1" applyAlignment="1" applyProtection="1">
      <alignment vertical="center" wrapText="1"/>
    </xf>
    <xf numFmtId="10" fontId="8" fillId="6" borderId="0" xfId="0" applyNumberFormat="1" applyFont="1" applyFill="1" applyBorder="1" applyAlignment="1">
      <alignment vertical="center"/>
    </xf>
    <xf numFmtId="9" fontId="29" fillId="0" borderId="10" xfId="5" applyNumberFormat="1" applyFill="1" applyBorder="1" applyAlignment="1">
      <alignment horizontal="right"/>
    </xf>
    <xf numFmtId="166" fontId="29" fillId="11" borderId="5" xfId="5" applyNumberFormat="1" applyFill="1" applyBorder="1"/>
    <xf numFmtId="166" fontId="29" fillId="0" borderId="5" xfId="5" applyNumberFormat="1" applyFill="1" applyBorder="1"/>
    <xf numFmtId="0" fontId="33" fillId="0" borderId="55" xfId="5" applyFont="1" applyFill="1" applyBorder="1" applyAlignment="1">
      <alignment horizontal="center" vertical="center" wrapText="1"/>
    </xf>
    <xf numFmtId="3" fontId="29" fillId="11" borderId="0" xfId="5" applyNumberFormat="1" applyFill="1"/>
    <xf numFmtId="0" fontId="11" fillId="0" borderId="0" xfId="0" applyFont="1" applyFill="1"/>
    <xf numFmtId="0" fontId="24" fillId="0" borderId="0" xfId="0" applyFont="1" applyFill="1"/>
    <xf numFmtId="0" fontId="5" fillId="0" borderId="0" xfId="5" quotePrefix="1" applyFont="1"/>
    <xf numFmtId="0" fontId="0" fillId="0" borderId="0" xfId="0" applyFill="1"/>
    <xf numFmtId="9" fontId="7" fillId="0" borderId="26" xfId="3" applyFill="1" applyBorder="1" applyAlignment="1">
      <alignment horizontal="center" vertical="center" wrapText="1"/>
    </xf>
    <xf numFmtId="0" fontId="15" fillId="0" borderId="41" xfId="0" applyFont="1" applyBorder="1"/>
    <xf numFmtId="0" fontId="15" fillId="0" borderId="44" xfId="0" applyFont="1" applyBorder="1"/>
    <xf numFmtId="0" fontId="0" fillId="0" borderId="41" xfId="0" applyFont="1" applyBorder="1" applyAlignment="1">
      <alignment vertical="center"/>
    </xf>
    <xf numFmtId="0" fontId="10" fillId="0" borderId="43" xfId="0" applyFont="1" applyBorder="1"/>
    <xf numFmtId="0" fontId="10" fillId="0" borderId="43" xfId="0" applyFont="1" applyFill="1" applyBorder="1" applyAlignment="1">
      <alignment vertical="center"/>
    </xf>
    <xf numFmtId="0" fontId="10" fillId="0" borderId="43" xfId="0" applyFont="1" applyFill="1" applyBorder="1"/>
    <xf numFmtId="0" fontId="0" fillId="0" borderId="0" xfId="0" applyFont="1" applyFill="1" applyBorder="1" applyAlignment="1">
      <alignment horizontal="left" vertical="center"/>
    </xf>
    <xf numFmtId="0" fontId="15" fillId="0" borderId="26" xfId="0" applyFont="1" applyBorder="1"/>
    <xf numFmtId="0" fontId="10" fillId="0" borderId="34" xfId="0" applyFont="1" applyBorder="1"/>
    <xf numFmtId="0" fontId="10" fillId="0" borderId="44" xfId="0" applyFont="1" applyBorder="1"/>
    <xf numFmtId="9" fontId="0" fillId="6" borderId="13" xfId="0" applyNumberFormat="1" applyFont="1" applyFill="1" applyBorder="1" applyAlignment="1">
      <alignment horizontal="center" vertical="center"/>
    </xf>
    <xf numFmtId="4" fontId="8" fillId="0" borderId="56" xfId="0" applyNumberFormat="1" applyFont="1" applyFill="1" applyBorder="1"/>
    <xf numFmtId="9" fontId="7" fillId="0" borderId="26" xfId="3" applyFill="1" applyBorder="1" applyAlignment="1">
      <alignment horizontal="center" vertical="center"/>
    </xf>
    <xf numFmtId="0" fontId="10" fillId="0" borderId="17" xfId="0" applyFont="1" applyBorder="1" applyAlignment="1">
      <alignment horizontal="center" wrapText="1"/>
    </xf>
    <xf numFmtId="4" fontId="8" fillId="0" borderId="54" xfId="0" applyNumberFormat="1" applyFont="1" applyFill="1" applyBorder="1"/>
    <xf numFmtId="3" fontId="11" fillId="0" borderId="13" xfId="0" applyNumberFormat="1" applyFont="1" applyBorder="1" applyAlignment="1">
      <alignment horizontal="right" vertical="center" wrapText="1"/>
    </xf>
    <xf numFmtId="0" fontId="15" fillId="0" borderId="13" xfId="0" applyFont="1" applyBorder="1"/>
    <xf numFmtId="0" fontId="9" fillId="0" borderId="57" xfId="0" applyFont="1" applyBorder="1" applyAlignment="1">
      <alignment horizontal="center" wrapText="1"/>
    </xf>
    <xf numFmtId="164" fontId="11" fillId="0" borderId="13" xfId="0" applyNumberFormat="1" applyFont="1" applyBorder="1" applyAlignment="1">
      <alignment horizontal="right" vertical="center" wrapText="1"/>
    </xf>
    <xf numFmtId="4" fontId="15" fillId="0" borderId="16" xfId="0" applyNumberFormat="1" applyFont="1" applyBorder="1"/>
    <xf numFmtId="4" fontId="15" fillId="0" borderId="17" xfId="0" applyNumberFormat="1" applyFont="1" applyBorder="1"/>
    <xf numFmtId="4" fontId="15" fillId="0" borderId="18" xfId="0" applyNumberFormat="1" applyFont="1" applyBorder="1"/>
    <xf numFmtId="164" fontId="8" fillId="0" borderId="41" xfId="0" applyNumberFormat="1" applyFont="1" applyBorder="1"/>
    <xf numFmtId="164" fontId="8" fillId="0" borderId="43" xfId="0" applyNumberFormat="1" applyFont="1" applyBorder="1"/>
    <xf numFmtId="4" fontId="8" fillId="0" borderId="43" xfId="0" applyNumberFormat="1" applyFont="1" applyBorder="1"/>
    <xf numFmtId="4" fontId="8" fillId="0" borderId="44" xfId="0" applyNumberFormat="1" applyFont="1" applyBorder="1"/>
    <xf numFmtId="0" fontId="7" fillId="0" borderId="25" xfId="0" applyFont="1" applyBorder="1" applyAlignment="1">
      <alignment horizontal="center" vertical="center"/>
    </xf>
    <xf numFmtId="3" fontId="8" fillId="0" borderId="39" xfId="0" applyNumberFormat="1" applyFont="1" applyBorder="1" applyAlignment="1">
      <alignment horizontal="right" vertical="center" wrapText="1"/>
    </xf>
    <xf numFmtId="3" fontId="8" fillId="0" borderId="26" xfId="0" applyNumberFormat="1" applyFont="1" applyBorder="1" applyAlignment="1">
      <alignment horizontal="right" vertical="center" wrapText="1"/>
    </xf>
    <xf numFmtId="3" fontId="8" fillId="0" borderId="26" xfId="0" applyNumberFormat="1" applyFont="1" applyBorder="1" applyAlignment="1">
      <alignment horizontal="left" vertical="center" wrapText="1"/>
    </xf>
    <xf numFmtId="0" fontId="15" fillId="0" borderId="25" xfId="0" applyFont="1" applyBorder="1"/>
    <xf numFmtId="3" fontId="11" fillId="0" borderId="26" xfId="0" applyNumberFormat="1" applyFont="1" applyBorder="1"/>
    <xf numFmtId="0" fontId="7" fillId="0" borderId="13" xfId="0" applyFont="1" applyBorder="1" applyAlignment="1">
      <alignment horizontal="center" vertical="center"/>
    </xf>
    <xf numFmtId="3" fontId="8" fillId="0" borderId="18" xfId="0" applyNumberFormat="1" applyFont="1" applyBorder="1"/>
    <xf numFmtId="49" fontId="0" fillId="0" borderId="0" xfId="0" applyNumberFormat="1"/>
    <xf numFmtId="0" fontId="15" fillId="0" borderId="0" xfId="0" applyFont="1" applyBorder="1"/>
    <xf numFmtId="3" fontId="11" fillId="0" borderId="13" xfId="0" applyNumberFormat="1" applyFont="1" applyBorder="1"/>
    <xf numFmtId="0" fontId="8" fillId="0" borderId="47" xfId="0" applyFont="1" applyBorder="1"/>
    <xf numFmtId="0" fontId="8" fillId="0" borderId="2" xfId="0" applyFont="1" applyBorder="1"/>
    <xf numFmtId="3" fontId="8" fillId="0" borderId="46" xfId="0" applyNumberFormat="1" applyFont="1" applyBorder="1"/>
    <xf numFmtId="0" fontId="8" fillId="0" borderId="25" xfId="0" applyFont="1" applyBorder="1"/>
    <xf numFmtId="0" fontId="8" fillId="0" borderId="26" xfId="0" applyFont="1" applyBorder="1"/>
    <xf numFmtId="3" fontId="8" fillId="0" borderId="34" xfId="0" applyNumberFormat="1" applyFont="1" applyBorder="1"/>
    <xf numFmtId="4" fontId="10" fillId="0" borderId="0" xfId="0" applyNumberFormat="1" applyFont="1"/>
    <xf numFmtId="164" fontId="8" fillId="0" borderId="16" xfId="0" applyNumberFormat="1" applyFont="1" applyBorder="1"/>
    <xf numFmtId="164" fontId="8" fillId="0" borderId="17" xfId="0" applyNumberFormat="1" applyFont="1" applyBorder="1"/>
    <xf numFmtId="0" fontId="8" fillId="0" borderId="0" xfId="0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 wrapText="1"/>
    </xf>
    <xf numFmtId="0" fontId="18" fillId="0" borderId="52" xfId="0" applyFont="1" applyBorder="1" applyAlignment="1">
      <alignment horizontal="center" wrapText="1"/>
    </xf>
    <xf numFmtId="4" fontId="11" fillId="0" borderId="53" xfId="0" applyNumberFormat="1" applyFont="1" applyBorder="1"/>
    <xf numFmtId="4" fontId="11" fillId="0" borderId="48" xfId="0" applyNumberFormat="1" applyFont="1" applyBorder="1"/>
    <xf numFmtId="9" fontId="0" fillId="0" borderId="0" xfId="0" applyNumberFormat="1" applyFont="1" applyFill="1" applyBorder="1" applyAlignment="1">
      <alignment horizontal="center" vertical="center"/>
    </xf>
    <xf numFmtId="3" fontId="8" fillId="0" borderId="3" xfId="0" applyNumberFormat="1" applyFont="1" applyBorder="1"/>
    <xf numFmtId="164" fontId="8" fillId="0" borderId="37" xfId="0" applyNumberFormat="1" applyFont="1" applyBorder="1"/>
    <xf numFmtId="0" fontId="15" fillId="0" borderId="13" xfId="0" applyFont="1" applyFill="1" applyBorder="1" applyAlignment="1">
      <alignment horizontal="center" vertical="center" wrapText="1"/>
    </xf>
    <xf numFmtId="0" fontId="15" fillId="0" borderId="43" xfId="0" applyFont="1" applyBorder="1"/>
    <xf numFmtId="0" fontId="0" fillId="0" borderId="5" xfId="0" applyFill="1" applyBorder="1"/>
    <xf numFmtId="0" fontId="0" fillId="0" borderId="11" xfId="0" applyBorder="1"/>
    <xf numFmtId="165" fontId="8" fillId="0" borderId="29" xfId="3" applyNumberFormat="1" applyFont="1" applyBorder="1"/>
    <xf numFmtId="165" fontId="8" fillId="0" borderId="30" xfId="3" applyNumberFormat="1" applyFont="1" applyBorder="1"/>
    <xf numFmtId="0" fontId="41" fillId="0" borderId="0" xfId="0" applyFont="1" applyFill="1" applyAlignment="1"/>
    <xf numFmtId="0" fontId="0" fillId="0" borderId="55" xfId="0" applyBorder="1"/>
    <xf numFmtId="164" fontId="0" fillId="8" borderId="59" xfId="0" applyNumberFormat="1" applyFill="1" applyBorder="1"/>
    <xf numFmtId="0" fontId="39" fillId="0" borderId="27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164" fontId="8" fillId="7" borderId="25" xfId="0" applyNumberFormat="1" applyFont="1" applyFill="1" applyBorder="1"/>
    <xf numFmtId="164" fontId="8" fillId="7" borderId="39" xfId="0" applyNumberFormat="1" applyFont="1" applyFill="1" applyBorder="1"/>
    <xf numFmtId="164" fontId="8" fillId="0" borderId="26" xfId="0" applyNumberFormat="1" applyFont="1" applyFill="1" applyBorder="1"/>
    <xf numFmtId="4" fontId="8" fillId="0" borderId="26" xfId="0" applyNumberFormat="1" applyFont="1" applyFill="1" applyBorder="1"/>
    <xf numFmtId="4" fontId="0" fillId="0" borderId="3" xfId="0" applyNumberFormat="1" applyBorder="1"/>
    <xf numFmtId="4" fontId="0" fillId="0" borderId="12" xfId="0" applyNumberFormat="1" applyBorder="1"/>
    <xf numFmtId="4" fontId="0" fillId="0" borderId="11" xfId="0" applyNumberFormat="1" applyBorder="1"/>
    <xf numFmtId="164" fontId="0" fillId="8" borderId="4" xfId="0" applyNumberFormat="1" applyFill="1" applyBorder="1"/>
    <xf numFmtId="0" fontId="0" fillId="0" borderId="0" xfId="0" applyBorder="1"/>
    <xf numFmtId="0" fontId="0" fillId="0" borderId="0" xfId="0" applyFill="1" applyBorder="1"/>
    <xf numFmtId="0" fontId="0" fillId="0" borderId="58" xfId="0" applyBorder="1"/>
    <xf numFmtId="0" fontId="0" fillId="0" borderId="3" xfId="0" applyBorder="1"/>
    <xf numFmtId="0" fontId="0" fillId="0" borderId="12" xfId="0" applyBorder="1"/>
    <xf numFmtId="164" fontId="0" fillId="0" borderId="11" xfId="0" applyNumberFormat="1" applyFill="1" applyBorder="1"/>
    <xf numFmtId="164" fontId="0" fillId="0" borderId="3" xfId="0" applyNumberFormat="1" applyFill="1" applyBorder="1"/>
    <xf numFmtId="164" fontId="0" fillId="0" borderId="12" xfId="0" applyNumberFormat="1" applyFill="1" applyBorder="1"/>
    <xf numFmtId="164" fontId="0" fillId="0" borderId="27" xfId="0" applyNumberFormat="1" applyFill="1" applyBorder="1"/>
    <xf numFmtId="0" fontId="0" fillId="0" borderId="11" xfId="0" applyFill="1" applyBorder="1"/>
    <xf numFmtId="9" fontId="7" fillId="0" borderId="11" xfId="3" applyFill="1" applyBorder="1"/>
    <xf numFmtId="9" fontId="7" fillId="0" borderId="3" xfId="3" applyFill="1" applyBorder="1"/>
    <xf numFmtId="9" fontId="7" fillId="0" borderId="12" xfId="3" applyFill="1" applyBorder="1"/>
    <xf numFmtId="9" fontId="7" fillId="0" borderId="27" xfId="3" applyFill="1" applyBorder="1"/>
    <xf numFmtId="0" fontId="11" fillId="8" borderId="13" xfId="0" applyFont="1" applyFill="1" applyBorder="1" applyAlignment="1">
      <alignment horizontal="center" vertical="center"/>
    </xf>
    <xf numFmtId="0" fontId="8" fillId="15" borderId="41" xfId="0" applyFont="1" applyFill="1" applyBorder="1" applyAlignment="1">
      <alignment vertical="center"/>
    </xf>
    <xf numFmtId="0" fontId="10" fillId="15" borderId="43" xfId="0" applyFont="1" applyFill="1" applyBorder="1" applyAlignment="1">
      <alignment vertical="center"/>
    </xf>
    <xf numFmtId="0" fontId="10" fillId="15" borderId="43" xfId="0" applyFont="1" applyFill="1" applyBorder="1"/>
    <xf numFmtId="0" fontId="10" fillId="15" borderId="44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0" fillId="0" borderId="4" xfId="0" applyFill="1" applyBorder="1"/>
    <xf numFmtId="0" fontId="0" fillId="0" borderId="27" xfId="0" applyBorder="1"/>
    <xf numFmtId="0" fontId="39" fillId="0" borderId="11" xfId="0" applyFont="1" applyBorder="1"/>
    <xf numFmtId="0" fontId="0" fillId="0" borderId="3" xfId="0" applyFont="1" applyBorder="1"/>
    <xf numFmtId="0" fontId="0" fillId="0" borderId="27" xfId="0" applyFill="1" applyBorder="1"/>
    <xf numFmtId="164" fontId="0" fillId="6" borderId="5" xfId="0" applyNumberFormat="1" applyFill="1" applyBorder="1" applyProtection="1">
      <protection locked="0"/>
    </xf>
    <xf numFmtId="164" fontId="0" fillId="6" borderId="0" xfId="0" applyNumberFormat="1" applyFill="1" applyBorder="1" applyProtection="1">
      <protection locked="0"/>
    </xf>
    <xf numFmtId="164" fontId="0" fillId="6" borderId="24" xfId="0" applyNumberFormat="1" applyFill="1" applyBorder="1" applyProtection="1">
      <protection locked="0"/>
    </xf>
    <xf numFmtId="164" fontId="0" fillId="6" borderId="10" xfId="0" applyNumberFormat="1" applyFill="1" applyBorder="1" applyProtection="1">
      <protection locked="0"/>
    </xf>
    <xf numFmtId="164" fontId="0" fillId="6" borderId="58" xfId="0" applyNumberFormat="1" applyFill="1" applyBorder="1" applyProtection="1">
      <protection locked="0"/>
    </xf>
    <xf numFmtId="165" fontId="7" fillId="0" borderId="27" xfId="3" applyNumberFormat="1" applyFill="1" applyBorder="1" applyAlignment="1">
      <alignment horizontal="right" vertical="center" wrapText="1"/>
    </xf>
    <xf numFmtId="0" fontId="12" fillId="0" borderId="0" xfId="0" applyFont="1" applyFill="1"/>
    <xf numFmtId="0" fontId="45" fillId="0" borderId="0" xfId="0" applyFont="1"/>
    <xf numFmtId="0" fontId="24" fillId="0" borderId="0" xfId="0" applyFont="1" applyAlignment="1">
      <alignment vertical="center"/>
    </xf>
    <xf numFmtId="165" fontId="24" fillId="0" borderId="0" xfId="0" applyNumberFormat="1" applyFont="1" applyAlignment="1">
      <alignment vertical="center"/>
    </xf>
    <xf numFmtId="165" fontId="24" fillId="0" borderId="0" xfId="0" applyNumberFormat="1" applyFont="1"/>
    <xf numFmtId="0" fontId="24" fillId="0" borderId="10" xfId="0" applyFont="1" applyBorder="1" applyAlignment="1">
      <alignment vertical="center"/>
    </xf>
    <xf numFmtId="165" fontId="24" fillId="6" borderId="10" xfId="0" applyNumberFormat="1" applyFont="1" applyFill="1" applyBorder="1" applyAlignment="1">
      <alignment vertical="center"/>
    </xf>
    <xf numFmtId="165" fontId="7" fillId="0" borderId="60" xfId="3" applyNumberFormat="1" applyBorder="1"/>
    <xf numFmtId="0" fontId="12" fillId="0" borderId="0" xfId="0" applyFont="1" applyAlignment="1">
      <alignment vertical="center"/>
    </xf>
    <xf numFmtId="0" fontId="28" fillId="0" borderId="0" xfId="2" applyAlignment="1" applyProtection="1">
      <alignment horizontal="left"/>
    </xf>
    <xf numFmtId="0" fontId="13" fillId="0" borderId="61" xfId="0" applyFont="1" applyBorder="1" applyAlignment="1">
      <alignment horizontal="center" wrapText="1"/>
    </xf>
    <xf numFmtId="165" fontId="8" fillId="0" borderId="0" xfId="3" applyNumberFormat="1" applyFont="1" applyBorder="1"/>
    <xf numFmtId="0" fontId="8" fillId="6" borderId="41" xfId="0" applyFont="1" applyFill="1" applyBorder="1" applyAlignment="1">
      <alignment vertical="center"/>
    </xf>
    <xf numFmtId="0" fontId="10" fillId="6" borderId="43" xfId="0" applyFont="1" applyFill="1" applyBorder="1" applyAlignment="1">
      <alignment vertical="center"/>
    </xf>
    <xf numFmtId="0" fontId="10" fillId="6" borderId="44" xfId="0" applyFont="1" applyFill="1" applyBorder="1"/>
    <xf numFmtId="2" fontId="10" fillId="0" borderId="5" xfId="0" applyNumberFormat="1" applyFont="1" applyBorder="1"/>
    <xf numFmtId="2" fontId="10" fillId="0" borderId="24" xfId="0" applyNumberFormat="1" applyFont="1" applyBorder="1"/>
    <xf numFmtId="0" fontId="35" fillId="0" borderId="11" xfId="0" applyFont="1" applyBorder="1" applyAlignment="1">
      <alignment horizontal="center"/>
    </xf>
    <xf numFmtId="0" fontId="8" fillId="0" borderId="12" xfId="0" applyFont="1" applyBorder="1"/>
    <xf numFmtId="2" fontId="8" fillId="0" borderId="5" xfId="0" applyNumberFormat="1" applyFont="1" applyBorder="1"/>
    <xf numFmtId="165" fontId="7" fillId="0" borderId="4" xfId="3" applyNumberFormat="1" applyBorder="1"/>
    <xf numFmtId="165" fontId="7" fillId="0" borderId="19" xfId="3" applyNumberFormat="1" applyBorder="1"/>
    <xf numFmtId="0" fontId="28" fillId="0" borderId="0" xfId="2" applyFill="1" applyBorder="1" applyAlignment="1" applyProtection="1">
      <alignment horizontal="left" vertical="center" wrapText="1"/>
    </xf>
    <xf numFmtId="165" fontId="8" fillId="0" borderId="45" xfId="3" applyNumberFormat="1" applyFont="1" applyBorder="1"/>
    <xf numFmtId="165" fontId="8" fillId="0" borderId="17" xfId="3" applyNumberFormat="1" applyFont="1" applyBorder="1"/>
    <xf numFmtId="165" fontId="8" fillId="0" borderId="18" xfId="3" applyNumberFormat="1" applyFont="1" applyBorder="1"/>
    <xf numFmtId="9" fontId="8" fillId="0" borderId="9" xfId="3" applyFont="1" applyBorder="1"/>
    <xf numFmtId="9" fontId="8" fillId="0" borderId="23" xfId="3" applyFont="1" applyBorder="1"/>
    <xf numFmtId="9" fontId="8" fillId="0" borderId="0" xfId="3" applyFont="1" applyBorder="1"/>
    <xf numFmtId="9" fontId="8" fillId="0" borderId="4" xfId="3" applyFont="1" applyBorder="1"/>
    <xf numFmtId="9" fontId="8" fillId="0" borderId="10" xfId="3" applyFont="1" applyBorder="1"/>
    <xf numFmtId="9" fontId="8" fillId="0" borderId="19" xfId="3" applyFont="1" applyBorder="1"/>
    <xf numFmtId="9" fontId="8" fillId="0" borderId="35" xfId="3" applyFont="1" applyBorder="1"/>
    <xf numFmtId="9" fontId="8" fillId="0" borderId="49" xfId="3" applyFont="1" applyBorder="1"/>
    <xf numFmtId="9" fontId="8" fillId="0" borderId="62" xfId="3" applyFont="1" applyBorder="1"/>
    <xf numFmtId="0" fontId="48" fillId="0" borderId="0" xfId="0" applyFont="1"/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24" fillId="0" borderId="41" xfId="0" applyFont="1" applyBorder="1"/>
    <xf numFmtId="0" fontId="8" fillId="0" borderId="43" xfId="0" applyFont="1" applyBorder="1"/>
    <xf numFmtId="164" fontId="8" fillId="0" borderId="47" xfId="0" applyNumberFormat="1" applyFont="1" applyFill="1" applyBorder="1" applyAlignment="1"/>
    <xf numFmtId="3" fontId="8" fillId="0" borderId="2" xfId="0" applyNumberFormat="1" applyFont="1" applyFill="1" applyBorder="1" applyAlignment="1"/>
    <xf numFmtId="0" fontId="8" fillId="0" borderId="2" xfId="0" applyFont="1" applyFill="1" applyBorder="1" applyAlignment="1">
      <alignment horizontal="center" wrapText="1"/>
    </xf>
    <xf numFmtId="3" fontId="8" fillId="0" borderId="2" xfId="0" applyNumberFormat="1" applyFont="1" applyFill="1" applyBorder="1" applyAlignment="1">
      <alignment horizontal="right"/>
    </xf>
    <xf numFmtId="164" fontId="8" fillId="0" borderId="46" xfId="0" applyNumberFormat="1" applyFont="1" applyFill="1" applyBorder="1" applyAlignment="1"/>
    <xf numFmtId="0" fontId="10" fillId="0" borderId="5" xfId="0" applyFont="1" applyBorder="1"/>
    <xf numFmtId="164" fontId="10" fillId="0" borderId="5" xfId="0" applyNumberFormat="1" applyFont="1" applyBorder="1" applyAlignment="1">
      <alignment vertical="center"/>
    </xf>
    <xf numFmtId="164" fontId="10" fillId="0" borderId="0" xfId="0" applyNumberFormat="1" applyFont="1" applyBorder="1" applyAlignment="1">
      <alignment vertical="center"/>
    </xf>
    <xf numFmtId="164" fontId="10" fillId="0" borderId="4" xfId="0" applyNumberFormat="1" applyFont="1" applyBorder="1" applyAlignment="1">
      <alignment vertical="center"/>
    </xf>
    <xf numFmtId="164" fontId="10" fillId="0" borderId="24" xfId="0" applyNumberFormat="1" applyFont="1" applyBorder="1" applyAlignment="1">
      <alignment vertical="center"/>
    </xf>
    <xf numFmtId="164" fontId="10" fillId="0" borderId="10" xfId="0" applyNumberFormat="1" applyFont="1" applyBorder="1" applyAlignment="1">
      <alignment vertical="center"/>
    </xf>
    <xf numFmtId="164" fontId="10" fillId="0" borderId="19" xfId="0" applyNumberFormat="1" applyFont="1" applyBorder="1" applyAlignment="1">
      <alignment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64" fontId="10" fillId="0" borderId="11" xfId="0" applyNumberFormat="1" applyFont="1" applyBorder="1" applyAlignment="1">
      <alignment vertical="center"/>
    </xf>
    <xf numFmtId="164" fontId="10" fillId="0" borderId="3" xfId="0" applyNumberFormat="1" applyFont="1" applyBorder="1" applyAlignment="1">
      <alignment vertical="center"/>
    </xf>
    <xf numFmtId="164" fontId="10" fillId="0" borderId="12" xfId="0" applyNumberFormat="1" applyFont="1" applyBorder="1" applyAlignment="1">
      <alignment vertical="center"/>
    </xf>
    <xf numFmtId="0" fontId="10" fillId="0" borderId="58" xfId="0" applyFont="1" applyBorder="1"/>
    <xf numFmtId="0" fontId="10" fillId="0" borderId="58" xfId="0" applyFont="1" applyBorder="1" applyAlignment="1">
      <alignment vertical="center"/>
    </xf>
    <xf numFmtId="172" fontId="10" fillId="0" borderId="58" xfId="0" applyNumberFormat="1" applyFont="1" applyBorder="1"/>
    <xf numFmtId="172" fontId="10" fillId="0" borderId="59" xfId="0" applyNumberFormat="1" applyFont="1" applyBorder="1"/>
    <xf numFmtId="0" fontId="10" fillId="0" borderId="27" xfId="0" applyFont="1" applyBorder="1" applyAlignment="1">
      <alignment vertical="center"/>
    </xf>
    <xf numFmtId="0" fontId="10" fillId="0" borderId="55" xfId="0" applyFont="1" applyBorder="1"/>
    <xf numFmtId="0" fontId="10" fillId="0" borderId="59" xfId="0" applyFont="1" applyBorder="1" applyAlignment="1">
      <alignment vertical="center"/>
    </xf>
    <xf numFmtId="0" fontId="10" fillId="0" borderId="1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28" fillId="0" borderId="0" xfId="2" applyAlignment="1" applyProtection="1">
      <alignment horizontal="left"/>
    </xf>
    <xf numFmtId="0" fontId="8" fillId="0" borderId="47" xfId="0" applyFont="1" applyBorder="1" applyAlignment="1">
      <alignment horizontal="center"/>
    </xf>
    <xf numFmtId="164" fontId="8" fillId="0" borderId="47" xfId="0" applyNumberFormat="1" applyFont="1" applyBorder="1"/>
    <xf numFmtId="164" fontId="8" fillId="0" borderId="2" xfId="0" applyNumberFormat="1" applyFont="1" applyBorder="1"/>
    <xf numFmtId="4" fontId="8" fillId="0" borderId="46" xfId="0" applyNumberFormat="1" applyFont="1" applyBorder="1"/>
    <xf numFmtId="4" fontId="8" fillId="0" borderId="2" xfId="0" applyNumberFormat="1" applyFont="1" applyBorder="1"/>
    <xf numFmtId="164" fontId="8" fillId="0" borderId="2" xfId="0" applyNumberFormat="1" applyFont="1" applyFill="1" applyBorder="1" applyAlignment="1">
      <alignment horizontal="right"/>
    </xf>
    <xf numFmtId="165" fontId="8" fillId="0" borderId="15" xfId="3" applyNumberFormat="1" applyFont="1" applyBorder="1"/>
    <xf numFmtId="0" fontId="8" fillId="0" borderId="25" xfId="0" applyFont="1" applyBorder="1" applyAlignment="1">
      <alignment horizontal="center"/>
    </xf>
    <xf numFmtId="164" fontId="8" fillId="0" borderId="25" xfId="0" applyNumberFormat="1" applyFont="1" applyBorder="1"/>
    <xf numFmtId="164" fontId="8" fillId="0" borderId="26" xfId="0" applyNumberFormat="1" applyFont="1" applyBorder="1"/>
    <xf numFmtId="4" fontId="8" fillId="0" borderId="26" xfId="0" applyNumberFormat="1" applyFont="1" applyBorder="1"/>
    <xf numFmtId="10" fontId="8" fillId="7" borderId="0" xfId="0" applyNumberFormat="1" applyFont="1" applyFill="1" applyBorder="1" applyAlignment="1">
      <alignment vertical="center"/>
    </xf>
    <xf numFmtId="165" fontId="8" fillId="6" borderId="26" xfId="3" applyNumberFormat="1" applyFont="1" applyFill="1" applyBorder="1" applyAlignment="1">
      <alignment horizontal="center" vertical="center"/>
    </xf>
    <xf numFmtId="9" fontId="7" fillId="6" borderId="13" xfId="3" applyFill="1" applyBorder="1" applyAlignment="1">
      <alignment horizontal="center"/>
    </xf>
    <xf numFmtId="0" fontId="3" fillId="12" borderId="13" xfId="5" applyFont="1" applyFill="1" applyBorder="1" applyAlignment="1">
      <alignment horizontal="center"/>
    </xf>
    <xf numFmtId="0" fontId="5" fillId="0" borderId="0" xfId="5" applyFont="1" applyAlignment="1"/>
    <xf numFmtId="0" fontId="3" fillId="0" borderId="0" xfId="5" applyFont="1" applyAlignment="1"/>
    <xf numFmtId="0" fontId="0" fillId="0" borderId="55" xfId="0" applyBorder="1" applyAlignment="1">
      <alignment wrapText="1"/>
    </xf>
    <xf numFmtId="0" fontId="10" fillId="0" borderId="0" xfId="0" applyFont="1" applyFill="1" applyAlignment="1">
      <alignment vertical="center"/>
    </xf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0" fontId="8" fillId="0" borderId="0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31" fillId="0" borderId="11" xfId="0" applyFont="1" applyBorder="1"/>
    <xf numFmtId="3" fontId="0" fillId="0" borderId="0" xfId="0" applyNumberFormat="1" applyFill="1" applyBorder="1" applyAlignment="1">
      <alignment horizontal="center" vertical="center" wrapText="1"/>
    </xf>
    <xf numFmtId="170" fontId="0" fillId="0" borderId="0" xfId="0" applyNumberFormat="1" applyFill="1" applyBorder="1"/>
    <xf numFmtId="9" fontId="7" fillId="0" borderId="0" xfId="3" applyFill="1" applyBorder="1"/>
    <xf numFmtId="1" fontId="31" fillId="6" borderId="27" xfId="0" applyNumberFormat="1" applyFont="1" applyFill="1" applyBorder="1" applyAlignment="1">
      <alignment horizontal="center"/>
    </xf>
    <xf numFmtId="3" fontId="0" fillId="0" borderId="68" xfId="0" applyNumberFormat="1" applyBorder="1"/>
    <xf numFmtId="170" fontId="0" fillId="6" borderId="69" xfId="0" applyNumberFormat="1" applyFill="1" applyBorder="1"/>
    <xf numFmtId="9" fontId="7" fillId="0" borderId="70" xfId="3" applyFill="1" applyBorder="1"/>
    <xf numFmtId="170" fontId="0" fillId="6" borderId="71" xfId="0" applyNumberFormat="1" applyFill="1" applyBorder="1"/>
    <xf numFmtId="9" fontId="7" fillId="0" borderId="72" xfId="3" applyFill="1" applyBorder="1"/>
    <xf numFmtId="9" fontId="7" fillId="0" borderId="5" xfId="3" applyFill="1" applyBorder="1"/>
    <xf numFmtId="9" fontId="7" fillId="0" borderId="24" xfId="3" applyFill="1" applyBorder="1"/>
    <xf numFmtId="0" fontId="0" fillId="0" borderId="22" xfId="0" applyBorder="1" applyAlignment="1">
      <alignment horizontal="right"/>
    </xf>
    <xf numFmtId="0" fontId="0" fillId="0" borderId="75" xfId="0" applyBorder="1" applyAlignment="1">
      <alignment horizontal="right"/>
    </xf>
    <xf numFmtId="169" fontId="10" fillId="0" borderId="11" xfId="0" applyNumberFormat="1" applyFont="1" applyBorder="1" applyAlignment="1">
      <alignment vertical="center"/>
    </xf>
    <xf numFmtId="169" fontId="10" fillId="0" borderId="3" xfId="0" applyNumberFormat="1" applyFont="1" applyBorder="1" applyAlignment="1">
      <alignment vertical="center"/>
    </xf>
    <xf numFmtId="169" fontId="10" fillId="0" borderId="12" xfId="0" applyNumberFormat="1" applyFont="1" applyBorder="1" applyAlignment="1">
      <alignment vertical="center"/>
    </xf>
    <xf numFmtId="169" fontId="10" fillId="0" borderId="5" xfId="0" applyNumberFormat="1" applyFont="1" applyBorder="1" applyAlignment="1">
      <alignment vertical="center"/>
    </xf>
    <xf numFmtId="169" fontId="10" fillId="0" borderId="0" xfId="0" applyNumberFormat="1" applyFont="1" applyBorder="1" applyAlignment="1">
      <alignment vertical="center"/>
    </xf>
    <xf numFmtId="169" fontId="10" fillId="0" borderId="4" xfId="0" applyNumberFormat="1" applyFont="1" applyBorder="1" applyAlignment="1">
      <alignment vertical="center"/>
    </xf>
    <xf numFmtId="169" fontId="10" fillId="0" borderId="24" xfId="0" applyNumberFormat="1" applyFont="1" applyBorder="1" applyAlignment="1">
      <alignment vertical="center"/>
    </xf>
    <xf numFmtId="169" fontId="10" fillId="0" borderId="10" xfId="0" applyNumberFormat="1" applyFont="1" applyBorder="1" applyAlignment="1">
      <alignment vertical="center"/>
    </xf>
    <xf numFmtId="169" fontId="10" fillId="0" borderId="19" xfId="0" applyNumberFormat="1" applyFont="1" applyBorder="1" applyAlignment="1">
      <alignment vertical="center"/>
    </xf>
    <xf numFmtId="0" fontId="15" fillId="0" borderId="47" xfId="0" applyFont="1" applyBorder="1"/>
    <xf numFmtId="170" fontId="15" fillId="0" borderId="2" xfId="0" applyNumberFormat="1" applyFont="1" applyBorder="1"/>
    <xf numFmtId="2" fontId="15" fillId="0" borderId="2" xfId="0" applyNumberFormat="1" applyFont="1" applyBorder="1"/>
    <xf numFmtId="4" fontId="15" fillId="0" borderId="2" xfId="0" applyNumberFormat="1" applyFont="1" applyBorder="1"/>
    <xf numFmtId="2" fontId="15" fillId="0" borderId="46" xfId="0" applyNumberFormat="1" applyFont="1" applyBorder="1"/>
    <xf numFmtId="0" fontId="15" fillId="0" borderId="35" xfId="0" applyFont="1" applyBorder="1"/>
    <xf numFmtId="164" fontId="15" fillId="0" borderId="0" xfId="0" applyNumberFormat="1" applyFont="1" applyBorder="1"/>
    <xf numFmtId="170" fontId="15" fillId="0" borderId="0" xfId="0" applyNumberFormat="1" applyFont="1" applyBorder="1"/>
    <xf numFmtId="2" fontId="15" fillId="0" borderId="0" xfId="0" applyNumberFormat="1" applyFont="1" applyBorder="1"/>
    <xf numFmtId="4" fontId="15" fillId="0" borderId="0" xfId="0" applyNumberFormat="1" applyFont="1" applyBorder="1"/>
    <xf numFmtId="2" fontId="15" fillId="0" borderId="48" xfId="0" applyNumberFormat="1" applyFont="1" applyBorder="1"/>
    <xf numFmtId="164" fontId="15" fillId="0" borderId="26" xfId="0" applyNumberFormat="1" applyFont="1" applyBorder="1"/>
    <xf numFmtId="170" fontId="15" fillId="0" borderId="26" xfId="0" applyNumberFormat="1" applyFont="1" applyBorder="1"/>
    <xf numFmtId="2" fontId="15" fillId="0" borderId="26" xfId="0" applyNumberFormat="1" applyFont="1" applyBorder="1"/>
    <xf numFmtId="4" fontId="15" fillId="0" borderId="26" xfId="0" applyNumberFormat="1" applyFont="1" applyBorder="1"/>
    <xf numFmtId="2" fontId="15" fillId="0" borderId="34" xfId="0" applyNumberFormat="1" applyFont="1" applyBorder="1"/>
    <xf numFmtId="164" fontId="15" fillId="0" borderId="35" xfId="0" applyNumberFormat="1" applyFont="1" applyBorder="1"/>
    <xf numFmtId="164" fontId="15" fillId="0" borderId="25" xfId="0" applyNumberFormat="1" applyFont="1" applyBorder="1"/>
    <xf numFmtId="4" fontId="15" fillId="0" borderId="35" xfId="0" applyNumberFormat="1" applyFont="1" applyBorder="1"/>
    <xf numFmtId="4" fontId="15" fillId="0" borderId="25" xfId="0" applyNumberFormat="1" applyFont="1" applyBorder="1"/>
    <xf numFmtId="169" fontId="10" fillId="0" borderId="22" xfId="0" applyNumberFormat="1" applyFont="1" applyBorder="1" applyAlignment="1">
      <alignment vertical="center"/>
    </xf>
    <xf numFmtId="169" fontId="10" fillId="0" borderId="9" xfId="0" applyNumberFormat="1" applyFont="1" applyBorder="1" applyAlignment="1">
      <alignment vertical="center"/>
    </xf>
    <xf numFmtId="169" fontId="10" fillId="0" borderId="23" xfId="0" applyNumberFormat="1" applyFont="1" applyBorder="1" applyAlignment="1">
      <alignment vertical="center"/>
    </xf>
    <xf numFmtId="0" fontId="8" fillId="0" borderId="41" xfId="0" applyFont="1" applyBorder="1"/>
    <xf numFmtId="0" fontId="8" fillId="0" borderId="44" xfId="0" applyFont="1" applyBorder="1"/>
    <xf numFmtId="4" fontId="8" fillId="0" borderId="26" xfId="0" applyNumberFormat="1" applyFont="1" applyFill="1" applyBorder="1" applyAlignment="1">
      <alignment horizontal="right"/>
    </xf>
    <xf numFmtId="4" fontId="8" fillId="0" borderId="43" xfId="0" applyNumberFormat="1" applyFont="1" applyBorder="1" applyAlignment="1">
      <alignment horizontal="right" vertical="center" wrapText="1"/>
    </xf>
    <xf numFmtId="4" fontId="11" fillId="0" borderId="43" xfId="0" applyNumberFormat="1" applyFont="1" applyBorder="1" applyAlignment="1">
      <alignment horizontal="right" vertical="center" wrapText="1"/>
    </xf>
    <xf numFmtId="2" fontId="10" fillId="0" borderId="13" xfId="0" applyNumberFormat="1" applyFont="1" applyBorder="1"/>
    <xf numFmtId="164" fontId="8" fillId="7" borderId="47" xfId="0" applyNumberFormat="1" applyFont="1" applyFill="1" applyBorder="1"/>
    <xf numFmtId="164" fontId="15" fillId="7" borderId="47" xfId="0" applyNumberFormat="1" applyFont="1" applyFill="1" applyBorder="1"/>
    <xf numFmtId="164" fontId="15" fillId="7" borderId="2" xfId="0" applyNumberFormat="1" applyFont="1" applyFill="1" applyBorder="1"/>
    <xf numFmtId="4" fontId="15" fillId="7" borderId="47" xfId="0" applyNumberFormat="1" applyFont="1" applyFill="1" applyBorder="1"/>
    <xf numFmtId="3" fontId="8" fillId="0" borderId="43" xfId="0" applyNumberFormat="1" applyFont="1" applyBorder="1"/>
    <xf numFmtId="3" fontId="8" fillId="0" borderId="0" xfId="0" applyNumberFormat="1" applyFont="1"/>
    <xf numFmtId="4" fontId="10" fillId="0" borderId="41" xfId="0" applyNumberFormat="1" applyFont="1" applyBorder="1"/>
    <xf numFmtId="4" fontId="10" fillId="0" borderId="43" xfId="0" applyNumberFormat="1" applyFont="1" applyBorder="1"/>
    <xf numFmtId="4" fontId="10" fillId="0" borderId="13" xfId="0" applyNumberFormat="1" applyFont="1" applyBorder="1"/>
    <xf numFmtId="173" fontId="8" fillId="0" borderId="0" xfId="0" applyNumberFormat="1" applyFont="1"/>
    <xf numFmtId="10" fontId="10" fillId="0" borderId="13" xfId="0" applyNumberFormat="1" applyFont="1" applyBorder="1"/>
    <xf numFmtId="0" fontId="8" fillId="0" borderId="0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49" fillId="0" borderId="13" xfId="0" applyFont="1" applyBorder="1"/>
    <xf numFmtId="174" fontId="7" fillId="0" borderId="2" xfId="3" applyNumberFormat="1" applyFill="1" applyBorder="1" applyAlignment="1">
      <alignment horizontal="center"/>
    </xf>
    <xf numFmtId="0" fontId="24" fillId="0" borderId="0" xfId="0" applyFont="1" applyFill="1" applyAlignment="1">
      <alignment vertical="top" wrapText="1"/>
    </xf>
    <xf numFmtId="9" fontId="7" fillId="0" borderId="13" xfId="3" applyFill="1" applyBorder="1" applyAlignment="1">
      <alignment horizontal="center"/>
    </xf>
    <xf numFmtId="10" fontId="50" fillId="7" borderId="0" xfId="0" applyNumberFormat="1" applyFont="1" applyFill="1" applyBorder="1" applyAlignment="1">
      <alignment vertical="center"/>
    </xf>
    <xf numFmtId="169" fontId="10" fillId="0" borderId="74" xfId="0" applyNumberFormat="1" applyFont="1" applyBorder="1" applyAlignment="1">
      <alignment vertical="center"/>
    </xf>
    <xf numFmtId="169" fontId="10" fillId="0" borderId="26" xfId="0" applyNumberFormat="1" applyFont="1" applyBorder="1" applyAlignment="1">
      <alignment vertical="center"/>
    </xf>
    <xf numFmtId="169" fontId="10" fillId="0" borderId="77" xfId="0" applyNumberFormat="1" applyFont="1" applyBorder="1" applyAlignment="1">
      <alignment vertical="center"/>
    </xf>
    <xf numFmtId="165" fontId="8" fillId="0" borderId="41" xfId="3" applyNumberFormat="1" applyFont="1" applyBorder="1"/>
    <xf numFmtId="165" fontId="8" fillId="0" borderId="43" xfId="3" applyNumberFormat="1" applyFont="1" applyBorder="1"/>
    <xf numFmtId="4" fontId="8" fillId="0" borderId="10" xfId="0" applyNumberFormat="1" applyFont="1" applyBorder="1"/>
    <xf numFmtId="165" fontId="8" fillId="0" borderId="16" xfId="3" applyNumberFormat="1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wrapText="1"/>
    </xf>
    <xf numFmtId="9" fontId="8" fillId="0" borderId="0" xfId="0" applyNumberFormat="1" applyFont="1" applyFill="1" applyBorder="1" applyAlignment="1">
      <alignment horizontal="center"/>
    </xf>
    <xf numFmtId="0" fontId="2" fillId="0" borderId="11" xfId="5" applyFont="1" applyBorder="1"/>
    <xf numFmtId="0" fontId="29" fillId="0" borderId="3" xfId="5" applyBorder="1"/>
    <xf numFmtId="0" fontId="29" fillId="0" borderId="27" xfId="5" applyBorder="1" applyAlignment="1">
      <alignment horizontal="center" vertical="center"/>
    </xf>
    <xf numFmtId="9" fontId="7" fillId="6" borderId="13" xfId="3" applyNumberFormat="1" applyFill="1" applyBorder="1" applyAlignment="1">
      <alignment horizontal="center"/>
    </xf>
    <xf numFmtId="1" fontId="10" fillId="0" borderId="0" xfId="0" applyNumberFormat="1" applyFont="1"/>
    <xf numFmtId="1" fontId="8" fillId="0" borderId="27" xfId="0" applyNumberFormat="1" applyFont="1" applyBorder="1" applyAlignment="1">
      <alignment horizontal="center"/>
    </xf>
    <xf numFmtId="0" fontId="26" fillId="0" borderId="3" xfId="5" applyFont="1" applyBorder="1"/>
    <xf numFmtId="1" fontId="29" fillId="0" borderId="27" xfId="5" applyNumberFormat="1" applyBorder="1" applyAlignment="1">
      <alignment horizontal="center"/>
    </xf>
    <xf numFmtId="0" fontId="0" fillId="0" borderId="22" xfId="0" applyBorder="1" applyAlignment="1">
      <alignment wrapText="1"/>
    </xf>
    <xf numFmtId="0" fontId="0" fillId="0" borderId="0" xfId="0" applyBorder="1" applyAlignment="1">
      <alignment wrapText="1"/>
    </xf>
    <xf numFmtId="4" fontId="0" fillId="0" borderId="0" xfId="0" applyNumberFormat="1" applyBorder="1"/>
    <xf numFmtId="9" fontId="7" fillId="0" borderId="11" xfId="3" applyBorder="1"/>
    <xf numFmtId="9" fontId="7" fillId="0" borderId="3" xfId="3" applyBorder="1"/>
    <xf numFmtId="9" fontId="7" fillId="0" borderId="27" xfId="3" applyBorder="1"/>
    <xf numFmtId="0" fontId="51" fillId="0" borderId="41" xfId="0" applyFont="1" applyBorder="1" applyAlignment="1">
      <alignment horizontal="center" vertical="center"/>
    </xf>
    <xf numFmtId="9" fontId="7" fillId="0" borderId="0" xfId="3" applyFill="1"/>
    <xf numFmtId="1" fontId="0" fillId="0" borderId="27" xfId="0" applyNumberFormat="1" applyBorder="1" applyAlignment="1">
      <alignment horizontal="center"/>
    </xf>
    <xf numFmtId="0" fontId="10" fillId="0" borderId="22" xfId="0" applyFont="1" applyBorder="1"/>
    <xf numFmtId="0" fontId="10" fillId="0" borderId="9" xfId="0" applyFont="1" applyBorder="1"/>
    <xf numFmtId="1" fontId="10" fillId="0" borderId="9" xfId="0" applyNumberFormat="1" applyFont="1" applyBorder="1"/>
    <xf numFmtId="1" fontId="10" fillId="0" borderId="23" xfId="0" applyNumberFormat="1" applyFont="1" applyBorder="1"/>
    <xf numFmtId="1" fontId="10" fillId="0" borderId="0" xfId="0" applyNumberFormat="1" applyFont="1" applyBorder="1"/>
    <xf numFmtId="1" fontId="10" fillId="0" borderId="4" xfId="0" applyNumberFormat="1" applyFont="1" applyBorder="1"/>
    <xf numFmtId="0" fontId="10" fillId="0" borderId="24" xfId="0" applyFont="1" applyBorder="1"/>
    <xf numFmtId="1" fontId="10" fillId="0" borderId="10" xfId="0" applyNumberFormat="1" applyFont="1" applyBorder="1"/>
    <xf numFmtId="9" fontId="7" fillId="0" borderId="9" xfId="3" applyFill="1" applyBorder="1"/>
    <xf numFmtId="9" fontId="7" fillId="16" borderId="23" xfId="3" applyFill="1" applyBorder="1"/>
    <xf numFmtId="9" fontId="7" fillId="0" borderId="10" xfId="3" applyFill="1" applyBorder="1"/>
    <xf numFmtId="9" fontId="7" fillId="16" borderId="19" xfId="3" applyFill="1" applyBorder="1"/>
    <xf numFmtId="2" fontId="10" fillId="0" borderId="9" xfId="0" applyNumberFormat="1" applyFont="1" applyBorder="1"/>
    <xf numFmtId="2" fontId="10" fillId="0" borderId="23" xfId="0" applyNumberFormat="1" applyFont="1" applyBorder="1"/>
    <xf numFmtId="2" fontId="10" fillId="0" borderId="10" xfId="0" applyNumberFormat="1" applyFont="1" applyBorder="1"/>
    <xf numFmtId="2" fontId="10" fillId="0" borderId="19" xfId="0" applyNumberFormat="1" applyFont="1" applyBorder="1"/>
    <xf numFmtId="0" fontId="10" fillId="0" borderId="27" xfId="0" applyFont="1" applyBorder="1"/>
    <xf numFmtId="0" fontId="10" fillId="0" borderId="23" xfId="0" applyFont="1" applyBorder="1"/>
    <xf numFmtId="0" fontId="10" fillId="0" borderId="59" xfId="0" applyFont="1" applyBorder="1"/>
    <xf numFmtId="1" fontId="10" fillId="0" borderId="27" xfId="0" applyNumberFormat="1" applyFont="1" applyBorder="1" applyAlignment="1">
      <alignment horizontal="center"/>
    </xf>
    <xf numFmtId="0" fontId="2" fillId="0" borderId="55" xfId="5" applyFont="1" applyBorder="1"/>
    <xf numFmtId="0" fontId="2" fillId="0" borderId="59" xfId="5" applyFont="1" applyBorder="1"/>
    <xf numFmtId="3" fontId="0" fillId="0" borderId="27" xfId="0" applyNumberFormat="1" applyBorder="1" applyAlignment="1">
      <alignment horizontal="center"/>
    </xf>
    <xf numFmtId="164" fontId="8" fillId="7" borderId="0" xfId="0" applyNumberFormat="1" applyFont="1" applyFill="1" applyBorder="1"/>
    <xf numFmtId="0" fontId="14" fillId="0" borderId="0" xfId="0" applyFont="1"/>
    <xf numFmtId="164" fontId="0" fillId="0" borderId="5" xfId="0" applyNumberFormat="1" applyFill="1" applyBorder="1" applyProtection="1">
      <protection locked="0"/>
    </xf>
    <xf numFmtId="164" fontId="0" fillId="0" borderId="0" xfId="0" applyNumberFormat="1" applyFill="1" applyBorder="1" applyProtection="1">
      <protection locked="0"/>
    </xf>
    <xf numFmtId="164" fontId="0" fillId="0" borderId="24" xfId="0" applyNumberFormat="1" applyFill="1" applyBorder="1" applyProtection="1">
      <protection locked="0"/>
    </xf>
    <xf numFmtId="164" fontId="0" fillId="0" borderId="10" xfId="0" applyNumberFormat="1" applyFill="1" applyBorder="1" applyProtection="1">
      <protection locked="0"/>
    </xf>
    <xf numFmtId="164" fontId="0" fillId="0" borderId="58" xfId="0" applyNumberFormat="1" applyFill="1" applyBorder="1" applyProtection="1">
      <protection locked="0"/>
    </xf>
    <xf numFmtId="1" fontId="10" fillId="0" borderId="12" xfId="0" applyNumberFormat="1" applyFont="1" applyBorder="1" applyAlignment="1">
      <alignment horizontal="center"/>
    </xf>
    <xf numFmtId="1" fontId="10" fillId="0" borderId="55" xfId="0" applyNumberFormat="1" applyFont="1" applyBorder="1"/>
    <xf numFmtId="1" fontId="10" fillId="0" borderId="58" xfId="0" applyNumberFormat="1" applyFont="1" applyBorder="1"/>
    <xf numFmtId="9" fontId="7" fillId="16" borderId="55" xfId="3" applyFill="1" applyBorder="1"/>
    <xf numFmtId="9" fontId="7" fillId="16" borderId="59" xfId="3" applyFill="1" applyBorder="1"/>
    <xf numFmtId="9" fontId="7" fillId="0" borderId="58" xfId="3" applyFill="1" applyBorder="1"/>
    <xf numFmtId="2" fontId="10" fillId="0" borderId="55" xfId="0" applyNumberFormat="1" applyFont="1" applyBorder="1"/>
    <xf numFmtId="2" fontId="10" fillId="0" borderId="59" xfId="0" applyNumberFormat="1" applyFont="1" applyBorder="1"/>
    <xf numFmtId="0" fontId="10" fillId="0" borderId="55" xfId="0" applyFont="1" applyBorder="1" applyAlignment="1">
      <alignment horizontal="center"/>
    </xf>
    <xf numFmtId="0" fontId="10" fillId="0" borderId="58" xfId="0" applyFont="1" applyBorder="1" applyAlignment="1">
      <alignment horizontal="center"/>
    </xf>
    <xf numFmtId="0" fontId="10" fillId="0" borderId="59" xfId="0" applyFont="1" applyBorder="1" applyAlignment="1">
      <alignment horizontal="center"/>
    </xf>
    <xf numFmtId="164" fontId="8" fillId="7" borderId="2" xfId="0" applyNumberFormat="1" applyFont="1" applyFill="1" applyBorder="1"/>
    <xf numFmtId="0" fontId="7" fillId="0" borderId="17" xfId="0" applyFont="1" applyBorder="1" applyAlignment="1">
      <alignment horizontal="center" vertical="center"/>
    </xf>
    <xf numFmtId="165" fontId="8" fillId="0" borderId="28" xfId="3" applyNumberFormat="1" applyFont="1" applyBorder="1"/>
    <xf numFmtId="165" fontId="8" fillId="0" borderId="31" xfId="3" applyNumberFormat="1" applyFont="1" applyBorder="1"/>
    <xf numFmtId="9" fontId="8" fillId="0" borderId="0" xfId="3" applyFont="1"/>
    <xf numFmtId="165" fontId="52" fillId="13" borderId="29" xfId="3" applyNumberFormat="1" applyFont="1" applyFill="1" applyBorder="1"/>
    <xf numFmtId="165" fontId="8" fillId="0" borderId="40" xfId="3" applyNumberFormat="1" applyFont="1" applyBorder="1"/>
    <xf numFmtId="173" fontId="8" fillId="12" borderId="44" xfId="0" applyNumberFormat="1" applyFont="1" applyFill="1" applyBorder="1"/>
    <xf numFmtId="0" fontId="11" fillId="12" borderId="41" xfId="0" applyFont="1" applyFill="1" applyBorder="1"/>
    <xf numFmtId="173" fontId="11" fillId="12" borderId="44" xfId="0" applyNumberFormat="1" applyFont="1" applyFill="1" applyBorder="1"/>
    <xf numFmtId="0" fontId="18" fillId="12" borderId="41" xfId="0" applyFont="1" applyFill="1" applyBorder="1"/>
    <xf numFmtId="0" fontId="11" fillId="12" borderId="44" xfId="0" applyFont="1" applyFill="1" applyBorder="1"/>
    <xf numFmtId="3" fontId="11" fillId="12" borderId="41" xfId="0" applyNumberFormat="1" applyFont="1" applyFill="1" applyBorder="1" applyAlignment="1">
      <alignment horizontal="right" vertical="center" wrapText="1"/>
    </xf>
    <xf numFmtId="4" fontId="11" fillId="12" borderId="44" xfId="0" applyNumberFormat="1" applyFont="1" applyFill="1" applyBorder="1" applyAlignment="1">
      <alignment horizontal="right" vertical="center" wrapText="1"/>
    </xf>
    <xf numFmtId="165" fontId="8" fillId="6" borderId="29" xfId="3" applyNumberFormat="1" applyFont="1" applyFill="1" applyBorder="1"/>
    <xf numFmtId="165" fontId="8" fillId="6" borderId="30" xfId="3" applyNumberFormat="1" applyFont="1" applyFill="1" applyBorder="1"/>
    <xf numFmtId="165" fontId="8" fillId="6" borderId="31" xfId="3" applyNumberFormat="1" applyFont="1" applyFill="1" applyBorder="1"/>
    <xf numFmtId="171" fontId="0" fillId="0" borderId="0" xfId="0" quotePrefix="1" applyNumberFormat="1" applyAlignment="1">
      <alignment horizontal="right"/>
    </xf>
    <xf numFmtId="4" fontId="54" fillId="12" borderId="0" xfId="5" applyNumberFormat="1" applyFont="1" applyFill="1"/>
    <xf numFmtId="0" fontId="10" fillId="12" borderId="55" xfId="0" applyFont="1" applyFill="1" applyBorder="1" applyAlignment="1">
      <alignment horizontal="center"/>
    </xf>
    <xf numFmtId="0" fontId="10" fillId="12" borderId="59" xfId="0" applyFont="1" applyFill="1" applyBorder="1" applyAlignment="1">
      <alignment horizontal="center"/>
    </xf>
    <xf numFmtId="1" fontId="10" fillId="0" borderId="19" xfId="0" applyNumberFormat="1" applyFont="1" applyBorder="1"/>
    <xf numFmtId="9" fontId="7" fillId="16" borderId="4" xfId="3" applyFill="1" applyBorder="1"/>
    <xf numFmtId="0" fontId="10" fillId="12" borderId="58" xfId="0" applyFont="1" applyFill="1" applyBorder="1" applyAlignment="1">
      <alignment horizontal="center"/>
    </xf>
    <xf numFmtId="2" fontId="10" fillId="0" borderId="0" xfId="0" applyNumberFormat="1" applyFont="1" applyBorder="1"/>
    <xf numFmtId="2" fontId="10" fillId="0" borderId="4" xfId="0" applyNumberFormat="1" applyFont="1" applyBorder="1"/>
    <xf numFmtId="1" fontId="10" fillId="11" borderId="9" xfId="0" applyNumberFormat="1" applyFont="1" applyFill="1" applyBorder="1"/>
    <xf numFmtId="1" fontId="10" fillId="11" borderId="0" xfId="0" applyNumberFormat="1" applyFont="1" applyFill="1" applyBorder="1"/>
    <xf numFmtId="1" fontId="10" fillId="11" borderId="10" xfId="0" applyNumberFormat="1" applyFont="1" applyFill="1" applyBorder="1"/>
    <xf numFmtId="0" fontId="15" fillId="0" borderId="22" xfId="0" applyFont="1" applyBorder="1"/>
    <xf numFmtId="0" fontId="7" fillId="0" borderId="9" xfId="0" applyFont="1" applyBorder="1" applyAlignment="1">
      <alignment horizontal="center" vertical="center"/>
    </xf>
    <xf numFmtId="3" fontId="15" fillId="0" borderId="23" xfId="0" applyNumberFormat="1" applyFont="1" applyBorder="1"/>
    <xf numFmtId="0" fontId="15" fillId="0" borderId="24" xfId="0" applyFont="1" applyBorder="1"/>
    <xf numFmtId="0" fontId="15" fillId="0" borderId="10" xfId="0" applyFont="1" applyBorder="1"/>
    <xf numFmtId="3" fontId="15" fillId="0" borderId="19" xfId="0" applyNumberFormat="1" applyFont="1" applyBorder="1"/>
    <xf numFmtId="3" fontId="15" fillId="0" borderId="55" xfId="0" applyNumberFormat="1" applyFont="1" applyBorder="1"/>
    <xf numFmtId="3" fontId="15" fillId="0" borderId="59" xfId="0" applyNumberFormat="1" applyFont="1" applyBorder="1"/>
    <xf numFmtId="1" fontId="10" fillId="0" borderId="59" xfId="0" applyNumberFormat="1" applyFont="1" applyBorder="1"/>
    <xf numFmtId="9" fontId="7" fillId="16" borderId="58" xfId="3" applyFill="1" applyBorder="1"/>
    <xf numFmtId="2" fontId="10" fillId="0" borderId="58" xfId="0" applyNumberFormat="1" applyFont="1" applyBorder="1"/>
    <xf numFmtId="165" fontId="7" fillId="0" borderId="31" xfId="3" applyNumberFormat="1" applyBorder="1"/>
    <xf numFmtId="1" fontId="10" fillId="11" borderId="24" xfId="0" applyNumberFormat="1" applyFont="1" applyFill="1" applyBorder="1"/>
    <xf numFmtId="0" fontId="2" fillId="0" borderId="58" xfId="5" applyFont="1" applyBorder="1"/>
    <xf numFmtId="2" fontId="10" fillId="0" borderId="22" xfId="0" applyNumberFormat="1" applyFont="1" applyBorder="1"/>
    <xf numFmtId="1" fontId="10" fillId="0" borderId="22" xfId="0" applyNumberFormat="1" applyFont="1" applyBorder="1"/>
    <xf numFmtId="1" fontId="10" fillId="0" borderId="5" xfId="0" applyNumberFormat="1" applyFont="1" applyBorder="1"/>
    <xf numFmtId="1" fontId="10" fillId="0" borderId="24" xfId="0" applyNumberFormat="1" applyFont="1" applyBorder="1"/>
    <xf numFmtId="10" fontId="7" fillId="0" borderId="70" xfId="3" applyNumberFormat="1" applyFill="1" applyBorder="1"/>
    <xf numFmtId="175" fontId="0" fillId="6" borderId="71" xfId="0" applyNumberFormat="1" applyFill="1" applyBorder="1"/>
    <xf numFmtId="2" fontId="7" fillId="0" borderId="70" xfId="3" applyNumberFormat="1" applyFill="1" applyBorder="1"/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3" fontId="0" fillId="0" borderId="16" xfId="0" applyNumberFormat="1" applyFill="1" applyBorder="1"/>
    <xf numFmtId="1" fontId="0" fillId="0" borderId="59" xfId="0" applyNumberFormat="1" applyBorder="1"/>
    <xf numFmtId="0" fontId="0" fillId="0" borderId="10" xfId="0" applyFill="1" applyBorder="1"/>
    <xf numFmtId="0" fontId="0" fillId="0" borderId="19" xfId="0" applyFill="1" applyBorder="1"/>
    <xf numFmtId="3" fontId="31" fillId="0" borderId="78" xfId="0" applyNumberFormat="1" applyFont="1" applyBorder="1"/>
    <xf numFmtId="3" fontId="31" fillId="0" borderId="79" xfId="0" applyNumberFormat="1" applyFont="1" applyBorder="1"/>
    <xf numFmtId="3" fontId="31" fillId="0" borderId="80" xfId="0" applyNumberFormat="1" applyFont="1" applyBorder="1"/>
    <xf numFmtId="170" fontId="0" fillId="0" borderId="17" xfId="0" applyNumberFormat="1" applyFill="1" applyBorder="1" applyAlignment="1">
      <alignment horizontal="center"/>
    </xf>
    <xf numFmtId="170" fontId="0" fillId="0" borderId="76" xfId="0" applyNumberFormat="1" applyFill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1" fontId="0" fillId="0" borderId="59" xfId="0" applyNumberFormat="1" applyBorder="1" applyAlignment="1">
      <alignment horizontal="center"/>
    </xf>
    <xf numFmtId="0" fontId="0" fillId="0" borderId="0" xfId="0" applyAlignment="1">
      <alignment wrapText="1"/>
    </xf>
    <xf numFmtId="165" fontId="7" fillId="0" borderId="70" xfId="3" applyNumberFormat="1" applyFill="1" applyBorder="1"/>
    <xf numFmtId="165" fontId="7" fillId="0" borderId="5" xfId="3" applyNumberFormat="1" applyFill="1" applyBorder="1"/>
    <xf numFmtId="3" fontId="0" fillId="0" borderId="73" xfId="0" applyNumberFormat="1" applyFill="1" applyBorder="1" applyAlignment="1">
      <alignment horizontal="center" vertical="center" wrapText="1"/>
    </xf>
    <xf numFmtId="3" fontId="0" fillId="0" borderId="11" xfId="0" applyNumberForma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6" borderId="11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center"/>
      <protection locked="0"/>
    </xf>
    <xf numFmtId="0" fontId="0" fillId="6" borderId="55" xfId="0" applyFill="1" applyBorder="1" applyAlignment="1" applyProtection="1">
      <alignment horizontal="center" vertical="center"/>
      <protection locked="0"/>
    </xf>
    <xf numFmtId="0" fontId="0" fillId="6" borderId="59" xfId="0" applyFill="1" applyBorder="1" applyAlignment="1" applyProtection="1">
      <alignment horizontal="center" vertical="center"/>
      <protection locked="0"/>
    </xf>
    <xf numFmtId="0" fontId="0" fillId="0" borderId="22" xfId="0" applyFont="1" applyBorder="1" applyAlignment="1">
      <alignment horizontal="left" vertical="center" wrapText="1"/>
    </xf>
    <xf numFmtId="0" fontId="0" fillId="0" borderId="23" xfId="0" applyFont="1" applyBorder="1" applyAlignment="1">
      <alignment horizontal="left" vertical="center" wrapText="1"/>
    </xf>
    <xf numFmtId="0" fontId="0" fillId="0" borderId="24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0" fillId="0" borderId="55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15" fillId="6" borderId="41" xfId="0" applyFont="1" applyFill="1" applyBorder="1" applyAlignment="1">
      <alignment horizontal="center" vertical="center"/>
    </xf>
    <xf numFmtId="0" fontId="15" fillId="6" borderId="44" xfId="0" applyFont="1" applyFill="1" applyBorder="1" applyAlignment="1">
      <alignment horizontal="center" vertical="center"/>
    </xf>
    <xf numFmtId="0" fontId="8" fillId="0" borderId="11" xfId="6" applyFont="1" applyFill="1" applyBorder="1" applyAlignment="1">
      <alignment horizontal="left" vertical="center" wrapText="1"/>
    </xf>
    <xf numFmtId="0" fontId="8" fillId="0" borderId="3" xfId="6" applyFont="1" applyFill="1" applyBorder="1" applyAlignment="1">
      <alignment horizontal="left" vertical="center" wrapText="1"/>
    </xf>
    <xf numFmtId="0" fontId="8" fillId="0" borderId="12" xfId="6" applyFont="1" applyFill="1" applyBorder="1" applyAlignment="1">
      <alignment horizontal="left" vertical="center" wrapText="1"/>
    </xf>
    <xf numFmtId="0" fontId="31" fillId="0" borderId="66" xfId="0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0" fontId="31" fillId="0" borderId="64" xfId="0" applyFont="1" applyBorder="1" applyAlignment="1">
      <alignment horizontal="center"/>
    </xf>
    <xf numFmtId="0" fontId="12" fillId="2" borderId="41" xfId="0" applyFont="1" applyFill="1" applyBorder="1" applyAlignment="1">
      <alignment horizontal="center" vertical="center"/>
    </xf>
    <xf numFmtId="0" fontId="12" fillId="2" borderId="43" xfId="0" applyFont="1" applyFill="1" applyBorder="1" applyAlignment="1">
      <alignment horizontal="center" vertical="center"/>
    </xf>
    <xf numFmtId="0" fontId="12" fillId="2" borderId="44" xfId="0" applyFont="1" applyFill="1" applyBorder="1" applyAlignment="1">
      <alignment horizontal="center" vertical="center"/>
    </xf>
    <xf numFmtId="0" fontId="12" fillId="3" borderId="41" xfId="0" applyFont="1" applyFill="1" applyBorder="1" applyAlignment="1">
      <alignment horizontal="center" vertical="center"/>
    </xf>
    <xf numFmtId="0" fontId="12" fillId="3" borderId="43" xfId="0" applyFont="1" applyFill="1" applyBorder="1" applyAlignment="1">
      <alignment horizontal="center" vertical="center"/>
    </xf>
    <xf numFmtId="0" fontId="12" fillId="9" borderId="41" xfId="0" applyFont="1" applyFill="1" applyBorder="1" applyAlignment="1">
      <alignment horizontal="center" vertical="center"/>
    </xf>
    <xf numFmtId="0" fontId="12" fillId="9" borderId="43" xfId="0" applyFont="1" applyFill="1" applyBorder="1" applyAlignment="1">
      <alignment horizontal="center" vertical="center"/>
    </xf>
    <xf numFmtId="0" fontId="12" fillId="10" borderId="41" xfId="0" applyFont="1" applyFill="1" applyBorder="1" applyAlignment="1">
      <alignment horizontal="center" vertical="center"/>
    </xf>
    <xf numFmtId="0" fontId="12" fillId="10" borderId="43" xfId="0" applyFont="1" applyFill="1" applyBorder="1" applyAlignment="1">
      <alignment horizontal="center" vertical="center"/>
    </xf>
    <xf numFmtId="0" fontId="28" fillId="0" borderId="0" xfId="2" applyFill="1" applyBorder="1" applyAlignment="1" applyProtection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28" fillId="0" borderId="0" xfId="2" applyAlignment="1" applyProtection="1">
      <alignment horizontal="left"/>
    </xf>
    <xf numFmtId="0" fontId="12" fillId="14" borderId="41" xfId="0" applyFont="1" applyFill="1" applyBorder="1" applyAlignment="1">
      <alignment horizontal="center" vertical="center"/>
    </xf>
    <xf numFmtId="0" fontId="12" fillId="14" borderId="44" xfId="0" applyFont="1" applyFill="1" applyBorder="1" applyAlignment="1">
      <alignment horizontal="center" vertical="center"/>
    </xf>
    <xf numFmtId="0" fontId="12" fillId="0" borderId="41" xfId="0" applyFont="1" applyFill="1" applyBorder="1" applyAlignment="1">
      <alignment horizontal="center" vertical="center"/>
    </xf>
    <xf numFmtId="0" fontId="12" fillId="0" borderId="43" xfId="0" applyFont="1" applyFill="1" applyBorder="1" applyAlignment="1">
      <alignment horizontal="center" vertical="center"/>
    </xf>
    <xf numFmtId="0" fontId="11" fillId="0" borderId="41" xfId="0" applyFont="1" applyFill="1" applyBorder="1" applyAlignment="1">
      <alignment horizontal="center" vertical="center"/>
    </xf>
    <xf numFmtId="0" fontId="11" fillId="0" borderId="43" xfId="0" applyFont="1" applyFill="1" applyBorder="1" applyAlignment="1">
      <alignment horizontal="center" vertical="center"/>
    </xf>
    <xf numFmtId="0" fontId="11" fillId="0" borderId="44" xfId="0" applyFont="1" applyFill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5" fillId="6" borderId="43" xfId="0" applyFont="1" applyFill="1" applyBorder="1" applyAlignment="1">
      <alignment horizontal="center" vertical="center"/>
    </xf>
    <xf numFmtId="0" fontId="24" fillId="6" borderId="9" xfId="0" applyFont="1" applyFill="1" applyBorder="1" applyAlignment="1">
      <alignment vertical="center"/>
    </xf>
    <xf numFmtId="0" fontId="10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65" fontId="8" fillId="0" borderId="11" xfId="3" applyNumberFormat="1" applyFont="1" applyBorder="1" applyAlignment="1">
      <alignment horizontal="center"/>
    </xf>
    <xf numFmtId="165" fontId="8" fillId="0" borderId="3" xfId="3" applyNumberFormat="1" applyFont="1" applyBorder="1" applyAlignment="1">
      <alignment horizontal="center"/>
    </xf>
    <xf numFmtId="165" fontId="8" fillId="0" borderId="12" xfId="3" applyNumberFormat="1" applyFont="1" applyBorder="1" applyAlignment="1">
      <alignment horizontal="center"/>
    </xf>
    <xf numFmtId="0" fontId="24" fillId="0" borderId="0" xfId="0" applyFont="1" applyFill="1" applyAlignment="1">
      <alignment horizontal="left" vertical="top" wrapText="1"/>
    </xf>
    <xf numFmtId="164" fontId="11" fillId="0" borderId="35" xfId="0" applyNumberFormat="1" applyFont="1" applyFill="1" applyBorder="1" applyAlignment="1">
      <alignment horizontal="center" vertical="center" wrapText="1"/>
    </xf>
    <xf numFmtId="164" fontId="11" fillId="0" borderId="0" xfId="0" applyNumberFormat="1" applyFont="1" applyFill="1" applyBorder="1" applyAlignment="1">
      <alignment horizontal="center" vertical="center" wrapText="1"/>
    </xf>
    <xf numFmtId="164" fontId="11" fillId="0" borderId="48" xfId="0" applyNumberFormat="1" applyFont="1" applyFill="1" applyBorder="1" applyAlignment="1">
      <alignment horizontal="center" vertical="center" wrapText="1"/>
    </xf>
    <xf numFmtId="164" fontId="11" fillId="0" borderId="25" xfId="0" applyNumberFormat="1" applyFont="1" applyFill="1" applyBorder="1" applyAlignment="1">
      <alignment horizontal="center" vertical="center" wrapText="1"/>
    </xf>
    <xf numFmtId="164" fontId="11" fillId="0" borderId="26" xfId="0" applyNumberFormat="1" applyFont="1" applyFill="1" applyBorder="1" applyAlignment="1">
      <alignment horizontal="center" vertical="center" wrapText="1"/>
    </xf>
    <xf numFmtId="164" fontId="11" fillId="0" borderId="34" xfId="0" applyNumberFormat="1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/>
    </xf>
    <xf numFmtId="0" fontId="15" fillId="11" borderId="44" xfId="0" applyFont="1" applyFill="1" applyBorder="1" applyAlignment="1">
      <alignment horizontal="center" vertical="center"/>
    </xf>
    <xf numFmtId="0" fontId="4" fillId="0" borderId="0" xfId="5" applyFont="1" applyAlignment="1">
      <alignment horizontal="left" vertical="top" wrapText="1"/>
    </xf>
    <xf numFmtId="0" fontId="29" fillId="0" borderId="0" xfId="5" applyAlignment="1">
      <alignment horizontal="left" vertical="top" wrapText="1"/>
    </xf>
    <xf numFmtId="0" fontId="12" fillId="9" borderId="44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2" fillId="3" borderId="44" xfId="0" applyFont="1" applyFill="1" applyBorder="1" applyAlignment="1">
      <alignment horizontal="center" vertical="center"/>
    </xf>
    <xf numFmtId="0" fontId="12" fillId="10" borderId="44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/>
    </xf>
    <xf numFmtId="0" fontId="10" fillId="12" borderId="43" xfId="0" applyFont="1" applyFill="1" applyBorder="1" applyAlignment="1">
      <alignment horizontal="center"/>
    </xf>
    <xf numFmtId="0" fontId="10" fillId="12" borderId="44" xfId="0" applyFont="1" applyFill="1" applyBorder="1" applyAlignment="1">
      <alignment horizontal="center"/>
    </xf>
    <xf numFmtId="0" fontId="10" fillId="0" borderId="6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</cellXfs>
  <cellStyles count="7">
    <cellStyle name="Komma" xfId="1" builtinId="3"/>
    <cellStyle name="Link" xfId="2" builtinId="8"/>
    <cellStyle name="Prozent" xfId="3" builtinId="5"/>
    <cellStyle name="Prozent 2" xfId="4"/>
    <cellStyle name="Standard" xfId="0" builtinId="0"/>
    <cellStyle name="Standard 2" xfId="5"/>
    <cellStyle name="Standard_Emissionshandel Post Kyoto" xfId="6"/>
  </cellStyles>
  <dxfs count="89"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A emission pathways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610846487173572"/>
          <c:y val="0.1533522607267207"/>
          <c:w val="0.6388438195291094"/>
          <c:h val="0.74480071168610451"/>
        </c:manualLayout>
      </c:layout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2857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RF!$C$9:$C$40</c:f>
              <c:numCache>
                <c:formatCode>#,##0.0</c:formatCode>
                <c:ptCount val="32"/>
                <c:pt idx="0">
                  <c:v>21</c:v>
                </c:pt>
                <c:pt idx="1">
                  <c:v>20.547215458313016</c:v>
                </c:pt>
                <c:pt idx="2">
                  <c:v>20.030691537716812</c:v>
                </c:pt>
                <c:pt idx="3">
                  <c:v>19.455092518697356</c:v>
                </c:pt>
                <c:pt idx="4">
                  <c:v>18.825570883122548</c:v>
                </c:pt>
                <c:pt idx="5">
                  <c:v>18.147689927786825</c:v>
                </c:pt>
                <c:pt idx="6">
                  <c:v>17.427341186140879</c:v>
                </c:pt>
                <c:pt idx="7">
                  <c:v>16.670658387708752</c:v>
                </c:pt>
                <c:pt idx="8">
                  <c:v>15.883929729625061</c:v>
                </c:pt>
                <c:pt idx="9">
                  <c:v>15.073510232180503</c:v>
                </c:pt>
                <c:pt idx="10">
                  <c:v>14.245735901269434</c:v>
                </c:pt>
                <c:pt idx="11">
                  <c:v>13.406841327716663</c:v>
                </c:pt>
                <c:pt idx="12">
                  <c:v>12.562882220532581</c:v>
                </c:pt>
                <c:pt idx="13">
                  <c:v>11.719664203325619</c:v>
                </c:pt>
                <c:pt idx="14">
                  <c:v>10.882679006500132</c:v>
                </c:pt>
                <c:pt idx="15">
                  <c:v>10.057048969339538</c:v>
                </c:pt>
                <c:pt idx="16">
                  <c:v>9.2474805329421432</c:v>
                </c:pt>
                <c:pt idx="17">
                  <c:v>8.4582271647522695</c:v>
                </c:pt>
                <c:pt idx="18">
                  <c:v>7.6930619155340425</c:v>
                </c:pt>
                <c:pt idx="19">
                  <c:v>6.955259577136804</c:v>
                </c:pt>
                <c:pt idx="20">
                  <c:v>6.2475881907749491</c:v>
                </c:pt>
                <c:pt idx="21">
                  <c:v>5.5723094564684414</c:v>
                </c:pt>
                <c:pt idx="22">
                  <c:v>4.9311874194817111</c:v>
                </c:pt>
                <c:pt idx="23">
                  <c:v>4.3255046626991218</c:v>
                </c:pt>
                <c:pt idx="24">
                  <c:v>3.7560851173828773</c:v>
                </c:pt>
                <c:pt idx="25">
                  <c:v>3.2233225200091211</c:v>
                </c:pt>
                <c:pt idx="26">
                  <c:v>2.7272134900715628</c:v>
                </c:pt>
                <c:pt idx="27">
                  <c:v>2.2673941820180259</c:v>
                </c:pt>
                <c:pt idx="28">
                  <c:v>1.8431794720279737</c:v>
                </c:pt>
                <c:pt idx="29">
                  <c:v>1.4536036745156049</c:v>
                </c:pt>
                <c:pt idx="30">
                  <c:v>1.0974618407642864</c:v>
                </c:pt>
                <c:pt idx="31">
                  <c:v>0.7733507691894369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'C&amp;C-exp'!$C$11:$C$42</c:f>
              <c:numCache>
                <c:formatCode>#,##0.0</c:formatCode>
                <c:ptCount val="32"/>
                <c:pt idx="0">
                  <c:v>21</c:v>
                </c:pt>
                <c:pt idx="1">
                  <c:v>20.299348173457769</c:v>
                </c:pt>
                <c:pt idx="2">
                  <c:v>19.521385297798155</c:v>
                </c:pt>
                <c:pt idx="3">
                  <c:v>18.672672024741754</c:v>
                </c:pt>
                <c:pt idx="4">
                  <c:v>17.760802304126091</c:v>
                </c:pt>
                <c:pt idx="5">
                  <c:v>16.794366624088781</c:v>
                </c:pt>
                <c:pt idx="6">
                  <c:v>15.782897621532332</c:v>
                </c:pt>
                <c:pt idx="7">
                  <c:v>14.736794236515685</c:v>
                </c:pt>
                <c:pt idx="8">
                  <c:v>13.667219661742568</c:v>
                </c:pt>
                <c:pt idx="9">
                  <c:v>12.585967515949239</c:v>
                </c:pt>
                <c:pt idx="10">
                  <c:v>11.505290139849127</c:v>
                </c:pt>
                <c:pt idx="11">
                  <c:v>10.437682944829644</c:v>
                </c:pt>
                <c:pt idx="12">
                  <c:v>9.3956196892131878</c:v>
                </c:pt>
                <c:pt idx="13">
                  <c:v>8.3912358363691766</c:v>
                </c:pt>
                <c:pt idx="14">
                  <c:v>7.4359612153323225</c:v>
                </c:pt>
                <c:pt idx="15">
                  <c:v>6.5401094556642958</c:v>
                </c:pt>
                <c:pt idx="16">
                  <c:v>5.7124403024777672</c:v>
                </c:pt>
                <c:pt idx="17">
                  <c:v>4.9597217174177146</c:v>
                </c:pt>
                <c:pt idx="18">
                  <c:v>4.2863307244610631</c:v>
                </c:pt>
                <c:pt idx="19">
                  <c:v>3.6939433620930893</c:v>
                </c:pt>
                <c:pt idx="20">
                  <c:v>3.1813717572500702</c:v>
                </c:pt>
                <c:pt idx="21">
                  <c:v>2.744606026809651</c:v>
                </c:pt>
                <c:pt idx="22">
                  <c:v>2.3771057355189282</c:v>
                </c:pt>
                <c:pt idx="23">
                  <c:v>2.0703562446632646</c:v>
                </c:pt>
                <c:pt idx="24">
                  <c:v>1.814659025118561</c:v>
                </c:pt>
                <c:pt idx="25">
                  <c:v>1.6000675941237334</c:v>
                </c:pt>
                <c:pt idx="26">
                  <c:v>1.4173261744396426</c:v>
                </c:pt>
                <c:pt idx="27">
                  <c:v>1.2586379881321219</c:v>
                </c:pt>
                <c:pt idx="28">
                  <c:v>1.1181071229117585</c:v>
                </c:pt>
                <c:pt idx="29">
                  <c:v>0.99177384886649067</c:v>
                </c:pt>
                <c:pt idx="30">
                  <c:v>0.87728388205238705</c:v>
                </c:pt>
                <c:pt idx="31">
                  <c:v>0.77335076918943702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'C&amp;C-lin'!$C$8:$C$39</c:f>
              <c:numCache>
                <c:formatCode>#,##0.0</c:formatCode>
                <c:ptCount val="32"/>
                <c:pt idx="0">
                  <c:v>21</c:v>
                </c:pt>
                <c:pt idx="1">
                  <c:v>20.145543690094133</c:v>
                </c:pt>
                <c:pt idx="2">
                  <c:v>18.855227532125213</c:v>
                </c:pt>
                <c:pt idx="3">
                  <c:v>17.232526440604612</c:v>
                </c:pt>
                <c:pt idx="4">
                  <c:v>15.407508356214873</c:v>
                </c:pt>
                <c:pt idx="5">
                  <c:v>13.517394882479739</c:v>
                </c:pt>
                <c:pt idx="6">
                  <c:v>11.687191306623342</c:v>
                </c:pt>
                <c:pt idx="7">
                  <c:v>10.014369030652567</c:v>
                </c:pt>
                <c:pt idx="8">
                  <c:v>8.5603258401562119</c:v>
                </c:pt>
                <c:pt idx="9">
                  <c:v>7.3494408750296536</c:v>
                </c:pt>
                <c:pt idx="10">
                  <c:v>6.3746171963655991</c:v>
                </c:pt>
                <c:pt idx="11">
                  <c:v>5.6068552339544651</c:v>
                </c:pt>
                <c:pt idx="12">
                  <c:v>5.0059531766383136</c:v>
                </c:pt>
                <c:pt idx="13">
                  <c:v>4.5298605343140244</c:v>
                </c:pt>
                <c:pt idx="14">
                  <c:v>4.141202900531578</c:v>
                </c:pt>
                <c:pt idx="15">
                  <c:v>3.8106127374506555</c:v>
                </c:pt>
                <c:pt idx="16">
                  <c:v>3.5173720897661007</c:v>
                </c:pt>
                <c:pt idx="17">
                  <c:v>3.2483133006934102</c:v>
                </c:pt>
                <c:pt idx="18">
                  <c:v>2.9959488020215299</c:v>
                </c:pt>
                <c:pt idx="19">
                  <c:v>2.7565587410996013</c:v>
                </c:pt>
                <c:pt idx="20">
                  <c:v>2.5286361022102137</c:v>
                </c:pt>
                <c:pt idx="21">
                  <c:v>2.3118085203616379</c:v>
                </c:pt>
                <c:pt idx="22">
                  <c:v>2.1061841214819217</c:v>
                </c:pt>
                <c:pt idx="23">
                  <c:v>1.9120016583268571</c:v>
                </c:pt>
                <c:pt idx="24">
                  <c:v>1.7294668966566693</c:v>
                </c:pt>
                <c:pt idx="25">
                  <c:v>1.5586884749461229</c:v>
                </c:pt>
                <c:pt idx="26">
                  <c:v>1.3996606536190574</c:v>
                </c:pt>
                <c:pt idx="27">
                  <c:v>1.2522657333236611</c:v>
                </c:pt>
                <c:pt idx="28">
                  <c:v>1.1162838895478884</c:v>
                </c:pt>
                <c:pt idx="29">
                  <c:v>0.99140553864418801</c:v>
                </c:pt>
                <c:pt idx="30">
                  <c:v>0.87724443054404178</c:v>
                </c:pt>
                <c:pt idx="31">
                  <c:v>0.77335076918943702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6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'SPM-eq'!$C$11:$C$42</c:f>
              <c:numCache>
                <c:formatCode>#,##0.0</c:formatCode>
                <c:ptCount val="32"/>
                <c:pt idx="0">
                  <c:v>21</c:v>
                </c:pt>
                <c:pt idx="1">
                  <c:v>20.633128463331417</c:v>
                </c:pt>
                <c:pt idx="2">
                  <c:v>18.883831124220123</c:v>
                </c:pt>
                <c:pt idx="3">
                  <c:v>16.349342124287709</c:v>
                </c:pt>
                <c:pt idx="4">
                  <c:v>13.65163342114294</c:v>
                </c:pt>
                <c:pt idx="5">
                  <c:v>11.112110172479731</c:v>
                </c:pt>
                <c:pt idx="6">
                  <c:v>8.8753959634722399</c:v>
                </c:pt>
                <c:pt idx="7">
                  <c:v>6.9860689389819903</c:v>
                </c:pt>
                <c:pt idx="8">
                  <c:v>5.4353869662107996</c:v>
                </c:pt>
                <c:pt idx="9">
                  <c:v>4.189066502771448</c:v>
                </c:pt>
                <c:pt idx="10">
                  <c:v>3.2032525887308232</c:v>
                </c:pt>
                <c:pt idx="11">
                  <c:v>2.4332475295649916</c:v>
                </c:pt>
                <c:pt idx="12">
                  <c:v>1.8378933269474773</c:v>
                </c:pt>
                <c:pt idx="13">
                  <c:v>1.3814212797031327</c:v>
                </c:pt>
                <c:pt idx="14">
                  <c:v>1.0338878777282527</c:v>
                </c:pt>
                <c:pt idx="15">
                  <c:v>0.77087441631554388</c:v>
                </c:pt>
                <c:pt idx="16">
                  <c:v>0.57284981893722375</c:v>
                </c:pt>
                <c:pt idx="17">
                  <c:v>0.42442363213675027</c:v>
                </c:pt>
                <c:pt idx="18">
                  <c:v>0.31361092492831188</c:v>
                </c:pt>
                <c:pt idx="19">
                  <c:v>0.23116811756569766</c:v>
                </c:pt>
                <c:pt idx="20">
                  <c:v>0.17002259308263074</c:v>
                </c:pt>
                <c:pt idx="21">
                  <c:v>0.12479907091446757</c:v>
                </c:pt>
                <c:pt idx="22">
                  <c:v>9.1435649826009935E-2</c:v>
                </c:pt>
                <c:pt idx="23">
                  <c:v>6.6878084200854365E-2</c:v>
                </c:pt>
                <c:pt idx="24">
                  <c:v>4.8839726317282672E-2</c:v>
                </c:pt>
                <c:pt idx="25">
                  <c:v>3.5615121017186641E-2</c:v>
                </c:pt>
                <c:pt idx="26">
                  <c:v>2.5936575647633783E-2</c:v>
                </c:pt>
                <c:pt idx="27">
                  <c:v>1.8864632634453919E-2</c:v>
                </c:pt>
                <c:pt idx="28">
                  <c:v>1.3704966804251456E-2</c:v>
                </c:pt>
                <c:pt idx="29">
                  <c:v>9.945678398719137E-3</c:v>
                </c:pt>
                <c:pt idx="30">
                  <c:v>7.2102013154229372E-3</c:v>
                </c:pt>
                <c:pt idx="31">
                  <c:v>5.2220853804066329E-3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'SPM-in'!$C$11:$C$42</c:f>
              <c:numCache>
                <c:formatCode>#,##0.0</c:formatCode>
                <c:ptCount val="32"/>
                <c:pt idx="0">
                  <c:v>21</c:v>
                </c:pt>
                <c:pt idx="1">
                  <c:v>20.950957341623223</c:v>
                </c:pt>
                <c:pt idx="2">
                  <c:v>20.67950971092813</c:v>
                </c:pt>
                <c:pt idx="3">
                  <c:v>20.193988698158591</c:v>
                </c:pt>
                <c:pt idx="4">
                  <c:v>19.547155631688383</c:v>
                </c:pt>
                <c:pt idx="5">
                  <c:v>18.782475367855142</c:v>
                </c:pt>
                <c:pt idx="6">
                  <c:v>17.935555848468368</c:v>
                </c:pt>
                <c:pt idx="7">
                  <c:v>17.035379604947138</c:v>
                </c:pt>
                <c:pt idx="8">
                  <c:v>16.105356011848102</c:v>
                </c:pt>
                <c:pt idx="9">
                  <c:v>15.164219220719673</c:v>
                </c:pt>
                <c:pt idx="10">
                  <c:v>14.226793342847856</c:v>
                </c:pt>
                <c:pt idx="11">
                  <c:v>13.30464353058909</c:v>
                </c:pt>
                <c:pt idx="12">
                  <c:v>12.406629074093985</c:v>
                </c:pt>
                <c:pt idx="13">
                  <c:v>11.539372433154071</c:v>
                </c:pt>
                <c:pt idx="14">
                  <c:v>10.707656218918785</c:v>
                </c:pt>
                <c:pt idx="15">
                  <c:v>9.9147584892280918</c:v>
                </c:pt>
                <c:pt idx="16">
                  <c:v>9.1627352910575013</c:v>
                </c:pt>
                <c:pt idx="17">
                  <c:v>8.4526581451687264</c:v>
                </c:pt>
                <c:pt idx="18">
                  <c:v>7.7848130962745472</c:v>
                </c:pt>
                <c:pt idx="19">
                  <c:v>7.1588670249446977</c:v>
                </c:pt>
                <c:pt idx="20">
                  <c:v>6.5740061159814189</c:v>
                </c:pt>
                <c:pt idx="21">
                  <c:v>6.0290506854735355</c:v>
                </c:pt>
                <c:pt idx="22">
                  <c:v>5.5225499707265513</c:v>
                </c:pt>
                <c:pt idx="23">
                  <c:v>5.0528599711951543</c:v>
                </c:pt>
                <c:pt idx="24">
                  <c:v>4.6182069834742236</c:v>
                </c:pt>
                <c:pt idx="25">
                  <c:v>4.2167390898395212</c:v>
                </c:pt>
                <c:pt idx="26">
                  <c:v>3.8465675295050161</c:v>
                </c:pt>
                <c:pt idx="27">
                  <c:v>3.5057995975157326</c:v>
                </c:pt>
                <c:pt idx="28">
                  <c:v>3.1925644717929806</c:v>
                </c:pt>
                <c:pt idx="29">
                  <c:v>2.9050331588911824</c:v>
                </c:pt>
                <c:pt idx="30">
                  <c:v>2.6414335688226416</c:v>
                </c:pt>
                <c:pt idx="31">
                  <c:v>2.4000615747941296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EPM!$AE$19:$AE$50</c:f>
              <c:numCache>
                <c:formatCode>#,##0.0</c:formatCode>
                <c:ptCount val="32"/>
                <c:pt idx="0">
                  <c:v>21</c:v>
                </c:pt>
                <c:pt idx="1">
                  <c:v>20.177101173648289</c:v>
                </c:pt>
                <c:pt idx="2">
                  <c:v>19.262574942003472</c:v>
                </c:pt>
                <c:pt idx="3">
                  <c:v>18.298785409613959</c:v>
                </c:pt>
                <c:pt idx="4">
                  <c:v>17.269370691246255</c:v>
                </c:pt>
                <c:pt idx="5">
                  <c:v>16.224673632127786</c:v>
                </c:pt>
                <c:pt idx="6">
                  <c:v>15.171793465578368</c:v>
                </c:pt>
                <c:pt idx="7">
                  <c:v>14.11721689050672</c:v>
                </c:pt>
                <c:pt idx="8">
                  <c:v>13.084392064732421</c:v>
                </c:pt>
                <c:pt idx="9">
                  <c:v>12.074150777294541</c:v>
                </c:pt>
                <c:pt idx="10">
                  <c:v>11.106272870649407</c:v>
                </c:pt>
                <c:pt idx="11">
                  <c:v>10.177813506527464</c:v>
                </c:pt>
                <c:pt idx="12">
                  <c:v>9.2963160788082337</c:v>
                </c:pt>
                <c:pt idx="13">
                  <c:v>8.4610428265933173</c:v>
                </c:pt>
                <c:pt idx="14">
                  <c:v>7.6735085610091227</c:v>
                </c:pt>
                <c:pt idx="15">
                  <c:v>6.9466728615223809</c:v>
                </c:pt>
                <c:pt idx="16">
                  <c:v>6.2610836161942105</c:v>
                </c:pt>
                <c:pt idx="17">
                  <c:v>5.6286529351492183</c:v>
                </c:pt>
                <c:pt idx="18">
                  <c:v>5.0422475752675524</c:v>
                </c:pt>
                <c:pt idx="19">
                  <c:v>4.5048614517078249</c:v>
                </c:pt>
                <c:pt idx="20">
                  <c:v>4.0081616449699871</c:v>
                </c:pt>
                <c:pt idx="21">
                  <c:v>3.5532267294086961</c:v>
                </c:pt>
                <c:pt idx="22">
                  <c:v>3.1383419602322991</c:v>
                </c:pt>
                <c:pt idx="23">
                  <c:v>2.7601177764419003</c:v>
                </c:pt>
                <c:pt idx="24">
                  <c:v>2.415535032100093</c:v>
                </c:pt>
                <c:pt idx="25">
                  <c:v>2.1095023716192394</c:v>
                </c:pt>
                <c:pt idx="26">
                  <c:v>1.8393891662797919</c:v>
                </c:pt>
                <c:pt idx="27">
                  <c:v>1.5899827653268681</c:v>
                </c:pt>
                <c:pt idx="28">
                  <c:v>1.3710239791013243</c:v>
                </c:pt>
                <c:pt idx="29">
                  <c:v>1.1844235130167673</c:v>
                </c:pt>
                <c:pt idx="30">
                  <c:v>1.0211666586765606</c:v>
                </c:pt>
                <c:pt idx="31">
                  <c:v>0.87951540214860113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CDC!$U$12:$U$43</c:f>
              <c:numCache>
                <c:formatCode>#,##0.0</c:formatCode>
                <c:ptCount val="32"/>
                <c:pt idx="0">
                  <c:v>21</c:v>
                </c:pt>
                <c:pt idx="1">
                  <c:v>19.555891315947786</c:v>
                </c:pt>
                <c:pt idx="2">
                  <c:v>17.976259673371558</c:v>
                </c:pt>
                <c:pt idx="3">
                  <c:v>16.269165765612566</c:v>
                </c:pt>
                <c:pt idx="4">
                  <c:v>15.529733548917141</c:v>
                </c:pt>
                <c:pt idx="5">
                  <c:v>14.744919328271566</c:v>
                </c:pt>
                <c:pt idx="6">
                  <c:v>13.922376399502946</c:v>
                </c:pt>
                <c:pt idx="7">
                  <c:v>13.070376064895578</c:v>
                </c:pt>
                <c:pt idx="8">
                  <c:v>12.197715876714794</c:v>
                </c:pt>
                <c:pt idx="9">
                  <c:v>11.313605496760797</c:v>
                </c:pt>
                <c:pt idx="10">
                  <c:v>10.427526476168079</c:v>
                </c:pt>
                <c:pt idx="11">
                  <c:v>9.5490624127509847</c:v>
                </c:pt>
                <c:pt idx="12">
                  <c:v>8.6876967697279337</c:v>
                </c:pt>
                <c:pt idx="13">
                  <c:v>7.8525774322875748</c:v>
                </c:pt>
                <c:pt idx="14">
                  <c:v>7.0522501385020755</c:v>
                </c:pt>
                <c:pt idx="15">
                  <c:v>6.2943674912338894</c:v>
                </c:pt>
                <c:pt idx="16">
                  <c:v>5.5853864106696731</c:v>
                </c:pt>
                <c:pt idx="17">
                  <c:v>4.9302743656073753</c:v>
                </c:pt>
                <c:pt idx="18">
                  <c:v>4.3322527403662958</c:v>
                </c:pt>
                <c:pt idx="19">
                  <c:v>3.792612746509024</c:v>
                </c:pt>
                <c:pt idx="20">
                  <c:v>3.3106430470752595</c:v>
                </c:pt>
                <c:pt idx="21">
                  <c:v>2.8837057209461312</c:v>
                </c:pt>
                <c:pt idx="22">
                  <c:v>2.5074852519934985</c:v>
                </c:pt>
                <c:pt idx="23">
                  <c:v>2.1764118565869386</c:v>
                </c:pt>
                <c:pt idx="24">
                  <c:v>1.884226482625019</c:v>
                </c:pt>
                <c:pt idx="25">
                  <c:v>1.6246158050930908</c:v>
                </c:pt>
                <c:pt idx="26">
                  <c:v>1.4278062086073191</c:v>
                </c:pt>
                <c:pt idx="27">
                  <c:v>1.2624183081405727</c:v>
                </c:pt>
                <c:pt idx="28">
                  <c:v>1.1191887496651016</c:v>
                </c:pt>
                <c:pt idx="29">
                  <c:v>0.99199234756296861</c:v>
                </c:pt>
                <c:pt idx="30">
                  <c:v>0.87730728651456102</c:v>
                </c:pt>
                <c:pt idx="31">
                  <c:v>0.77335076918943702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'SPM-spk'!$C$11:$C$42</c:f>
              <c:numCache>
                <c:formatCode>#,##0.0</c:formatCode>
                <c:ptCount val="32"/>
                <c:pt idx="0">
                  <c:v>21</c:v>
                </c:pt>
                <c:pt idx="1">
                  <c:v>20.894772381654917</c:v>
                </c:pt>
                <c:pt idx="2">
                  <c:v>20.334486613652501</c:v>
                </c:pt>
                <c:pt idx="3">
                  <c:v>19.385220674904559</c:v>
                </c:pt>
                <c:pt idx="4">
                  <c:v>18.191425678058579</c:v>
                </c:pt>
                <c:pt idx="5">
                  <c:v>16.860335181254214</c:v>
                </c:pt>
                <c:pt idx="6">
                  <c:v>15.470337360456455</c:v>
                </c:pt>
                <c:pt idx="7">
                  <c:v>14.077593777898727</c:v>
                </c:pt>
                <c:pt idx="8">
                  <c:v>12.721256075259902</c:v>
                </c:pt>
                <c:pt idx="9">
                  <c:v>11.42756361212345</c:v>
                </c:pt>
                <c:pt idx="10">
                  <c:v>10.213049756570783</c:v>
                </c:pt>
                <c:pt idx="11">
                  <c:v>9.0870397840488408</c:v>
                </c:pt>
                <c:pt idx="12">
                  <c:v>8.0535871706202116</c:v>
                </c:pt>
                <c:pt idx="13">
                  <c:v>7.1129658620150451</c:v>
                </c:pt>
                <c:pt idx="14">
                  <c:v>6.2628125450342225</c:v>
                </c:pt>
                <c:pt idx="15">
                  <c:v>5.498993972040374</c:v>
                </c:pt>
                <c:pt idx="16">
                  <c:v>4.8162591215233483</c:v>
                </c:pt>
                <c:pt idx="17">
                  <c:v>4.2087237100219923</c:v>
                </c:pt>
                <c:pt idx="18">
                  <c:v>3.6702247278392086</c:v>
                </c:pt>
                <c:pt idx="19">
                  <c:v>3.1945747861154103</c:v>
                </c:pt>
                <c:pt idx="20">
                  <c:v>2.7757397571860487</c:v>
                </c:pt>
                <c:pt idx="21">
                  <c:v>2.4079581567915724</c:v>
                </c:pt>
                <c:pt idx="22">
                  <c:v>2.0858167070512064</c:v>
                </c:pt>
                <c:pt idx="23">
                  <c:v>1.804293332037231</c:v>
                </c:pt>
                <c:pt idx="24">
                  <c:v>1.5587763107300248</c:v>
                </c:pt>
                <c:pt idx="25">
                  <c:v>1.3450663138261305</c:v>
                </c:pt>
                <c:pt idx="26">
                  <c:v>1.1593664754354096</c:v>
                </c:pt>
                <c:pt idx="27">
                  <c:v>0.99826441283243383</c:v>
                </c:pt>
                <c:pt idx="28">
                  <c:v>0.85870913848563735</c:v>
                </c:pt>
                <c:pt idx="29">
                  <c:v>0.73798505341671561</c:v>
                </c:pt>
                <c:pt idx="30">
                  <c:v>0.63368462528680425</c:v>
                </c:pt>
                <c:pt idx="31">
                  <c:v>0.54368090300557981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968128"/>
        <c:axId val="441964208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GQWF!$C$21:$C$52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21</c:v>
                      </c:pt>
                      <c:pt idx="1">
                        <c:v>20.041274175716723</c:v>
                      </c:pt>
                      <c:pt idx="2">
                        <c:v>19.055297802323075</c:v>
                      </c:pt>
                      <c:pt idx="3">
                        <c:v>18.05015974982587</c:v>
                      </c:pt>
                      <c:pt idx="4">
                        <c:v>17.033799927453945</c:v>
                      </c:pt>
                      <c:pt idx="5">
                        <c:v>16.013905054474272</c:v>
                      </c:pt>
                      <c:pt idx="6">
                        <c:v>14.997813188599956</c:v>
                      </c:pt>
                      <c:pt idx="7">
                        <c:v>13.992428638651971</c:v>
                      </c:pt>
                      <c:pt idx="8">
                        <c:v>13.00414857031577</c:v>
                      </c:pt>
                      <c:pt idx="9">
                        <c:v>12.038802272517154</c:v>
                      </c:pt>
                      <c:pt idx="10">
                        <c:v>11.101603698668026</c:v>
                      </c:pt>
                      <c:pt idx="11">
                        <c:v>10.197117543302983</c:v>
                      </c:pt>
                      <c:pt idx="12">
                        <c:v>9.3292387714713012</c:v>
                      </c:pt>
                      <c:pt idx="13">
                        <c:v>8.5011851958246396</c:v>
                      </c:pt>
                      <c:pt idx="14">
                        <c:v>7.7155024035915565</c:v>
                      </c:pt>
                      <c:pt idx="15">
                        <c:v>6.9740800800018521</c:v>
                      </c:pt>
                      <c:pt idx="16">
                        <c:v>6.2781785619620569</c:v>
                      </c:pt>
                      <c:pt idx="17">
                        <c:v>5.6284642898082735</c:v>
                      </c:pt>
                      <c:pt idx="18">
                        <c:v>5.0250527078276459</c:v>
                      </c:pt>
                      <c:pt idx="19">
                        <c:v>4.4675570961706956</c:v>
                      </c:pt>
                      <c:pt idx="20">
                        <c:v>3.9551417962824833</c:v>
                      </c:pt>
                      <c:pt idx="21">
                        <c:v>3.4865783160290413</c:v>
                      </c:pt>
                      <c:pt idx="22">
                        <c:v>3.0603028649410562</c:v>
                      </c:pt>
                      <c:pt idx="23">
                        <c:v>2.6744739690454509</c:v>
                      </c:pt>
                      <c:pt idx="24">
                        <c:v>2.3270289424543549</c:v>
                      </c:pt>
                      <c:pt idx="25">
                        <c:v>2.0157381426153105</c:v>
                      </c:pt>
                      <c:pt idx="26">
                        <c:v>1.7382561011131257</c:v>
                      </c:pt>
                      <c:pt idx="27">
                        <c:v>1.4921687954741665</c:v>
                      </c:pt>
                      <c:pt idx="28">
                        <c:v>1.2750365032308943</c:v>
                      </c:pt>
                      <c:pt idx="29">
                        <c:v>1.0844318517897302</c:v>
                      </c:pt>
                      <c:pt idx="30">
                        <c:v>0.91797284136457302</c:v>
                      </c:pt>
                      <c:pt idx="31">
                        <c:v>0.77335076918943702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comparison!$B$45</c15:sqref>
                        </c15:formulaRef>
                      </c:ext>
                    </c:extLst>
                    <c:strCache>
                      <c:ptCount val="1"/>
                      <c:pt idx="0">
                        <c:v>LIMITS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LIMITS!$C$8:$C$39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21</c:v>
                      </c:pt>
                      <c:pt idx="1">
                        <c:v>20.145543690094133</c:v>
                      </c:pt>
                      <c:pt idx="2">
                        <c:v>19.25219235394637</c:v>
                      </c:pt>
                      <c:pt idx="3">
                        <c:v>18.327742984692204</c:v>
                      </c:pt>
                      <c:pt idx="4">
                        <c:v>17.380041843005241</c:v>
                      </c:pt>
                      <c:pt idx="5">
                        <c:v>16.416872450905448</c:v>
                      </c:pt>
                      <c:pt idx="6">
                        <c:v>15.445848471990894</c:v>
                      </c:pt>
                      <c:pt idx="7">
                        <c:v>14.474313556962572</c:v>
                      </c:pt>
                      <c:pt idx="8">
                        <c:v>13.509249997012658</c:v>
                      </c:pt>
                      <c:pt idx="9">
                        <c:v>12.557197747758467</c:v>
                      </c:pt>
                      <c:pt idx="10">
                        <c:v>11.624185072973548</c:v>
                      </c:pt>
                      <c:pt idx="11">
                        <c:v>10.715671721290585</c:v>
                      </c:pt>
                      <c:pt idx="12">
                        <c:v>9.8365052016372037</c:v>
                      </c:pt>
                      <c:pt idx="13">
                        <c:v>8.9908903756957379</c:v>
                      </c:pt>
                      <c:pt idx="14">
                        <c:v>8.1823722489779769</c:v>
                      </c:pt>
                      <c:pt idx="15">
                        <c:v>7.4138315261553771</c:v>
                      </c:pt>
                      <c:pt idx="16">
                        <c:v>6.6874922098769094</c:v>
                      </c:pt>
                      <c:pt idx="17">
                        <c:v>6.0049402727674064</c:v>
                      </c:pt>
                      <c:pt idx="18">
                        <c:v>5.3671522252863522</c:v>
                      </c:pt>
                      <c:pt idx="19">
                        <c:v>4.7745322415022304</c:v>
                      </c:pt>
                      <c:pt idx="20">
                        <c:v>4.226956392622637</c:v>
                      </c:pt>
                      <c:pt idx="21">
                        <c:v>3.7238224745308166</c:v>
                      </c:pt>
                      <c:pt idx="22">
                        <c:v>3.2641038991305327</c:v>
                      </c:pt>
                      <c:pt idx="23">
                        <c:v>2.8464061469790338</c:v>
                      </c:pt>
                      <c:pt idx="24">
                        <c:v>2.4690243461699852</c:v>
                      </c:pt>
                      <c:pt idx="25">
                        <c:v>2.1300006443452646</c:v>
                      </c:pt>
                      <c:pt idx="26">
                        <c:v>1.8271801709349464</c:v>
                      </c:pt>
                      <c:pt idx="27">
                        <c:v>1.5582645386498566</c:v>
                      </c:pt>
                      <c:pt idx="28">
                        <c:v>1.3208620001053837</c:v>
                      </c:pt>
                      <c:pt idx="29">
                        <c:v>1.1125335505609162</c:v>
                      </c:pt>
                      <c:pt idx="30">
                        <c:v>0.93083444478183575</c:v>
                      </c:pt>
                      <c:pt idx="31">
                        <c:v>0.77335076918943702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'pc20'!$C$8:$C$39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21</c:v>
                      </c:pt>
                      <c:pt idx="1">
                        <c:v>7.1118543929181133</c:v>
                      </c:pt>
                      <c:pt idx="2">
                        <c:v>6.9462828774903569</c:v>
                      </c:pt>
                      <c:pt idx="3">
                        <c:v>6.7617748652616552</c:v>
                      </c:pt>
                      <c:pt idx="4">
                        <c:v>6.5599819820271854</c:v>
                      </c:pt>
                      <c:pt idx="5">
                        <c:v>6.3426875401260272</c:v>
                      </c:pt>
                      <c:pt idx="6">
                        <c:v>6.1117800680129664</c:v>
                      </c:pt>
                      <c:pt idx="7">
                        <c:v>5.8692257299875177</c:v>
                      </c:pt>
                      <c:pt idx="8">
                        <c:v>5.6170402048737778</c:v>
                      </c:pt>
                      <c:pt idx="9">
                        <c:v>5.3572605916291201</c:v>
                      </c:pt>
                      <c:pt idx="10">
                        <c:v>5.0919178941545402</c:v>
                      </c:pt>
                      <c:pt idx="11">
                        <c:v>4.8230106077951209</c:v>
                      </c:pt>
                      <c:pt idx="12">
                        <c:v>4.5524798874090591</c:v>
                      </c:pt>
                      <c:pt idx="13">
                        <c:v>4.2821867230890129</c:v>
                      </c:pt>
                      <c:pt idx="14">
                        <c:v>4.0138914865992179</c:v>
                      </c:pt>
                      <c:pt idx="15">
                        <c:v>3.7492361415426614</c:v>
                      </c:pt>
                      <c:pt idx="16">
                        <c:v>3.4897293355421248</c:v>
                      </c:pt>
                      <c:pt idx="17">
                        <c:v>3.236734515714959</c:v>
                      </c:pt>
                      <c:pt idx="18">
                        <c:v>2.9914611318231046</c:v>
                      </c:pt>
                      <c:pt idx="19">
                        <c:v>2.7549589169526514</c:v>
                      </c:pt>
                      <c:pt idx="20">
                        <c:v>2.5281151654966716</c:v>
                      </c:pt>
                      <c:pt idx="21">
                        <c:v>2.3116548644012047</c:v>
                      </c:pt>
                      <c:pt idx="22">
                        <c:v>2.1061434775994163</c:v>
                      </c:pt>
                      <c:pt idx="23">
                        <c:v>1.9119921364704318</c:v>
                      </c:pt>
                      <c:pt idx="24">
                        <c:v>1.7294649518177427</c:v>
                      </c:pt>
                      <c:pt idx="25">
                        <c:v>1.5586881356954956</c:v>
                      </c:pt>
                      <c:pt idx="26">
                        <c:v>1.3996606044838857</c:v>
                      </c:pt>
                      <c:pt idx="27">
                        <c:v>1.2522657276512916</c:v>
                      </c:pt>
                      <c:pt idx="28">
                        <c:v>1.116283889058558</c:v>
                      </c:pt>
                      <c:pt idx="29">
                        <c:v>0.99140553861614988</c:v>
                      </c:pt>
                      <c:pt idx="30">
                        <c:v>0.87724443054324153</c:v>
                      </c:pt>
                      <c:pt idx="31">
                        <c:v>0.77335076918943702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419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4208"/>
        <c:crosses val="autoZero"/>
        <c:auto val="1"/>
        <c:lblAlgn val="ctr"/>
        <c:lblOffset val="100"/>
        <c:noMultiLvlLbl val="0"/>
      </c:catAx>
      <c:valAx>
        <c:axId val="44196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 t</a:t>
                </a:r>
              </a:p>
            </c:rich>
          </c:tx>
          <c:layout/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41968128"/>
        <c:crosses val="autoZero"/>
        <c:crossBetween val="midCat"/>
      </c:valAx>
    </c:plotArea>
    <c:legend>
      <c:legendPos val="tr"/>
      <c:layout/>
      <c:overlay val="0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B emission pathways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24112122703412"/>
          <c:y val="0.15713879310888762"/>
          <c:w val="0.62924192093175857"/>
          <c:h val="0.74113392974958692"/>
        </c:manualLayout>
      </c:layout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2857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RF!$F$9:$F$40</c:f>
              <c:numCache>
                <c:formatCode>#,##0.0</c:formatCode>
                <c:ptCount val="32"/>
                <c:pt idx="0">
                  <c:v>19.5</c:v>
                </c:pt>
                <c:pt idx="1">
                  <c:v>19.121188154787276</c:v>
                </c:pt>
                <c:pt idx="2">
                  <c:v>18.689050214016273</c:v>
                </c:pt>
                <c:pt idx="3">
                  <c:v>18.207488441423497</c:v>
                </c:pt>
                <c:pt idx="4">
                  <c:v>17.680813543281147</c:v>
                </c:pt>
                <c:pt idx="5">
                  <c:v>17.113679924786705</c:v>
                </c:pt>
                <c:pt idx="6">
                  <c:v>16.511016602839188</c:v>
                </c:pt>
                <c:pt idx="7">
                  <c:v>15.877955222150627</c:v>
                </c:pt>
                <c:pt idx="8">
                  <c:v>15.219756659231409</c:v>
                </c:pt>
                <c:pt idx="9">
                  <c:v>14.541737696659206</c:v>
                </c:pt>
                <c:pt idx="10">
                  <c:v>13.849199209051291</c:v>
                </c:pt>
                <c:pt idx="11">
                  <c:v>13.14735722442331</c:v>
                </c:pt>
                <c:pt idx="12">
                  <c:v>12.441278113406538</c:v>
                </c:pt>
                <c:pt idx="13">
                  <c:v>11.735819018392643</c:v>
                </c:pt>
                <c:pt idx="14">
                  <c:v>11.035574470193421</c:v>
                </c:pt>
                <c:pt idx="15">
                  <c:v>10.344829956976216</c:v>
                </c:pt>
                <c:pt idx="16">
                  <c:v>9.6675230151909037</c:v>
                </c:pt>
                <c:pt idx="17">
                  <c:v>9.0072122112256743</c:v>
                </c:pt>
                <c:pt idx="18">
                  <c:v>8.3670541818259263</c:v>
                </c:pt>
                <c:pt idx="19">
                  <c:v>7.7497887067962328</c:v>
                </c:pt>
                <c:pt idx="20">
                  <c:v>7.1577316045966146</c:v>
                </c:pt>
                <c:pt idx="21">
                  <c:v>6.5927750748915903</c:v>
                </c:pt>
                <c:pt idx="22">
                  <c:v>6.0563949658608873</c:v>
                </c:pt>
                <c:pt idx="23">
                  <c:v>5.5496643211805416</c:v>
                </c:pt>
                <c:pt idx="24">
                  <c:v>5.0732724641225042</c:v>
                </c:pt>
                <c:pt idx="25">
                  <c:v>4.6275488053166054</c:v>
                </c:pt>
                <c:pt idx="26">
                  <c:v>4.2124905165394697</c:v>
                </c:pt>
                <c:pt idx="27">
                  <c:v>3.8277931947200936</c:v>
                </c:pt>
                <c:pt idx="28">
                  <c:v>3.4728836466622379</c:v>
                </c:pt>
                <c:pt idx="29">
                  <c:v>3.1469539535767823</c:v>
                </c:pt>
                <c:pt idx="30">
                  <c:v>2.8489960226409585</c:v>
                </c:pt>
                <c:pt idx="31">
                  <c:v>2.5778358972981232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'C&amp;C-exp'!$F$11:$F$42</c:f>
              <c:numCache>
                <c:formatCode>#,##0.0</c:formatCode>
                <c:ptCount val="32"/>
                <c:pt idx="0">
                  <c:v>19.5</c:v>
                </c:pt>
                <c:pt idx="1">
                  <c:v>19.205776116276603</c:v>
                </c:pt>
                <c:pt idx="2">
                  <c:v>18.862857647432392</c:v>
                </c:pt>
                <c:pt idx="3">
                  <c:v>18.474499695651041</c:v>
                </c:pt>
                <c:pt idx="4">
                  <c:v>18.044179784242694</c:v>
                </c:pt>
                <c:pt idx="5">
                  <c:v>17.575519249660381</c:v>
                </c:pt>
                <c:pt idx="6">
                  <c:v>17.072204534500727</c:v>
                </c:pt>
                <c:pt idx="7">
                  <c:v>16.537911724446758</c:v>
                </c:pt>
                <c:pt idx="8">
                  <c:v>15.976238039840183</c:v>
                </c:pt>
                <c:pt idx="9">
                  <c:v>15.390644270217331</c:v>
                </c:pt>
                <c:pt idx="10">
                  <c:v>14.784412263351626</c:v>
                </c:pt>
                <c:pt idx="11">
                  <c:v>14.16062146013731</c:v>
                </c:pt>
                <c:pt idx="12">
                  <c:v>13.522147987711611</c:v>
                </c:pt>
                <c:pt idx="13">
                  <c:v>12.871688847638213</c:v>
                </c:pt>
                <c:pt idx="14">
                  <c:v>12.211812116699054</c:v>
                </c:pt>
                <c:pt idx="15">
                  <c:v>11.545031687175435</c:v>
                </c:pt>
                <c:pt idx="16">
                  <c:v>10.873901852367279</c:v>
                </c:pt>
                <c:pt idx="17">
                  <c:v>10.201123074541719</c:v>
                </c:pt>
                <c:pt idx="18">
                  <c:v>9.5296458766647785</c:v>
                </c:pt>
                <c:pt idx="19">
                  <c:v>8.8627556340925775</c:v>
                </c:pt>
                <c:pt idx="20">
                  <c:v>8.2041181729104125</c:v>
                </c:pt>
                <c:pt idx="21">
                  <c:v>7.5577659527756857</c:v>
                </c:pt>
                <c:pt idx="22">
                  <c:v>6.9280088347496562</c:v>
                </c:pt>
                <c:pt idx="23">
                  <c:v>6.3192632928598123</c:v>
                </c:pt>
                <c:pt idx="24">
                  <c:v>5.7358095779765197</c:v>
                </c:pt>
                <c:pt idx="25">
                  <c:v>5.1815058361459823</c:v>
                </c:pt>
                <c:pt idx="26">
                  <c:v>4.6595067408658686</c:v>
                </c:pt>
                <c:pt idx="27">
                  <c:v>4.1720444747160421</c:v>
                </c:pt>
                <c:pt idx="28">
                  <c:v>3.7203240943995604</c:v>
                </c:pt>
                <c:pt idx="29">
                  <c:v>3.3045594380175491</c:v>
                </c:pt>
                <c:pt idx="30">
                  <c:v>2.9241346384659423</c:v>
                </c:pt>
                <c:pt idx="31">
                  <c:v>2.5778358972981237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'C&amp;C-lin'!$F$8:$F$39</c:f>
              <c:numCache>
                <c:formatCode>#,##0.0</c:formatCode>
                <c:ptCount val="32"/>
                <c:pt idx="0">
                  <c:v>19.5</c:v>
                </c:pt>
                <c:pt idx="1">
                  <c:v>19.258263913217</c:v>
                </c:pt>
                <c:pt idx="2">
                  <c:v>19.090192720963646</c:v>
                </c:pt>
                <c:pt idx="3">
                  <c:v>18.965968262312259</c:v>
                </c:pt>
                <c:pt idx="4">
                  <c:v>18.847272205072766</c:v>
                </c:pt>
                <c:pt idx="5">
                  <c:v>18.693828830703772</c:v>
                </c:pt>
                <c:pt idx="6">
                  <c:v>18.469918025570887</c:v>
                </c:pt>
                <c:pt idx="7">
                  <c:v>18.149501255848826</c:v>
                </c:pt>
                <c:pt idx="8">
                  <c:v>17.719032528280632</c:v>
                </c:pt>
                <c:pt idx="9">
                  <c:v>17.177677658260507</c:v>
                </c:pt>
                <c:pt idx="10">
                  <c:v>16.535321688978975</c:v>
                </c:pt>
                <c:pt idx="11">
                  <c:v>15.809204767965593</c:v>
                </c:pt>
                <c:pt idx="12">
                  <c:v>15.020179251230354</c:v>
                </c:pt>
                <c:pt idx="13">
                  <c:v>14.189433807554249</c:v>
                </c:pt>
                <c:pt idx="14">
                  <c:v>13.336191599097296</c:v>
                </c:pt>
                <c:pt idx="15">
                  <c:v>12.476508236895699</c:v>
                </c:pt>
                <c:pt idx="16">
                  <c:v>11.62299766608764</c:v>
                </c:pt>
                <c:pt idx="17">
                  <c:v>10.785163640165072</c:v>
                </c:pt>
                <c:pt idx="18">
                  <c:v>9.9700056297704798</c:v>
                </c:pt>
                <c:pt idx="19">
                  <c:v>9.1826504288719253</c:v>
                </c:pt>
                <c:pt idx="20">
                  <c:v>8.4268727751705104</c:v>
                </c:pt>
                <c:pt idx="21">
                  <c:v>7.7054637775591388</c:v>
                </c:pt>
                <c:pt idx="22">
                  <c:v>7.0204643884068121</c:v>
                </c:pt>
                <c:pt idx="23">
                  <c:v>6.373303872109731</c:v>
                </c:pt>
                <c:pt idx="24">
                  <c:v>5.7648825090240203</c:v>
                </c:pt>
                <c:pt idx="25">
                  <c:v>5.1956270032112597</c:v>
                </c:pt>
                <c:pt idx="26">
                  <c:v>4.6655353315115979</c:v>
                </c:pt>
                <c:pt idx="27">
                  <c:v>4.1742190902352014</c:v>
                </c:pt>
                <c:pt idx="28">
                  <c:v>3.7209462966948696</c:v>
                </c:pt>
                <c:pt idx="29">
                  <c:v>3.3046851287109313</c:v>
                </c:pt>
                <c:pt idx="30">
                  <c:v>2.9241481018105322</c:v>
                </c:pt>
                <c:pt idx="31">
                  <c:v>2.5778358972981237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6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'SPM-eq'!$F$11:$F$42</c:f>
              <c:numCache>
                <c:formatCode>#,##0.0</c:formatCode>
                <c:ptCount val="32"/>
                <c:pt idx="0">
                  <c:v>19.5</c:v>
                </c:pt>
                <c:pt idx="1">
                  <c:v>19.733344496566019</c:v>
                </c:pt>
                <c:pt idx="2">
                  <c:v>19.98642632965749</c:v>
                </c:pt>
                <c:pt idx="3">
                  <c:v>19.966085365526965</c:v>
                </c:pt>
                <c:pt idx="4">
                  <c:v>19.727237665418045</c:v>
                </c:pt>
                <c:pt idx="5">
                  <c:v>19.316250965259087</c:v>
                </c:pt>
                <c:pt idx="6">
                  <c:v>18.77213759704523</c:v>
                </c:pt>
                <c:pt idx="7">
                  <c:v>18.127590800832422</c:v>
                </c:pt>
                <c:pt idx="8">
                  <c:v>17.409884199471776</c:v>
                </c:pt>
                <c:pt idx="9">
                  <c:v>16.641651778874007</c:v>
                </c:pt>
                <c:pt idx="10">
                  <c:v>15.841563579804244</c:v>
                </c:pt>
                <c:pt idx="11">
                  <c:v>15.024910428331424</c:v>
                </c:pt>
                <c:pt idx="12">
                  <c:v>14.204109380395209</c:v>
                </c:pt>
                <c:pt idx="13">
                  <c:v>13.389140104518759</c:v>
                </c:pt>
                <c:pt idx="14">
                  <c:v>12.587921151585022</c:v>
                </c:pt>
                <c:pt idx="15">
                  <c:v>11.806633940780358</c:v>
                </c:pt>
                <c:pt idx="16">
                  <c:v>11.050001307689627</c:v>
                </c:pt>
                <c:pt idx="17">
                  <c:v>10.321526597741197</c:v>
                </c:pt>
                <c:pt idx="18">
                  <c:v>9.6236985312820309</c:v>
                </c:pt>
                <c:pt idx="19">
                  <c:v>8.9581664027847978</c:v>
                </c:pt>
                <c:pt idx="20">
                  <c:v>8.3258895948105618</c:v>
                </c:pt>
                <c:pt idx="21">
                  <c:v>7.7272648774927006</c:v>
                </c:pt>
                <c:pt idx="22">
                  <c:v>7.1622345177297433</c:v>
                </c:pt>
                <c:pt idx="23">
                  <c:v>6.6303778313131971</c:v>
                </c:pt>
                <c:pt idx="24">
                  <c:v>6.1309884690987104</c:v>
                </c:pt>
                <c:pt idx="25">
                  <c:v>5.6631394290987558</c:v>
                </c:pt>
                <c:pt idx="26">
                  <c:v>5.2257375247924571</c:v>
                </c:pt>
                <c:pt idx="27">
                  <c:v>4.8175688113977202</c:v>
                </c:pt>
                <c:pt idx="28">
                  <c:v>4.4373362722729368</c:v>
                </c:pt>
                <c:pt idx="29">
                  <c:v>4.0836908934418972</c:v>
                </c:pt>
                <c:pt idx="30">
                  <c:v>3.7552571023224388</c:v>
                </c:pt>
                <c:pt idx="31">
                  <c:v>3.4506534143351359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'SPM-in'!$F$11:$F$42</c:f>
              <c:numCache>
                <c:formatCode>#,##0.0</c:formatCode>
                <c:ptCount val="32"/>
                <c:pt idx="0">
                  <c:v>19.5</c:v>
                </c:pt>
                <c:pt idx="1">
                  <c:v>19.711563813975829</c:v>
                </c:pt>
                <c:pt idx="2">
                  <c:v>19.849273463877751</c:v>
                </c:pt>
                <c:pt idx="3">
                  <c:v>19.635448358799124</c:v>
                </c:pt>
                <c:pt idx="4">
                  <c:v>19.156983585694576</c:v>
                </c:pt>
                <c:pt idx="5">
                  <c:v>18.484394765794463</c:v>
                </c:pt>
                <c:pt idx="6">
                  <c:v>17.674574124860555</c:v>
                </c:pt>
                <c:pt idx="7">
                  <c:v>16.773111058378674</c:v>
                </c:pt>
                <c:pt idx="8">
                  <c:v>15.816243312701005</c:v>
                </c:pt>
                <c:pt idx="9">
                  <c:v>14.832495138325783</c:v>
                </c:pt>
                <c:pt idx="10">
                  <c:v>13.844050419758247</c:v>
                </c:pt>
                <c:pt idx="11">
                  <c:v>12.867901646403027</c:v>
                </c:pt>
                <c:pt idx="12">
                  <c:v>11.916809487694749</c:v>
                </c:pt>
                <c:pt idx="13">
                  <c:v>11.000102524564781</c:v>
                </c:pt>
                <c:pt idx="14">
                  <c:v>10.124342240745236</c:v>
                </c:pt>
                <c:pt idx="15">
                  <c:v>9.2938745817460102</c:v>
                </c:pt>
                <c:pt idx="16">
                  <c:v>8.5112861525673509</c:v>
                </c:pt>
                <c:pt idx="17">
                  <c:v>7.7777803666188277</c:v>
                </c:pt>
                <c:pt idx="18">
                  <c:v>7.0934865087046859</c:v>
                </c:pt>
                <c:pt idx="19">
                  <c:v>6.4577126749310949</c:v>
                </c:pt>
                <c:pt idx="20">
                  <c:v>5.8691518511317184</c:v>
                </c:pt>
                <c:pt idx="21">
                  <c:v>5.3260489452827429</c:v>
                </c:pt>
                <c:pt idx="22">
                  <c:v>4.8263353610501909</c:v>
                </c:pt>
                <c:pt idx="23">
                  <c:v>4.3677366571005152</c:v>
                </c:pt>
                <c:pt idx="24">
                  <c:v>3.9478579527386515</c:v>
                </c:pt>
                <c:pt idx="25">
                  <c:v>3.5642509914028722</c:v>
                </c:pt>
                <c:pt idx="26">
                  <c:v>3.2144661395116323</c:v>
                </c:pt>
                <c:pt idx="27">
                  <c:v>2.8960920620082469</c:v>
                </c:pt>
                <c:pt idx="28">
                  <c:v>2.6067853630569466</c:v>
                </c:pt>
                <c:pt idx="29">
                  <c:v>2.344292098215579</c:v>
                </c:pt>
                <c:pt idx="30">
                  <c:v>2.1064627423850268</c:v>
                </c:pt>
                <c:pt idx="31">
                  <c:v>1.891261926815309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EPM!$AH$19:$AH$50</c:f>
              <c:numCache>
                <c:formatCode>#,##0.0</c:formatCode>
                <c:ptCount val="32"/>
                <c:pt idx="0">
                  <c:v>19.5</c:v>
                </c:pt>
                <c:pt idx="1">
                  <c:v>19.487999021928669</c:v>
                </c:pt>
                <c:pt idx="2">
                  <c:v>19.444177736671115</c:v>
                </c:pt>
                <c:pt idx="3">
                  <c:v>19.358777337513921</c:v>
                </c:pt>
                <c:pt idx="4">
                  <c:v>19.217809121038794</c:v>
                </c:pt>
                <c:pt idx="5">
                  <c:v>19.016267374521814</c:v>
                </c:pt>
                <c:pt idx="6">
                  <c:v>18.747004965710786</c:v>
                </c:pt>
                <c:pt idx="7">
                  <c:v>18.403635418406552</c:v>
                </c:pt>
                <c:pt idx="8">
                  <c:v>17.988387688948311</c:v>
                </c:pt>
                <c:pt idx="9">
                  <c:v>17.498813838322601</c:v>
                </c:pt>
                <c:pt idx="10">
                  <c:v>16.944549143926643</c:v>
                </c:pt>
                <c:pt idx="11">
                  <c:v>16.32665708698665</c:v>
                </c:pt>
                <c:pt idx="12">
                  <c:v>15.65424039872951</c:v>
                </c:pt>
                <c:pt idx="13">
                  <c:v>14.932537771464403</c:v>
                </c:pt>
                <c:pt idx="14">
                  <c:v>14.169561295626117</c:v>
                </c:pt>
                <c:pt idx="15">
                  <c:v>13.387690154426627</c:v>
                </c:pt>
                <c:pt idx="16">
                  <c:v>12.575569053936899</c:v>
                </c:pt>
                <c:pt idx="17">
                  <c:v>11.756425965681307</c:v>
                </c:pt>
                <c:pt idx="18">
                  <c:v>10.931589106108245</c:v>
                </c:pt>
                <c:pt idx="19">
                  <c:v>10.115766844283595</c:v>
                </c:pt>
                <c:pt idx="20">
                  <c:v>9.3064290017591578</c:v>
                </c:pt>
                <c:pt idx="21">
                  <c:v>8.5146919996178418</c:v>
                </c:pt>
                <c:pt idx="22">
                  <c:v>7.747188190334418</c:v>
                </c:pt>
                <c:pt idx="23">
                  <c:v>7.006707189899509</c:v>
                </c:pt>
                <c:pt idx="24">
                  <c:v>6.2955778933346647</c:v>
                </c:pt>
                <c:pt idx="25">
                  <c:v>5.6326016426229719</c:v>
                </c:pt>
                <c:pt idx="26">
                  <c:v>5.0210902325269595</c:v>
                </c:pt>
                <c:pt idx="27">
                  <c:v>4.4329488591624102</c:v>
                </c:pt>
                <c:pt idx="28">
                  <c:v>3.8967039565318164</c:v>
                </c:pt>
                <c:pt idx="29">
                  <c:v>3.4240259487713631</c:v>
                </c:pt>
                <c:pt idx="30">
                  <c:v>2.997882771851593</c:v>
                </c:pt>
                <c:pt idx="31">
                  <c:v>2.6180274044368401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CDC!$X$12:$X$43</c:f>
              <c:numCache>
                <c:formatCode>#,##0.0</c:formatCode>
                <c:ptCount val="32"/>
                <c:pt idx="0">
                  <c:v>19.5</c:v>
                </c:pt>
                <c:pt idx="1">
                  <c:v>20.085000000000001</c:v>
                </c:pt>
                <c:pt idx="2">
                  <c:v>20.687550000000002</c:v>
                </c:pt>
                <c:pt idx="3">
                  <c:v>21.308176500000002</c:v>
                </c:pt>
                <c:pt idx="4">
                  <c:v>20.861242373904378</c:v>
                </c:pt>
                <c:pt idx="5">
                  <c:v>20.37003514414161</c:v>
                </c:pt>
                <c:pt idx="6">
                  <c:v>19.837750130593896</c:v>
                </c:pt>
                <c:pt idx="7">
                  <c:v>19.267410844335377</c:v>
                </c:pt>
                <c:pt idx="8">
                  <c:v>18.661799042348211</c:v>
                </c:pt>
                <c:pt idx="9">
                  <c:v>18.023407320966207</c:v>
                </c:pt>
                <c:pt idx="10">
                  <c:v>17.354421119397273</c:v>
                </c:pt>
                <c:pt idx="11">
                  <c:v>16.656736680331246</c:v>
                </c:pt>
                <c:pt idx="12">
                  <c:v>15.932020443099645</c:v>
                </c:pt>
                <c:pt idx="13">
                  <c:v>15.18181324290425</c:v>
                </c:pt>
                <c:pt idx="14">
                  <c:v>14.407679267222031</c:v>
                </c:pt>
                <c:pt idx="15">
                  <c:v>13.611394747570589</c:v>
                </c:pt>
                <c:pt idx="16">
                  <c:v>12.795164782130405</c:v>
                </c:pt>
                <c:pt idx="17">
                  <c:v>11.961848763455153</c:v>
                </c:pt>
                <c:pt idx="18">
                  <c:v>11.115166424592099</c:v>
                </c:pt>
                <c:pt idx="19">
                  <c:v>10.259849036083775</c:v>
                </c:pt>
                <c:pt idx="20">
                  <c:v>9.4016961248479589</c:v>
                </c:pt>
                <c:pt idx="21">
                  <c:v>8.5475002590844973</c:v>
                </c:pt>
                <c:pt idx="22">
                  <c:v>7.7048140641213232</c:v>
                </c:pt>
                <c:pt idx="23">
                  <c:v>6.8815567344345832</c:v>
                </c:pt>
                <c:pt idx="24">
                  <c:v>6.085491072769873</c:v>
                </c:pt>
                <c:pt idx="25">
                  <c:v>5.3236409392477375</c:v>
                </c:pt>
                <c:pt idx="26">
                  <c:v>4.7201865492149162</c:v>
                </c:pt>
                <c:pt idx="27">
                  <c:v>4.1939326756456117</c:v>
                </c:pt>
                <c:pt idx="28">
                  <c:v>3.7265867556703127</c:v>
                </c:pt>
                <c:pt idx="29">
                  <c:v>3.3058245540290696</c:v>
                </c:pt>
                <c:pt idx="30">
                  <c:v>2.9242701512187166</c:v>
                </c:pt>
                <c:pt idx="31">
                  <c:v>2.5778358972981237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'SPM-spk'!$F$11:$F$42</c:f>
              <c:numCache>
                <c:formatCode>#,##0.0</c:formatCode>
                <c:ptCount val="32"/>
                <c:pt idx="0">
                  <c:v>19.5</c:v>
                </c:pt>
                <c:pt idx="1">
                  <c:v>19.723983954892105</c:v>
                </c:pt>
                <c:pt idx="2">
                  <c:v>19.927139169977409</c:v>
                </c:pt>
                <c:pt idx="3">
                  <c:v>19.822228252377556</c:v>
                </c:pt>
                <c:pt idx="4">
                  <c:v>19.477476193679365</c:v>
                </c:pt>
                <c:pt idx="5">
                  <c:v>18.949483905085344</c:v>
                </c:pt>
                <c:pt idx="6">
                  <c:v>18.285000229655111</c:v>
                </c:pt>
                <c:pt idx="7">
                  <c:v>17.522440033914222</c:v>
                </c:pt>
                <c:pt idx="8">
                  <c:v>16.693183355652934</c:v>
                </c:pt>
                <c:pt idx="9">
                  <c:v>15.822685897020165</c:v>
                </c:pt>
                <c:pt idx="10">
                  <c:v>14.931427080041232</c:v>
                </c:pt>
                <c:pt idx="11">
                  <c:v>14.035718345816491</c:v>
                </c:pt>
                <c:pt idx="12">
                  <c:v>13.148391309408424</c:v>
                </c:pt>
                <c:pt idx="13">
                  <c:v>12.279382719240829</c:v>
                </c:pt>
                <c:pt idx="14">
                  <c:v>11.436230859894025</c:v>
                </c:pt>
                <c:pt idx="15">
                  <c:v>10.624496034444221</c:v>
                </c:pt>
                <c:pt idx="16">
                  <c:v>9.8481160268600263</c:v>
                </c:pt>
                <c:pt idx="17">
                  <c:v>9.1097059414665438</c:v>
                </c:pt>
                <c:pt idx="18">
                  <c:v>8.4108105146853518</c:v>
                </c:pt>
                <c:pt idx="19">
                  <c:v>7.7521158676361352</c:v>
                </c:pt>
                <c:pt idx="20">
                  <c:v>7.1336266936670256</c:v>
                </c:pt>
                <c:pt idx="21">
                  <c:v>6.554814032379312</c:v>
                </c:pt>
                <c:pt idx="22">
                  <c:v>6.0147380537370623</c:v>
                </c:pt>
                <c:pt idx="23">
                  <c:v>5.5121496472179459</c:v>
                </c:pt>
                <c:pt idx="24">
                  <c:v>5.0455740684288699</c:v>
                </c:pt>
                <c:pt idx="25">
                  <c:v>4.613379427693765</c:v>
                </c:pt>
                <c:pt idx="26">
                  <c:v>4.2138324018326188</c:v>
                </c:pt>
                <c:pt idx="27">
                  <c:v>3.8451432030082771</c:v>
                </c:pt>
                <c:pt idx="28">
                  <c:v>3.5055015395866107</c:v>
                </c:pt>
                <c:pt idx="29">
                  <c:v>3.1931050468958873</c:v>
                </c:pt>
                <c:pt idx="30">
                  <c:v>2.9061814448990653</c:v>
                </c:pt>
                <c:pt idx="31">
                  <c:v>2.6430054901882443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968912"/>
        <c:axId val="441962248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GQWF!$F$21:$F$52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19.5</c:v>
                      </c:pt>
                      <c:pt idx="1">
                        <c:v>19.293847252389082</c:v>
                      </c:pt>
                      <c:pt idx="2">
                        <c:v>19.021916117536371</c:v>
                      </c:pt>
                      <c:pt idx="3">
                        <c:v>18.686940173094314</c:v>
                      </c:pt>
                      <c:pt idx="4">
                        <c:v>18.292278879193869</c:v>
                      </c:pt>
                      <c:pt idx="5">
                        <c:v>17.841861995267184</c:v>
                      </c:pt>
                      <c:pt idx="6">
                        <c:v>17.340124892839</c:v>
                      </c:pt>
                      <c:pt idx="7">
                        <c:v>16.791936246330899</c:v>
                      </c:pt>
                      <c:pt idx="8">
                        <c:v>16.202519745306276</c:v>
                      </c:pt>
                      <c:pt idx="9">
                        <c:v>15.577371585065514</c:v>
                      </c:pt>
                      <c:pt idx="10">
                        <c:v>14.922175555350131</c:v>
                      </c:pt>
                      <c:pt idx="11">
                        <c:v>14.242717558183829</c:v>
                      </c:pt>
                      <c:pt idx="12">
                        <c:v>13.544801346410619</c:v>
                      </c:pt>
                      <c:pt idx="13">
                        <c:v>12.834167186847734</c:v>
                      </c:pt>
                      <c:pt idx="14">
                        <c:v>12.116415020301432</c:v>
                      </c:pt>
                      <c:pt idx="15">
                        <c:v>11.396933520527897</c:v>
                      </c:pt>
                      <c:pt idx="16">
                        <c:v>10.680836252224678</c:v>
                      </c:pt>
                      <c:pt idx="17">
                        <c:v>9.9729059018209174</c:v>
                      </c:pt>
                      <c:pt idx="18">
                        <c:v>9.2775473122381609</c:v>
                      </c:pt>
                      <c:pt idx="19">
                        <c:v>8.598749802165278</c:v>
                      </c:pt>
                      <c:pt idx="20">
                        <c:v>7.9400589998675022</c:v>
                      </c:pt>
                      <c:pt idx="21">
                        <c:v>7.3045581788522762</c:v>
                      </c:pt>
                      <c:pt idx="22">
                        <c:v>6.6948588548847203</c:v>
                      </c:pt>
                      <c:pt idx="23">
                        <c:v>6.1131001970123631</c:v>
                      </c:pt>
                      <c:pt idx="24">
                        <c:v>5.5609566244647244</c:v>
                      </c:pt>
                      <c:pt idx="25">
                        <c:v>5.0396528103681497</c:v>
                      </c:pt>
                      <c:pt idx="26">
                        <c:v>4.5499851947123195</c:v>
                      </c:pt>
                      <c:pt idx="27">
                        <c:v>4.0923490241867144</c:v>
                      </c:pt>
                      <c:pt idx="28">
                        <c:v>3.666769885393192</c:v>
                      </c:pt>
                      <c:pt idx="29">
                        <c:v>3.272938679402607</c:v>
                      </c:pt>
                      <c:pt idx="30">
                        <c:v>2.9102489975054988</c:v>
                      </c:pt>
                      <c:pt idx="31">
                        <c:v>2.5778358972981237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comparison!$B$45</c15:sqref>
                        </c15:formulaRef>
                      </c:ext>
                    </c:extLst>
                    <c:strCache>
                      <c:ptCount val="1"/>
                      <c:pt idx="0">
                        <c:v>LIMITS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LIMITS!$F$8:$F$39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19.5</c:v>
                      </c:pt>
                      <c:pt idx="1">
                        <c:v>19.258263913217</c:v>
                      </c:pt>
                      <c:pt idx="2">
                        <c:v>18.954723269719057</c:v>
                      </c:pt>
                      <c:pt idx="3">
                        <c:v>18.592211253968632</c:v>
                      </c:pt>
                      <c:pt idx="4">
                        <c:v>18.174119284894253</c:v>
                      </c:pt>
                      <c:pt idx="5">
                        <c:v>17.704344086719146</c:v>
                      </c:pt>
                      <c:pt idx="6">
                        <c:v>17.187226976845505</c:v>
                      </c:pt>
                      <c:pt idx="7">
                        <c:v>16.62748669851684</c:v>
                      </c:pt>
                      <c:pt idx="8">
                        <c:v>16.030147259544023</c:v>
                      </c:pt>
                      <c:pt idx="9">
                        <c:v>15.400462330899277</c:v>
                      </c:pt>
                      <c:pt idx="10">
                        <c:v>14.743837808234334</c:v>
                      </c:pt>
                      <c:pt idx="11">
                        <c:v>14.065754144624192</c:v>
                      </c:pt>
                      <c:pt idx="12">
                        <c:v>13.371690024822705</c:v>
                      </c:pt>
                      <c:pt idx="13">
                        <c:v>12.667048872221216</c:v>
                      </c:pt>
                      <c:pt idx="14">
                        <c:v>11.957089563030467</c:v>
                      </c:pt>
                      <c:pt idx="15">
                        <c:v>11.246862572625947</c:v>
                      </c:pt>
                      <c:pt idx="16">
                        <c:v>10.541152602133071</c:v>
                      </c:pt>
                      <c:pt idx="17">
                        <c:v>9.84442853552871</c:v>
                      </c:pt>
                      <c:pt idx="18">
                        <c:v>9.1608013656110661</c:v>
                      </c:pt>
                      <c:pt idx="19">
                        <c:v>8.4939905081477232</c:v>
                      </c:pt>
                      <c:pt idx="20">
                        <c:v>7.8472987042888214</c:v>
                      </c:pt>
                      <c:pt idx="21">
                        <c:v>7.2235954985427897</c:v>
                      </c:pt>
                      <c:pt idx="22">
                        <c:v>6.6253090793200595</c:v>
                      </c:pt>
                      <c:pt idx="23">
                        <c:v>6.0544260865733222</c:v>
                      </c:pt>
                      <c:pt idx="24">
                        <c:v>5.5124988308185259</c:v>
                      </c:pt>
                      <c:pt idx="25">
                        <c:v>5.0006592332139412</c:v>
                      </c:pt>
                      <c:pt idx="26">
                        <c:v>4.51963868973505</c:v>
                      </c:pt>
                      <c:pt idx="27">
                        <c:v>4.0697929850481938</c:v>
                      </c:pt>
                      <c:pt idx="28">
                        <c:v>3.6511313336290407</c:v>
                      </c:pt>
                      <c:pt idx="29">
                        <c:v>3.2633486061711601</c:v>
                      </c:pt>
                      <c:pt idx="30">
                        <c:v>2.9058598066722436</c:v>
                      </c:pt>
                      <c:pt idx="31">
                        <c:v>2.5778358972981237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'pc20'!$F$8:$F$39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19.5</c:v>
                      </c:pt>
                      <c:pt idx="1">
                        <c:v>23.706181309727043</c:v>
                      </c:pt>
                      <c:pt idx="2">
                        <c:v>23.154276258301191</c:v>
                      </c:pt>
                      <c:pt idx="3">
                        <c:v>22.539249550872185</c:v>
                      </c:pt>
                      <c:pt idx="4">
                        <c:v>21.866606606757287</c:v>
                      </c:pt>
                      <c:pt idx="5">
                        <c:v>21.142291800420093</c:v>
                      </c:pt>
                      <c:pt idx="6">
                        <c:v>20.372600226709892</c:v>
                      </c:pt>
                      <c:pt idx="7">
                        <c:v>19.564085766625059</c:v>
                      </c:pt>
                      <c:pt idx="8">
                        <c:v>18.723467349579259</c:v>
                      </c:pt>
                      <c:pt idx="9">
                        <c:v>17.8575353054304</c:v>
                      </c:pt>
                      <c:pt idx="10">
                        <c:v>16.973059647181802</c:v>
                      </c:pt>
                      <c:pt idx="11">
                        <c:v>16.076702025983739</c:v>
                      </c:pt>
                      <c:pt idx="12">
                        <c:v>15.174932958030197</c:v>
                      </c:pt>
                      <c:pt idx="13">
                        <c:v>14.273955743630045</c:v>
                      </c:pt>
                      <c:pt idx="14">
                        <c:v>13.379638288664061</c:v>
                      </c:pt>
                      <c:pt idx="15">
                        <c:v>12.497453805142205</c:v>
                      </c:pt>
                      <c:pt idx="16">
                        <c:v>11.63243111847375</c:v>
                      </c:pt>
                      <c:pt idx="17">
                        <c:v>10.789115052383197</c:v>
                      </c:pt>
                      <c:pt idx="18">
                        <c:v>9.9715371060770153</c:v>
                      </c:pt>
                      <c:pt idx="19">
                        <c:v>9.1831963898421716</c:v>
                      </c:pt>
                      <c:pt idx="20">
                        <c:v>8.4270505516555723</c:v>
                      </c:pt>
                      <c:pt idx="21">
                        <c:v>7.7055162146706824</c:v>
                      </c:pt>
                      <c:pt idx="22">
                        <c:v>7.0204782586647223</c:v>
                      </c:pt>
                      <c:pt idx="23">
                        <c:v>6.3733071215681063</c:v>
                      </c:pt>
                      <c:pt idx="24">
                        <c:v>5.7648831727258099</c:v>
                      </c:pt>
                      <c:pt idx="25">
                        <c:v>5.1956271189849863</c:v>
                      </c:pt>
                      <c:pt idx="26">
                        <c:v>4.6655353482796196</c:v>
                      </c:pt>
                      <c:pt idx="27">
                        <c:v>4.1742190921709721</c:v>
                      </c:pt>
                      <c:pt idx="28">
                        <c:v>3.7209462968618601</c:v>
                      </c:pt>
                      <c:pt idx="29">
                        <c:v>3.3046851287205001</c:v>
                      </c:pt>
                      <c:pt idx="30">
                        <c:v>2.9241481018108053</c:v>
                      </c:pt>
                      <c:pt idx="31">
                        <c:v>2.5778358972981237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4196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2248"/>
        <c:crosses val="autoZero"/>
        <c:auto val="1"/>
        <c:lblAlgn val="ctr"/>
        <c:lblOffset val="100"/>
        <c:noMultiLvlLbl val="0"/>
      </c:catAx>
      <c:valAx>
        <c:axId val="441962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 t</a:t>
                </a:r>
              </a:p>
            </c:rich>
          </c:tx>
          <c:layout/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41968912"/>
        <c:crosses val="autoZero"/>
        <c:crossBetween val="midCat"/>
      </c:valAx>
    </c:plotArea>
    <c:legend>
      <c:legendPos val="t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C emission pathways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125900929050535"/>
          <c:y val="0.17561609229428732"/>
          <c:w val="0.62953443319585056"/>
          <c:h val="0.70480519903503247"/>
        </c:manualLayout>
      </c:layout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RF!$I$9:$I$40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1.2247591461788552</c:v>
                </c:pt>
                <c:pt idx="2">
                  <c:v>1.2213847938364679</c:v>
                </c:pt>
                <c:pt idx="3">
                  <c:v>1.2176245151336695</c:v>
                </c:pt>
                <c:pt idx="4">
                  <c:v>1.2135119702526249</c:v>
                </c:pt>
                <c:pt idx="5">
                  <c:v>1.2090835031511276</c:v>
                </c:pt>
                <c:pt idx="6">
                  <c:v>1.2043776020944974</c:v>
                </c:pt>
                <c:pt idx="7">
                  <c:v>1.1994343375688468</c:v>
                </c:pt>
                <c:pt idx="8">
                  <c:v>1.1942947891677516</c:v>
                </c:pt>
                <c:pt idx="9">
                  <c:v>1.189000473027733</c:v>
                </c:pt>
                <c:pt idx="10">
                  <c:v>1.1835927810678846</c:v>
                </c:pt>
                <c:pt idx="11">
                  <c:v>1.178112442681976</c:v>
                </c:pt>
                <c:pt idx="12">
                  <c:v>1.1725990186629716</c:v>
                </c:pt>
                <c:pt idx="13">
                  <c:v>1.1670904360435628</c:v>
                </c:pt>
                <c:pt idx="14">
                  <c:v>1.161622571251955</c:v>
                </c:pt>
                <c:pt idx="15">
                  <c:v>1.156228887554553</c:v>
                </c:pt>
                <c:pt idx="16">
                  <c:v>1.150940131234174</c:v>
                </c:pt>
                <c:pt idx="17">
                  <c:v>1.1457840893830742</c:v>
                </c:pt>
                <c:pt idx="18">
                  <c:v>1.1407854106228876</c:v>
                </c:pt>
                <c:pt idx="19">
                  <c:v>1.1359654885447084</c:v>
                </c:pt>
                <c:pt idx="20">
                  <c:v>1.1313424062343016</c:v>
                </c:pt>
                <c:pt idx="21">
                  <c:v>1.1269309389468987</c:v>
                </c:pt>
                <c:pt idx="22">
                  <c:v>1.1227426108540488</c:v>
                </c:pt>
                <c:pt idx="23">
                  <c:v>1.1187858008253213</c:v>
                </c:pt>
                <c:pt idx="24">
                  <c:v>1.1150658914466407</c:v>
                </c:pt>
                <c:pt idx="25">
                  <c:v>1.1115854549233732</c:v>
                </c:pt>
                <c:pt idx="26">
                  <c:v>1.108344469171316</c:v>
                </c:pt>
                <c:pt idx="27">
                  <c:v>1.1053405572568122</c:v>
                </c:pt>
                <c:pt idx="28">
                  <c:v>1.1025692433965022</c:v>
                </c:pt>
                <c:pt idx="29">
                  <c:v>1.1000242189504787</c:v>
                </c:pt>
                <c:pt idx="30">
                  <c:v>1.0976976122183963</c:v>
                </c:pt>
                <c:pt idx="31">
                  <c:v>1.0955802563517025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'C&amp;C-exp'!$I$11:$I$42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1.3880384695447761</c:v>
                </c:pt>
                <c:pt idx="2">
                  <c:v>1.5568836003390056</c:v>
                </c:pt>
                <c:pt idx="3">
                  <c:v>1.7330337548617245</c:v>
                </c:pt>
                <c:pt idx="4">
                  <c:v>1.9149143082875297</c:v>
                </c:pt>
                <c:pt idx="5">
                  <c:v>2.1005674819755003</c:v>
                </c:pt>
                <c:pt idx="6">
                  <c:v>2.2876332350415041</c:v>
                </c:pt>
                <c:pt idx="7">
                  <c:v>2.4733419864657837</c:v>
                </c:pt>
                <c:pt idx="8">
                  <c:v>2.6545234764414709</c:v>
                </c:pt>
                <c:pt idx="9">
                  <c:v>2.8276366157008708</c:v>
                </c:pt>
                <c:pt idx="10">
                  <c:v>2.9888254881878518</c:v>
                </c:pt>
                <c:pt idx="11">
                  <c:v>3.1340065898549909</c:v>
                </c:pt>
                <c:pt idx="12">
                  <c:v>3.2589916756772945</c:v>
                </c:pt>
                <c:pt idx="13">
                  <c:v>3.3596489737544384</c:v>
                </c:pt>
                <c:pt idx="14">
                  <c:v>3.4321027159141289</c:v>
                </c:pt>
                <c:pt idx="15">
                  <c:v>3.4729666710305764</c:v>
                </c:pt>
                <c:pt idx="16">
                  <c:v>3.4796015245221721</c:v>
                </c:pt>
                <c:pt idx="17">
                  <c:v>3.4503786734015809</c:v>
                </c:pt>
                <c:pt idx="18">
                  <c:v>3.3849249068570115</c:v>
                </c:pt>
                <c:pt idx="19">
                  <c:v>3.2843147762920792</c:v>
                </c:pt>
                <c:pt idx="20">
                  <c:v>3.1511722714453811</c:v>
                </c:pt>
                <c:pt idx="21">
                  <c:v>2.9896434907215901</c:v>
                </c:pt>
                <c:pt idx="22">
                  <c:v>2.8052104259280619</c:v>
                </c:pt>
                <c:pt idx="23">
                  <c:v>2.6043352471819059</c:v>
                </c:pt>
                <c:pt idx="24">
                  <c:v>2.3939548698569415</c:v>
                </c:pt>
                <c:pt idx="25">
                  <c:v>2.1808833499793852</c:v>
                </c:pt>
                <c:pt idx="26">
                  <c:v>1.9712155604768318</c:v>
                </c:pt>
                <c:pt idx="27">
                  <c:v>1.7698454711467635</c:v>
                </c:pt>
                <c:pt idx="28">
                  <c:v>1.5802011447753903</c:v>
                </c:pt>
                <c:pt idx="29">
                  <c:v>1.4042485601588228</c:v>
                </c:pt>
                <c:pt idx="30">
                  <c:v>1.24273695510531</c:v>
                </c:pt>
                <c:pt idx="31">
                  <c:v>1.0955802563517028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'C&amp;C-lin'!$I$8:$I$39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1.48935515596802</c:v>
                </c:pt>
                <c:pt idx="2">
                  <c:v>1.9957062924807036</c:v>
                </c:pt>
                <c:pt idx="3">
                  <c:v>2.6817107723376541</c:v>
                </c:pt>
                <c:pt idx="4">
                  <c:v>3.465115835368676</c:v>
                </c:pt>
                <c:pt idx="5">
                  <c:v>4.2592296425411504</c:v>
                </c:pt>
                <c:pt idx="6">
                  <c:v>4.9856260588803289</c:v>
                </c:pt>
                <c:pt idx="7">
                  <c:v>5.5841776609268319</c:v>
                </c:pt>
                <c:pt idx="8">
                  <c:v>6.0186228095873817</c:v>
                </c:pt>
                <c:pt idx="9">
                  <c:v>6.2771298685772834</c:v>
                </c:pt>
                <c:pt idx="10">
                  <c:v>6.3685890060440338</c:v>
                </c:pt>
                <c:pt idx="11">
                  <c:v>6.3162509929018933</c:v>
                </c:pt>
                <c:pt idx="12">
                  <c:v>6.150626924733424</c:v>
                </c:pt>
                <c:pt idx="13">
                  <c:v>5.9032793158935508</c:v>
                </c:pt>
                <c:pt idx="14">
                  <c:v>5.6024815483166268</c:v>
                </c:pt>
                <c:pt idx="15">
                  <c:v>5.2709868395239488</c:v>
                </c:pt>
                <c:pt idx="16">
                  <c:v>4.9255739235134808</c:v>
                </c:pt>
                <c:pt idx="17">
                  <c:v>4.5777465245025324</c:v>
                </c:pt>
                <c:pt idx="18">
                  <c:v>4.2349470761908421</c:v>
                </c:pt>
                <c:pt idx="19">
                  <c:v>3.901804602506219</c:v>
                </c:pt>
                <c:pt idx="20">
                  <c:v>3.5811533242251392</c:v>
                </c:pt>
                <c:pt idx="21">
                  <c:v>3.2747431723861498</c:v>
                </c:pt>
                <c:pt idx="22">
                  <c:v>2.9836764863079113</c:v>
                </c:pt>
                <c:pt idx="23">
                  <c:v>2.7086492542683946</c:v>
                </c:pt>
                <c:pt idx="24">
                  <c:v>2.450074067271331</c:v>
                </c:pt>
                <c:pt idx="25">
                  <c:v>2.2081413020917173</c:v>
                </c:pt>
                <c:pt idx="26">
                  <c:v>1.9828524906516882</c:v>
                </c:pt>
                <c:pt idx="27">
                  <c:v>1.7740431104360641</c:v>
                </c:pt>
                <c:pt idx="28">
                  <c:v>1.5814021758439509</c:v>
                </c:pt>
                <c:pt idx="29">
                  <c:v>1.4044911796877431</c:v>
                </c:pt>
                <c:pt idx="30">
                  <c:v>1.2427629432690652</c:v>
                </c:pt>
                <c:pt idx="31">
                  <c:v>1.0955802563517028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8"/>
          <c:order val="4"/>
          <c:tx>
            <c:strRef>
              <c:f>comparison!$B$45</c:f>
              <c:strCache>
                <c:ptCount val="1"/>
                <c:pt idx="0">
                  <c:v>LIMITS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LIMITS!$I$8:$I$39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1.48935515596802</c:v>
                </c:pt>
                <c:pt idx="2">
                  <c:v>1.7342109219041266</c:v>
                </c:pt>
                <c:pt idx="3">
                  <c:v>1.9602512365936822</c:v>
                </c:pt>
                <c:pt idx="4">
                  <c:v>2.1657352687568241</c:v>
                </c:pt>
                <c:pt idx="5">
                  <c:v>2.3492368181000645</c:v>
                </c:pt>
                <c:pt idx="6">
                  <c:v>2.5096599422381551</c:v>
                </c:pt>
                <c:pt idx="7">
                  <c:v>2.646247691948814</c:v>
                </c:pt>
                <c:pt idx="8">
                  <c:v>2.7585839214675452</c:v>
                </c:pt>
                <c:pt idx="9">
                  <c:v>2.8465883232097</c:v>
                </c:pt>
                <c:pt idx="10">
                  <c:v>2.9105050101807275</c:v>
                </c:pt>
                <c:pt idx="11">
                  <c:v>2.9508851289071729</c:v>
                </c:pt>
                <c:pt idx="12">
                  <c:v>2.9685641261421849</c:v>
                </c:pt>
                <c:pt idx="13">
                  <c:v>2.9646344098448711</c:v>
                </c:pt>
                <c:pt idx="14">
                  <c:v>2.9404142359370584</c:v>
                </c:pt>
                <c:pt idx="15">
                  <c:v>2.8974137150889794</c:v>
                </c:pt>
                <c:pt idx="16">
                  <c:v>2.8372988673572404</c:v>
                </c:pt>
                <c:pt idx="17">
                  <c:v>2.7618546570648999</c:v>
                </c:pt>
                <c:pt idx="18">
                  <c:v>2.6729479170854358</c:v>
                </c:pt>
                <c:pt idx="19">
                  <c:v>2.5724910228277929</c:v>
                </c:pt>
                <c:pt idx="20">
                  <c:v>2.4624071046944045</c:v>
                </c:pt>
                <c:pt idx="21">
                  <c:v>2.344597497233321</c:v>
                </c:pt>
                <c:pt idx="22">
                  <c:v>2.2209120177460533</c:v>
                </c:pt>
                <c:pt idx="23">
                  <c:v>2.0931225511526277</c:v>
                </c:pt>
                <c:pt idx="24">
                  <c:v>1.96290029596351</c:v>
                </c:pt>
                <c:pt idx="25">
                  <c:v>1.8317969026898953</c:v>
                </c:pt>
                <c:pt idx="26">
                  <c:v>1.7012296151123476</c:v>
                </c:pt>
                <c:pt idx="27">
                  <c:v>1.5724704102968761</c:v>
                </c:pt>
                <c:pt idx="28">
                  <c:v>1.446639028352285</c:v>
                </c:pt>
                <c:pt idx="29">
                  <c:v>1.3246996903107859</c:v>
                </c:pt>
                <c:pt idx="30">
                  <c:v>1.2074612241695597</c:v>
                </c:pt>
                <c:pt idx="31">
                  <c:v>1.0955802563517028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6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'SPM-eq'!$I$11:$I$42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1.2397280559859212</c:v>
                </c:pt>
                <c:pt idx="2">
                  <c:v>1.26270399098388</c:v>
                </c:pt>
                <c:pt idx="3">
                  <c:v>1.2841527113546647</c:v>
                </c:pt>
                <c:pt idx="4">
                  <c:v>1.3041285570104719</c:v>
                </c:pt>
                <c:pt idx="5">
                  <c:v>1.3226842520956836</c:v>
                </c:pt>
                <c:pt idx="6">
                  <c:v>1.3398709490343492</c:v>
                </c:pt>
                <c:pt idx="7">
                  <c:v>1.3557382714355981</c:v>
                </c:pt>
                <c:pt idx="8">
                  <c:v>1.3703343558887013</c:v>
                </c:pt>
                <c:pt idx="9">
                  <c:v>1.3837058926726229</c:v>
                </c:pt>
                <c:pt idx="10">
                  <c:v>1.3958981654093634</c:v>
                </c:pt>
                <c:pt idx="11">
                  <c:v>1.4069550896863063</c:v>
                </c:pt>
                <c:pt idx="12">
                  <c:v>1.4169192506745389</c:v>
                </c:pt>
                <c:pt idx="13">
                  <c:v>1.4258319397667663</c:v>
                </c:pt>
                <c:pt idx="14">
                  <c:v>1.4337331902616484</c:v>
                </c:pt>
                <c:pt idx="15">
                  <c:v>1.4406618121162182</c:v>
                </c:pt>
                <c:pt idx="16">
                  <c:v>1.4466554257915618</c:v>
                </c:pt>
                <c:pt idx="17">
                  <c:v>1.4517504952135027</c:v>
                </c:pt>
                <c:pt idx="18">
                  <c:v>1.4559823598716832</c:v>
                </c:pt>
                <c:pt idx="19">
                  <c:v>1.4593852660772484</c:v>
                </c:pt>
                <c:pt idx="20">
                  <c:v>1.461992397401616</c:v>
                </c:pt>
                <c:pt idx="21">
                  <c:v>1.4638359043167384</c:v>
                </c:pt>
                <c:pt idx="22">
                  <c:v>1.4649469330565807</c:v>
                </c:pt>
                <c:pt idx="23">
                  <c:v>1.4653556537197403</c:v>
                </c:pt>
                <c:pt idx="24">
                  <c:v>1.4650912876327595</c:v>
                </c:pt>
                <c:pt idx="25">
                  <c:v>1.4641821339920682</c:v>
                </c:pt>
                <c:pt idx="26">
                  <c:v>1.4626555958038239</c:v>
                </c:pt>
                <c:pt idx="27">
                  <c:v>1.4605382051382776</c:v>
                </c:pt>
                <c:pt idx="28">
                  <c:v>1.4578556477170537</c:v>
                </c:pt>
                <c:pt idx="29">
                  <c:v>1.4546327868498992</c:v>
                </c:pt>
                <c:pt idx="30">
                  <c:v>1.450893686737345</c:v>
                </c:pt>
                <c:pt idx="31">
                  <c:v>1.4466616351549391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'SPM-in'!$I$11:$I$42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1.2356653493811827</c:v>
                </c:pt>
                <c:pt idx="2">
                  <c:v>1.2362760275915718</c:v>
                </c:pt>
                <c:pt idx="3">
                  <c:v>1.2180257831567864</c:v>
                </c:pt>
                <c:pt idx="4">
                  <c:v>1.1855471721172659</c:v>
                </c:pt>
                <c:pt idx="5">
                  <c:v>1.1426182414787203</c:v>
                </c:pt>
                <c:pt idx="6">
                  <c:v>1.0923026829132656</c:v>
                </c:pt>
                <c:pt idx="7">
                  <c:v>1.0370684327733741</c:v>
                </c:pt>
                <c:pt idx="8">
                  <c:v>0.97888790070096121</c:v>
                </c:pt>
                <c:pt idx="9">
                  <c:v>0.91932255230190663</c:v>
                </c:pt>
                <c:pt idx="10">
                  <c:v>0.85959417878144961</c:v>
                </c:pt>
                <c:pt idx="11">
                  <c:v>0.80064484920769274</c:v>
                </c:pt>
                <c:pt idx="12">
                  <c:v>0.74318725151077913</c:v>
                </c:pt>
                <c:pt idx="13">
                  <c:v>0.68774687980996152</c:v>
                </c:pt>
                <c:pt idx="14">
                  <c:v>0.63469731247250039</c:v>
                </c:pt>
                <c:pt idx="15">
                  <c:v>0.58428964251602977</c:v>
                </c:pt>
                <c:pt idx="16">
                  <c:v>0.53667696531722164</c:v>
                </c:pt>
                <c:pt idx="17">
                  <c:v>0.49193469441826299</c:v>
                </c:pt>
                <c:pt idx="18">
                  <c:v>0.45007736136835153</c:v>
                </c:pt>
                <c:pt idx="19">
                  <c:v>0.41107245727848829</c:v>
                </c:pt>
                <c:pt idx="20">
                  <c:v>0.37485178975851996</c:v>
                </c:pt>
                <c:pt idx="21">
                  <c:v>0.34132075712714816</c:v>
                </c:pt>
                <c:pt idx="22">
                  <c:v>0.31036588049987124</c:v>
                </c:pt>
                <c:pt idx="23">
                  <c:v>0.28186088207164151</c:v>
                </c:pt>
                <c:pt idx="24">
                  <c:v>0.25567155333374103</c:v>
                </c:pt>
                <c:pt idx="25">
                  <c:v>0.23165961899211229</c:v>
                </c:pt>
                <c:pt idx="26">
                  <c:v>0.20968577003666677</c:v>
                </c:pt>
                <c:pt idx="27">
                  <c:v>0.18961201193122723</c:v>
                </c:pt>
                <c:pt idx="28">
                  <c:v>0.17130345055040808</c:v>
                </c:pt>
                <c:pt idx="29">
                  <c:v>0.15462961868118752</c:v>
                </c:pt>
                <c:pt idx="30">
                  <c:v>0.13946542911638971</c:v>
                </c:pt>
                <c:pt idx="31">
                  <c:v>0.12569182615234231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EPM!$AK$19:$AK$50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1.2277171013052595</c:v>
                </c:pt>
                <c:pt idx="2">
                  <c:v>1.2277171013052595</c:v>
                </c:pt>
                <c:pt idx="3">
                  <c:v>1.2277171013052595</c:v>
                </c:pt>
                <c:pt idx="4">
                  <c:v>1.2277171013052595</c:v>
                </c:pt>
                <c:pt idx="5">
                  <c:v>1.2277171013052595</c:v>
                </c:pt>
                <c:pt idx="6">
                  <c:v>1.2277171013052595</c:v>
                </c:pt>
                <c:pt idx="7">
                  <c:v>1.2277171013052595</c:v>
                </c:pt>
                <c:pt idx="8">
                  <c:v>1.2277171013052595</c:v>
                </c:pt>
                <c:pt idx="9">
                  <c:v>1.2277171013052595</c:v>
                </c:pt>
                <c:pt idx="10">
                  <c:v>1.2277171013052588</c:v>
                </c:pt>
                <c:pt idx="11">
                  <c:v>1.2277171013052572</c:v>
                </c:pt>
                <c:pt idx="12">
                  <c:v>1.2277171013051404</c:v>
                </c:pt>
                <c:pt idx="13">
                  <c:v>1.2277171013006691</c:v>
                </c:pt>
                <c:pt idx="14">
                  <c:v>1.2277171011881314</c:v>
                </c:pt>
                <c:pt idx="15">
                  <c:v>1.2277170993082547</c:v>
                </c:pt>
                <c:pt idx="16">
                  <c:v>1.2277170756744706</c:v>
                </c:pt>
                <c:pt idx="17">
                  <c:v>1.2277168567187806</c:v>
                </c:pt>
                <c:pt idx="18">
                  <c:v>1.2277152729638514</c:v>
                </c:pt>
                <c:pt idx="19">
                  <c:v>1.2277062801573242</c:v>
                </c:pt>
                <c:pt idx="20">
                  <c:v>1.2276641097234251</c:v>
                </c:pt>
                <c:pt idx="21">
                  <c:v>1.227500387387046</c:v>
                </c:pt>
                <c:pt idx="22">
                  <c:v>1.2269649203091124</c:v>
                </c:pt>
                <c:pt idx="23">
                  <c:v>1.2254589345979605</c:v>
                </c:pt>
                <c:pt idx="24">
                  <c:v>1.2217594216608962</c:v>
                </c:pt>
                <c:pt idx="25">
                  <c:v>1.2139999274376962</c:v>
                </c:pt>
                <c:pt idx="26">
                  <c:v>1.1997623741307073</c:v>
                </c:pt>
                <c:pt idx="27">
                  <c:v>1.174988819083213</c:v>
                </c:pt>
                <c:pt idx="28">
                  <c:v>1.1375574588313613</c:v>
                </c:pt>
                <c:pt idx="29">
                  <c:v>1.0877829668888401</c:v>
                </c:pt>
                <c:pt idx="30">
                  <c:v>1.0252623422205887</c:v>
                </c:pt>
                <c:pt idx="31">
                  <c:v>0.95244071796825802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CDC!$AA$12:$AA$43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1.2522714433313646</c:v>
                </c:pt>
                <c:pt idx="2">
                  <c:v>1.2773168721979919</c:v>
                </c:pt>
                <c:pt idx="3">
                  <c:v>1.3028632096419519</c:v>
                </c:pt>
                <c:pt idx="4">
                  <c:v>1.3289204738347911</c:v>
                </c:pt>
                <c:pt idx="5">
                  <c:v>1.3554988833114869</c:v>
                </c:pt>
                <c:pt idx="6">
                  <c:v>1.3826088609777167</c:v>
                </c:pt>
                <c:pt idx="7">
                  <c:v>1.4102610381972711</c:v>
                </c:pt>
                <c:pt idx="8">
                  <c:v>1.4384662589612165</c:v>
                </c:pt>
                <c:pt idx="9">
                  <c:v>1.4672355841404408</c:v>
                </c:pt>
                <c:pt idx="10">
                  <c:v>1.4965802958232497</c:v>
                </c:pt>
                <c:pt idx="11">
                  <c:v>1.5265119017397146</c:v>
                </c:pt>
                <c:pt idx="12">
                  <c:v>1.5570421397745089</c:v>
                </c:pt>
                <c:pt idx="13">
                  <c:v>1.5881829825699991</c:v>
                </c:pt>
                <c:pt idx="14">
                  <c:v>1.6199466422213991</c:v>
                </c:pt>
                <c:pt idx="15">
                  <c:v>1.6523455750658271</c:v>
                </c:pt>
                <c:pt idx="16">
                  <c:v>1.6853924865671437</c:v>
                </c:pt>
                <c:pt idx="17">
                  <c:v>1.7191003362984867</c:v>
                </c:pt>
                <c:pt idx="18">
                  <c:v>1.7534823430244564</c:v>
                </c:pt>
                <c:pt idx="19">
                  <c:v>1.7885519898849456</c:v>
                </c:pt>
                <c:pt idx="20">
                  <c:v>1.8243230296826445</c:v>
                </c:pt>
                <c:pt idx="21">
                  <c:v>1.8608094902762975</c:v>
                </c:pt>
                <c:pt idx="22">
                  <c:v>1.8980256800818234</c:v>
                </c:pt>
                <c:pt idx="23">
                  <c:v>1.9359861936834599</c:v>
                </c:pt>
                <c:pt idx="24">
                  <c:v>1.9747059175571291</c:v>
                </c:pt>
                <c:pt idx="25">
                  <c:v>2.0142000359082717</c:v>
                </c:pt>
                <c:pt idx="26">
                  <c:v>1.9000557179601085</c:v>
                </c:pt>
                <c:pt idx="27">
                  <c:v>1.7441769502087423</c:v>
                </c:pt>
                <c:pt idx="28">
                  <c:v>1.5728568567512942</c:v>
                </c:pt>
                <c:pt idx="29">
                  <c:v>1.4027649454508244</c:v>
                </c:pt>
                <c:pt idx="30">
                  <c:v>1.2425780378903617</c:v>
                </c:pt>
                <c:pt idx="31">
                  <c:v>1.0955802563517028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'SPM-spk'!$I$11:$I$42</c:f>
              <c:numCache>
                <c:formatCode>#,##0.0</c:formatCode>
                <c:ptCount val="32"/>
                <c:pt idx="0">
                  <c:v>1.2277171013052595</c:v>
                </c:pt>
                <c:pt idx="1">
                  <c:v>1.2394923721104334</c:v>
                </c:pt>
                <c:pt idx="2">
                  <c:v>1.2610930543153955</c:v>
                </c:pt>
                <c:pt idx="3">
                  <c:v>1.2798951813680191</c:v>
                </c:pt>
                <c:pt idx="4">
                  <c:v>1.2960607035590357</c:v>
                </c:pt>
                <c:pt idx="5">
                  <c:v>1.3097439045035912</c:v>
                </c:pt>
                <c:pt idx="6">
                  <c:v>1.3210917316294797</c:v>
                </c:pt>
                <c:pt idx="7">
                  <c:v>1.3302441131734497</c:v>
                </c:pt>
                <c:pt idx="8">
                  <c:v>1.3373342622177375</c:v>
                </c:pt>
                <c:pt idx="9">
                  <c:v>1.3424889682776069</c:v>
                </c:pt>
                <c:pt idx="10">
                  <c:v>1.3458288769310798</c:v>
                </c:pt>
                <c:pt idx="11">
                  <c:v>1.3474687579638669</c:v>
                </c:pt>
                <c:pt idx="12">
                  <c:v>1.347517762483605</c:v>
                </c:pt>
                <c:pt idx="13">
                  <c:v>1.3460796694398169</c:v>
                </c:pt>
                <c:pt idx="14">
                  <c:v>1.3432531219704344</c:v>
                </c:pt>
                <c:pt idx="15">
                  <c:v>1.3391318539776762</c:v>
                </c:pt>
                <c:pt idx="16">
                  <c:v>1.3338049073222038</c:v>
                </c:pt>
                <c:pt idx="17">
                  <c:v>1.327356840008278</c:v>
                </c:pt>
                <c:pt idx="18">
                  <c:v>1.3198679257189951</c:v>
                </c:pt>
                <c:pt idx="19">
                  <c:v>1.311414345045975</c:v>
                </c:pt>
                <c:pt idx="20">
                  <c:v>1.3020683687454806</c:v>
                </c:pt>
                <c:pt idx="21">
                  <c:v>1.2918985333391788</c:v>
                </c:pt>
                <c:pt idx="22">
                  <c:v>1.2809698093664394</c:v>
                </c:pt>
                <c:pt idx="23">
                  <c:v>1.2693437625814283</c:v>
                </c:pt>
                <c:pt idx="24">
                  <c:v>1.2570787083791402</c:v>
                </c:pt>
                <c:pt idx="25">
                  <c:v>1.2442298597214574</c:v>
                </c:pt>
                <c:pt idx="26">
                  <c:v>1.2308494688250704</c:v>
                </c:pt>
                <c:pt idx="27">
                  <c:v>1.2169869628617462</c:v>
                </c:pt>
                <c:pt idx="28">
                  <c:v>1.2026890739131915</c:v>
                </c:pt>
                <c:pt idx="29">
                  <c:v>1.1879999634115563</c:v>
                </c:pt>
                <c:pt idx="30">
                  <c:v>1.1729613412889393</c:v>
                </c:pt>
                <c:pt idx="31">
                  <c:v>1.1576125800499923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962640"/>
        <c:axId val="441964600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GQWF!$I$21:$I$52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1.2277171013052595</c:v>
                      </c:pt>
                      <c:pt idx="1">
                        <c:v>1.5580413311733476</c:v>
                      </c:pt>
                      <c:pt idx="2">
                        <c:v>1.8639126257101084</c:v>
                      </c:pt>
                      <c:pt idx="3">
                        <c:v>2.1431055523343301</c:v>
                      </c:pt>
                      <c:pt idx="4">
                        <c:v>2.3938175900085046</c:v>
                      </c:pt>
                      <c:pt idx="5">
                        <c:v>2.6146863059832035</c:v>
                      </c:pt>
                      <c:pt idx="6">
                        <c:v>2.8047973096356049</c:v>
                      </c:pt>
                      <c:pt idx="7">
                        <c:v>2.963683062445357</c:v>
                      </c:pt>
                      <c:pt idx="8">
                        <c:v>3.0913128624021775</c:v>
                      </c:pt>
                      <c:pt idx="9">
                        <c:v>3.1880745442847709</c:v>
                      </c:pt>
                      <c:pt idx="10">
                        <c:v>3.2547486373704499</c:v>
                      </c:pt>
                      <c:pt idx="11">
                        <c:v>3.2924758933351335</c:v>
                      </c:pt>
                      <c:pt idx="12">
                        <c:v>3.302719234720167</c:v>
                      </c:pt>
                      <c:pt idx="13">
                        <c:v>3.2872212750894527</c:v>
                      </c:pt>
                      <c:pt idx="14">
                        <c:v>3.2479586240525178</c:v>
                      </c:pt>
                      <c:pt idx="15">
                        <c:v>3.1870942133405546</c:v>
                      </c:pt>
                      <c:pt idx="16">
                        <c:v>3.1069288651804858</c:v>
                      </c:pt>
                      <c:pt idx="17">
                        <c:v>3.0098532737318222</c:v>
                      </c:pt>
                      <c:pt idx="18">
                        <c:v>2.8983014879170459</c:v>
                      </c:pt>
                      <c:pt idx="19">
                        <c:v>2.7747068741417724</c:v>
                      </c:pt>
                      <c:pt idx="20">
                        <c:v>2.6414614054558787</c:v>
                      </c:pt>
                      <c:pt idx="21">
                        <c:v>2.5008789754256098</c:v>
                      </c:pt>
                      <c:pt idx="22">
                        <c:v>2.3551632763708694</c:v>
                      </c:pt>
                      <c:pt idx="23">
                        <c:v>2.2063806186471697</c:v>
                      </c:pt>
                      <c:pt idx="24">
                        <c:v>2.0564379060329423</c:v>
                      </c:pt>
                      <c:pt idx="25">
                        <c:v>1.90706582726564</c:v>
                      </c:pt>
                      <c:pt idx="26">
                        <c:v>1.7598071799568977</c:v>
                      </c:pt>
                      <c:pt idx="27">
                        <c:v>1.6160101143340466</c:v>
                      </c:pt>
                      <c:pt idx="28">
                        <c:v>1.4768259734626226</c:v>
                      </c:pt>
                      <c:pt idx="29">
                        <c:v>1.3432113158505252</c:v>
                      </c:pt>
                      <c:pt idx="30">
                        <c:v>1.2159336367535676</c:v>
                      </c:pt>
                      <c:pt idx="31">
                        <c:v>1.0955802563517028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'pc20'!$I$8:$I$39</c15:sqref>
                        </c15:formulaRef>
                      </c:ext>
                    </c:extLst>
                    <c:numCache>
                      <c:formatCode>#,##0.0</c:formatCode>
                      <c:ptCount val="32"/>
                      <c:pt idx="0">
                        <c:v>1.2277171013052595</c:v>
                      </c:pt>
                      <c:pt idx="1">
                        <c:v>10.075127056633995</c:v>
                      </c:pt>
                      <c:pt idx="2">
                        <c:v>9.8405674097780071</c:v>
                      </c:pt>
                      <c:pt idx="3">
                        <c:v>9.5791810591206801</c:v>
                      </c:pt>
                      <c:pt idx="4">
                        <c:v>9.2933078078718481</c:v>
                      </c:pt>
                      <c:pt idx="5">
                        <c:v>8.9854740151785411</c:v>
                      </c:pt>
                      <c:pt idx="6">
                        <c:v>8.6583550963517038</c:v>
                      </c:pt>
                      <c:pt idx="7">
                        <c:v>8.3147364508156514</c:v>
                      </c:pt>
                      <c:pt idx="8">
                        <c:v>7.9574736235711869</c:v>
                      </c:pt>
                      <c:pt idx="9">
                        <c:v>7.5894525048079213</c:v>
                      </c:pt>
                      <c:pt idx="10">
                        <c:v>7.213550350052266</c:v>
                      </c:pt>
                      <c:pt idx="11">
                        <c:v>6.8325983610430896</c:v>
                      </c:pt>
                      <c:pt idx="12">
                        <c:v>6.4493465071628346</c:v>
                      </c:pt>
                      <c:pt idx="13">
                        <c:v>6.0664311910427697</c:v>
                      </c:pt>
                      <c:pt idx="14">
                        <c:v>5.6863462726822265</c:v>
                      </c:pt>
                      <c:pt idx="15">
                        <c:v>5.3114178671854377</c:v>
                      </c:pt>
                      <c:pt idx="16">
                        <c:v>4.9437832253513445</c:v>
                      </c:pt>
                      <c:pt idx="17">
                        <c:v>4.5853738972628593</c:v>
                      </c:pt>
                      <c:pt idx="18">
                        <c:v>4.2379032700827324</c:v>
                      </c:pt>
                      <c:pt idx="19">
                        <c:v>3.9028584656829235</c:v>
                      </c:pt>
                      <c:pt idx="20">
                        <c:v>3.581496484453619</c:v>
                      </c:pt>
                      <c:pt idx="21">
                        <c:v>3.2748443912350407</c:v>
                      </c:pt>
                      <c:pt idx="22">
                        <c:v>2.9837032599325073</c:v>
                      </c:pt>
                      <c:pt idx="23">
                        <c:v>2.7086555266664454</c:v>
                      </c:pt>
                      <c:pt idx="24">
                        <c:v>2.4500753484084692</c:v>
                      </c:pt>
                      <c:pt idx="25">
                        <c:v>2.2081415255686192</c:v>
                      </c:pt>
                      <c:pt idx="26">
                        <c:v>1.9828525230188385</c:v>
                      </c:pt>
                      <c:pt idx="27">
                        <c:v>1.7740431141726634</c:v>
                      </c:pt>
                      <c:pt idx="28">
                        <c:v>1.5814021761662909</c:v>
                      </c:pt>
                      <c:pt idx="29">
                        <c:v>1.4044911797062127</c:v>
                      </c:pt>
                      <c:pt idx="30">
                        <c:v>1.2427629432695924</c:v>
                      </c:pt>
                      <c:pt idx="31">
                        <c:v>1.0955802563517028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4196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4600"/>
        <c:crosses val="autoZero"/>
        <c:auto val="1"/>
        <c:lblAlgn val="ctr"/>
        <c:lblOffset val="100"/>
        <c:tickLblSkip val="3"/>
        <c:noMultiLvlLbl val="0"/>
      </c:catAx>
      <c:valAx>
        <c:axId val="441964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 t</a:t>
                </a:r>
              </a:p>
            </c:rich>
          </c:tx>
          <c:layout/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41962640"/>
        <c:crosses val="autoZero"/>
        <c:crossBetween val="midCat"/>
      </c:valAx>
    </c:plotArea>
    <c:legend>
      <c:legendPos val="tr"/>
      <c:layout/>
      <c:overlay val="0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A per capita emissions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RF!$D$9:$D$40</c:f>
              <c:numCache>
                <c:formatCode>#,##0.00</c:formatCode>
                <c:ptCount val="32"/>
                <c:pt idx="0">
                  <c:v>17.5</c:v>
                </c:pt>
                <c:pt idx="1">
                  <c:v>17.122679548594181</c:v>
                </c:pt>
                <c:pt idx="2">
                  <c:v>16.692242948097345</c:v>
                </c:pt>
                <c:pt idx="3">
                  <c:v>16.212577098914466</c:v>
                </c:pt>
                <c:pt idx="4">
                  <c:v>15.687975735935458</c:v>
                </c:pt>
                <c:pt idx="5">
                  <c:v>15.123074939822354</c:v>
                </c:pt>
                <c:pt idx="6">
                  <c:v>14.522784321784066</c:v>
                </c:pt>
                <c:pt idx="7">
                  <c:v>13.892215323090626</c:v>
                </c:pt>
                <c:pt idx="8">
                  <c:v>13.236608108020885</c:v>
                </c:pt>
                <c:pt idx="9">
                  <c:v>12.561258526817086</c:v>
                </c:pt>
                <c:pt idx="10">
                  <c:v>11.871446584391196</c:v>
                </c:pt>
                <c:pt idx="11">
                  <c:v>11.17236777309722</c:v>
                </c:pt>
                <c:pt idx="12">
                  <c:v>10.469068517110484</c:v>
                </c:pt>
                <c:pt idx="13">
                  <c:v>9.7663868361046831</c:v>
                </c:pt>
                <c:pt idx="14">
                  <c:v>9.0688991720834427</c:v>
                </c:pt>
                <c:pt idx="15">
                  <c:v>8.3808741411162817</c:v>
                </c:pt>
                <c:pt idx="16">
                  <c:v>7.7062337774517866</c:v>
                </c:pt>
                <c:pt idx="17">
                  <c:v>7.0485226372935585</c:v>
                </c:pt>
                <c:pt idx="18">
                  <c:v>6.4108849296117025</c:v>
                </c:pt>
                <c:pt idx="19">
                  <c:v>5.7960496476140033</c:v>
                </c:pt>
                <c:pt idx="20">
                  <c:v>5.2063234923124577</c:v>
                </c:pt>
                <c:pt idx="21">
                  <c:v>4.6435912137237016</c:v>
                </c:pt>
                <c:pt idx="22">
                  <c:v>4.1093228495680929</c:v>
                </c:pt>
                <c:pt idx="23">
                  <c:v>3.6045872189159351</c:v>
                </c:pt>
                <c:pt idx="24">
                  <c:v>3.1300709311523978</c:v>
                </c:pt>
                <c:pt idx="25">
                  <c:v>2.6861021000076009</c:v>
                </c:pt>
                <c:pt idx="26">
                  <c:v>2.2726779083929691</c:v>
                </c:pt>
                <c:pt idx="27">
                  <c:v>1.8894951516816882</c:v>
                </c:pt>
                <c:pt idx="28">
                  <c:v>1.5359828933566448</c:v>
                </c:pt>
                <c:pt idx="29">
                  <c:v>1.2113363954296708</c:v>
                </c:pt>
                <c:pt idx="30">
                  <c:v>0.91455153397023869</c:v>
                </c:pt>
                <c:pt idx="31">
                  <c:v>0.64445897432453081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16.916123477881474</c:v>
                </c:pt>
                <c:pt idx="2">
                  <c:v>16.267821081498465</c:v>
                </c:pt>
                <c:pt idx="3">
                  <c:v>15.560560020618128</c:v>
                </c:pt>
                <c:pt idx="4">
                  <c:v>14.800668586771744</c:v>
                </c:pt>
                <c:pt idx="5">
                  <c:v>13.995305520073984</c:v>
                </c:pt>
                <c:pt idx="6">
                  <c:v>13.152414684610276</c:v>
                </c:pt>
                <c:pt idx="7">
                  <c:v>12.280661863763072</c:v>
                </c:pt>
                <c:pt idx="8">
                  <c:v>11.389349718118806</c:v>
                </c:pt>
                <c:pt idx="9">
                  <c:v>10.488306263291033</c:v>
                </c:pt>
                <c:pt idx="10">
                  <c:v>9.5877417832076066</c:v>
                </c:pt>
                <c:pt idx="11">
                  <c:v>8.6980691206913701</c:v>
                </c:pt>
                <c:pt idx="12">
                  <c:v>7.8296830743443238</c:v>
                </c:pt>
                <c:pt idx="13">
                  <c:v>6.9926965303076472</c:v>
                </c:pt>
                <c:pt idx="14">
                  <c:v>6.1966343461102689</c:v>
                </c:pt>
                <c:pt idx="15">
                  <c:v>5.4500912130535797</c:v>
                </c:pt>
                <c:pt idx="16">
                  <c:v>4.7603669187314726</c:v>
                </c:pt>
                <c:pt idx="17">
                  <c:v>4.1331014311814291</c:v>
                </c:pt>
                <c:pt idx="18">
                  <c:v>3.5719422703842194</c:v>
                </c:pt>
                <c:pt idx="19">
                  <c:v>3.0782861350775743</c:v>
                </c:pt>
                <c:pt idx="20">
                  <c:v>2.6511431310417253</c:v>
                </c:pt>
                <c:pt idx="21">
                  <c:v>2.2871716890080425</c:v>
                </c:pt>
                <c:pt idx="22">
                  <c:v>1.9809214462657736</c:v>
                </c:pt>
                <c:pt idx="23">
                  <c:v>1.7252968705527205</c:v>
                </c:pt>
                <c:pt idx="24">
                  <c:v>1.5122158542654676</c:v>
                </c:pt>
                <c:pt idx="25">
                  <c:v>1.333389661769778</c:v>
                </c:pt>
                <c:pt idx="26">
                  <c:v>1.1811051453663688</c:v>
                </c:pt>
                <c:pt idx="27">
                  <c:v>1.0488649901101017</c:v>
                </c:pt>
                <c:pt idx="28">
                  <c:v>0.93175593575979876</c:v>
                </c:pt>
                <c:pt idx="29">
                  <c:v>0.82647820738874223</c:v>
                </c:pt>
                <c:pt idx="30">
                  <c:v>0.7310699017103226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</c:strRef>
          </c:tx>
          <c:marker>
            <c:symbol val="none"/>
          </c:marker>
          <c:val>
            <c:numRef>
              <c:f>'C&amp;C lin'!#REF!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17.194273719442847</c:v>
                </c:pt>
                <c:pt idx="2">
                  <c:v>15.736525936850104</c:v>
                </c:pt>
                <c:pt idx="3">
                  <c:v>13.624451770239759</c:v>
                </c:pt>
                <c:pt idx="4">
                  <c:v>11.376361184285784</c:v>
                </c:pt>
                <c:pt idx="5">
                  <c:v>9.2600918103997767</c:v>
                </c:pt>
                <c:pt idx="6">
                  <c:v>7.3961633028935339</c:v>
                </c:pt>
                <c:pt idx="7">
                  <c:v>5.8217241158183253</c:v>
                </c:pt>
                <c:pt idx="8">
                  <c:v>4.5294891385089997</c:v>
                </c:pt>
                <c:pt idx="9">
                  <c:v>3.49088875230954</c:v>
                </c:pt>
                <c:pt idx="10">
                  <c:v>2.6693771572756861</c:v>
                </c:pt>
                <c:pt idx="11">
                  <c:v>2.027706274637493</c:v>
                </c:pt>
                <c:pt idx="12">
                  <c:v>1.5315777724562312</c:v>
                </c:pt>
                <c:pt idx="13">
                  <c:v>1.1511843997526106</c:v>
                </c:pt>
                <c:pt idx="14">
                  <c:v>0.8615732314402107</c:v>
                </c:pt>
                <c:pt idx="15">
                  <c:v>0.64239534692961997</c:v>
                </c:pt>
                <c:pt idx="16">
                  <c:v>0.47737484911435313</c:v>
                </c:pt>
                <c:pt idx="17">
                  <c:v>0.3536863601139586</c:v>
                </c:pt>
                <c:pt idx="18">
                  <c:v>0.26134243744025992</c:v>
                </c:pt>
                <c:pt idx="19">
                  <c:v>0.19264009797141474</c:v>
                </c:pt>
                <c:pt idx="20">
                  <c:v>0.14168549423552562</c:v>
                </c:pt>
                <c:pt idx="21">
                  <c:v>0.10399922576205631</c:v>
                </c:pt>
                <c:pt idx="22">
                  <c:v>7.6196374855008284E-2</c:v>
                </c:pt>
                <c:pt idx="23">
                  <c:v>5.5731736834045309E-2</c:v>
                </c:pt>
                <c:pt idx="24">
                  <c:v>4.0699771931068898E-2</c:v>
                </c:pt>
                <c:pt idx="25">
                  <c:v>2.9679267514322202E-2</c:v>
                </c:pt>
                <c:pt idx="26">
                  <c:v>2.1613813039694819E-2</c:v>
                </c:pt>
                <c:pt idx="27">
                  <c:v>1.5720527195378267E-2</c:v>
                </c:pt>
                <c:pt idx="28">
                  <c:v>1.1420805670209547E-2</c:v>
                </c:pt>
                <c:pt idx="29">
                  <c:v>8.2880653322659481E-3</c:v>
                </c:pt>
                <c:pt idx="30">
                  <c:v>6.008501096185781E-3</c:v>
                </c:pt>
                <c:pt idx="31">
                  <c:v>4.351737817005528E-3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</c:strRef>
          </c:tx>
          <c:marker>
            <c:symbol val="none"/>
          </c:marker>
          <c:val>
            <c:numRef>
              <c:f>'SPM-in'!$D$11:$D$42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17.459131118019354</c:v>
                </c:pt>
                <c:pt idx="2">
                  <c:v>17.232924759106776</c:v>
                </c:pt>
                <c:pt idx="3">
                  <c:v>16.82832391513216</c:v>
                </c:pt>
                <c:pt idx="4">
                  <c:v>16.28929635974032</c:v>
                </c:pt>
                <c:pt idx="5">
                  <c:v>15.652062806545953</c:v>
                </c:pt>
                <c:pt idx="6">
                  <c:v>14.946296540390307</c:v>
                </c:pt>
                <c:pt idx="7">
                  <c:v>14.196149670789282</c:v>
                </c:pt>
                <c:pt idx="8">
                  <c:v>13.421130009873419</c:v>
                </c:pt>
                <c:pt idx="9">
                  <c:v>12.636849350599729</c:v>
                </c:pt>
                <c:pt idx="10">
                  <c:v>11.85566111903988</c:v>
                </c:pt>
                <c:pt idx="11">
                  <c:v>11.087202942157575</c:v>
                </c:pt>
                <c:pt idx="12">
                  <c:v>10.338857561744987</c:v>
                </c:pt>
                <c:pt idx="13">
                  <c:v>9.6161436942950598</c:v>
                </c:pt>
                <c:pt idx="14">
                  <c:v>8.9230468490989878</c:v>
                </c:pt>
                <c:pt idx="15">
                  <c:v>8.262298741023411</c:v>
                </c:pt>
                <c:pt idx="16">
                  <c:v>7.6356127425479183</c:v>
                </c:pt>
                <c:pt idx="17">
                  <c:v>7.0438817876406059</c:v>
                </c:pt>
                <c:pt idx="18">
                  <c:v>6.4873442468954563</c:v>
                </c:pt>
                <c:pt idx="19">
                  <c:v>5.9657225207872484</c:v>
                </c:pt>
                <c:pt idx="20">
                  <c:v>5.4783384299845164</c:v>
                </c:pt>
                <c:pt idx="21">
                  <c:v>5.0242089045612799</c:v>
                </c:pt>
                <c:pt idx="22">
                  <c:v>4.6021249756054594</c:v>
                </c:pt>
                <c:pt idx="23">
                  <c:v>4.2107166426626286</c:v>
                </c:pt>
                <c:pt idx="24">
                  <c:v>3.8485058195618533</c:v>
                </c:pt>
                <c:pt idx="25">
                  <c:v>3.5139492415329343</c:v>
                </c:pt>
                <c:pt idx="26">
                  <c:v>3.2054729412541803</c:v>
                </c:pt>
                <c:pt idx="27">
                  <c:v>2.9214996645964439</c:v>
                </c:pt>
                <c:pt idx="28">
                  <c:v>2.6604703931608173</c:v>
                </c:pt>
                <c:pt idx="29">
                  <c:v>2.4208609657426523</c:v>
                </c:pt>
                <c:pt idx="30">
                  <c:v>2.2011946406855349</c:v>
                </c:pt>
                <c:pt idx="31">
                  <c:v>2.0000513123284414</c:v>
                </c:pt>
              </c:numCache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</c:strRef>
          </c:tx>
          <c:marker>
            <c:symbol val="none"/>
          </c:marker>
          <c:val>
            <c:numRef>
              <c:f>EPM!$AC$19:$AC$50</c:f>
              <c:numCache>
                <c:formatCode>#,##0.00</c:formatCode>
                <c:ptCount val="32"/>
                <c:pt idx="0">
                  <c:v>17.5</c:v>
                </c:pt>
                <c:pt idx="1">
                  <c:v>16.814250978040242</c:v>
                </c:pt>
                <c:pt idx="2">
                  <c:v>16.052145785002892</c:v>
                </c:pt>
                <c:pt idx="3">
                  <c:v>15.248987841344967</c:v>
                </c:pt>
                <c:pt idx="4">
                  <c:v>14.391142242705214</c:v>
                </c:pt>
                <c:pt idx="5">
                  <c:v>13.520561360106489</c:v>
                </c:pt>
                <c:pt idx="6">
                  <c:v>12.643161221315307</c:v>
                </c:pt>
                <c:pt idx="7">
                  <c:v>11.764347408755601</c:v>
                </c:pt>
                <c:pt idx="8">
                  <c:v>10.903660053943685</c:v>
                </c:pt>
                <c:pt idx="9">
                  <c:v>10.061792314412118</c:v>
                </c:pt>
                <c:pt idx="10">
                  <c:v>9.2552273922078392</c:v>
                </c:pt>
                <c:pt idx="11">
                  <c:v>8.4815112554395533</c:v>
                </c:pt>
                <c:pt idx="12">
                  <c:v>7.7469300656735287</c:v>
                </c:pt>
                <c:pt idx="13">
                  <c:v>7.0508690221610975</c:v>
                </c:pt>
                <c:pt idx="14">
                  <c:v>6.3945904675076024</c:v>
                </c:pt>
                <c:pt idx="15">
                  <c:v>5.7888940512686506</c:v>
                </c:pt>
                <c:pt idx="16">
                  <c:v>5.2175696801618425</c:v>
                </c:pt>
                <c:pt idx="17">
                  <c:v>4.690544112624349</c:v>
                </c:pt>
                <c:pt idx="18">
                  <c:v>4.201872979389627</c:v>
                </c:pt>
                <c:pt idx="19">
                  <c:v>3.7540512097565211</c:v>
                </c:pt>
                <c:pt idx="20">
                  <c:v>3.340134704141656</c:v>
                </c:pt>
                <c:pt idx="21">
                  <c:v>2.961022274507247</c:v>
                </c:pt>
                <c:pt idx="22">
                  <c:v>2.6152849668602491</c:v>
                </c:pt>
                <c:pt idx="23">
                  <c:v>2.3000981470349169</c:v>
                </c:pt>
                <c:pt idx="24">
                  <c:v>2.0129458600834109</c:v>
                </c:pt>
                <c:pt idx="25">
                  <c:v>1.7579186430160327</c:v>
                </c:pt>
                <c:pt idx="26">
                  <c:v>1.53282430523316</c:v>
                </c:pt>
                <c:pt idx="27">
                  <c:v>1.3249856377723901</c:v>
                </c:pt>
                <c:pt idx="28">
                  <c:v>1.142519982584437</c:v>
                </c:pt>
                <c:pt idx="29">
                  <c:v>0.98701959418063945</c:v>
                </c:pt>
                <c:pt idx="30">
                  <c:v>0.85097221556380065</c:v>
                </c:pt>
                <c:pt idx="31">
                  <c:v>0.73292950179050098</c:v>
                </c:pt>
              </c:numCache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CDC!$V$12:$V$43</c:f>
              <c:numCache>
                <c:formatCode>#,##0.00</c:formatCode>
                <c:ptCount val="32"/>
                <c:pt idx="0">
                  <c:v>17.5</c:v>
                </c:pt>
                <c:pt idx="1">
                  <c:v>16.296576096623156</c:v>
                </c:pt>
                <c:pt idx="2">
                  <c:v>14.980216394476299</c:v>
                </c:pt>
                <c:pt idx="3">
                  <c:v>13.557638138010473</c:v>
                </c:pt>
                <c:pt idx="4">
                  <c:v>12.941444624097619</c:v>
                </c:pt>
                <c:pt idx="5">
                  <c:v>12.287432773559638</c:v>
                </c:pt>
                <c:pt idx="6">
                  <c:v>11.601980332919123</c:v>
                </c:pt>
                <c:pt idx="7">
                  <c:v>10.891980054079649</c:v>
                </c:pt>
                <c:pt idx="8">
                  <c:v>10.164763230595662</c:v>
                </c:pt>
                <c:pt idx="9">
                  <c:v>9.4280045806339974</c:v>
                </c:pt>
                <c:pt idx="10">
                  <c:v>8.6896053968067335</c:v>
                </c:pt>
                <c:pt idx="11">
                  <c:v>7.9575520106258208</c:v>
                </c:pt>
                <c:pt idx="12">
                  <c:v>7.2397473081066117</c:v>
                </c:pt>
                <c:pt idx="13">
                  <c:v>6.5438145269063126</c:v>
                </c:pt>
                <c:pt idx="14">
                  <c:v>5.8768751154183967</c:v>
                </c:pt>
                <c:pt idx="15">
                  <c:v>5.245306242694908</c:v>
                </c:pt>
                <c:pt idx="16">
                  <c:v>4.6544886755580608</c:v>
                </c:pt>
                <c:pt idx="17">
                  <c:v>4.1085619713394799</c:v>
                </c:pt>
                <c:pt idx="18">
                  <c:v>3.6102106169719135</c:v>
                </c:pt>
                <c:pt idx="19">
                  <c:v>3.1605106220908534</c:v>
                </c:pt>
                <c:pt idx="20">
                  <c:v>2.7588692058960498</c:v>
                </c:pt>
                <c:pt idx="21">
                  <c:v>2.4030881007884428</c:v>
                </c:pt>
                <c:pt idx="22">
                  <c:v>2.0895710433279153</c:v>
                </c:pt>
                <c:pt idx="23">
                  <c:v>1.8136765471557823</c:v>
                </c:pt>
                <c:pt idx="24">
                  <c:v>1.5701887355208493</c:v>
                </c:pt>
                <c:pt idx="25">
                  <c:v>1.3538465042442425</c:v>
                </c:pt>
                <c:pt idx="26">
                  <c:v>1.189838507172766</c:v>
                </c:pt>
                <c:pt idx="27">
                  <c:v>1.0520152567838106</c:v>
                </c:pt>
                <c:pt idx="28">
                  <c:v>0.93265729138758469</c:v>
                </c:pt>
                <c:pt idx="29">
                  <c:v>0.82666028963580718</c:v>
                </c:pt>
                <c:pt idx="30">
                  <c:v>0.73108940542880085</c:v>
                </c:pt>
                <c:pt idx="31">
                  <c:v>0.64445897432453092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17.412310318045765</c:v>
                </c:pt>
                <c:pt idx="2">
                  <c:v>16.945405511377086</c:v>
                </c:pt>
                <c:pt idx="3">
                  <c:v>16.154350562420468</c:v>
                </c:pt>
                <c:pt idx="4">
                  <c:v>15.15952139838215</c:v>
                </c:pt>
                <c:pt idx="5">
                  <c:v>14.050279317711846</c:v>
                </c:pt>
                <c:pt idx="6">
                  <c:v>12.891947800380379</c:v>
                </c:pt>
                <c:pt idx="7">
                  <c:v>11.73132814824894</c:v>
                </c:pt>
                <c:pt idx="8">
                  <c:v>10.601046729383253</c:v>
                </c:pt>
                <c:pt idx="9">
                  <c:v>9.5229696767695415</c:v>
                </c:pt>
                <c:pt idx="10">
                  <c:v>8.5108747971423195</c:v>
                </c:pt>
                <c:pt idx="11">
                  <c:v>7.5725331533740343</c:v>
                </c:pt>
                <c:pt idx="12">
                  <c:v>6.7113226421835099</c:v>
                </c:pt>
                <c:pt idx="13">
                  <c:v>5.9274715516792043</c:v>
                </c:pt>
                <c:pt idx="14">
                  <c:v>5.2190104541951854</c:v>
                </c:pt>
                <c:pt idx="15">
                  <c:v>4.5824949767003123</c:v>
                </c:pt>
                <c:pt idx="16">
                  <c:v>4.0135492679361242</c:v>
                </c:pt>
                <c:pt idx="17">
                  <c:v>3.5072697583516605</c:v>
                </c:pt>
                <c:pt idx="18">
                  <c:v>3.058520606532674</c:v>
                </c:pt>
                <c:pt idx="19">
                  <c:v>2.6621456550961753</c:v>
                </c:pt>
                <c:pt idx="20">
                  <c:v>2.3131164643217073</c:v>
                </c:pt>
                <c:pt idx="21">
                  <c:v>2.0066317973263104</c:v>
                </c:pt>
                <c:pt idx="22">
                  <c:v>1.7381805892093387</c:v>
                </c:pt>
                <c:pt idx="23">
                  <c:v>1.5035777766976925</c:v>
                </c:pt>
                <c:pt idx="24">
                  <c:v>1.2989802589416874</c:v>
                </c:pt>
                <c:pt idx="25">
                  <c:v>1.1208885948551088</c:v>
                </c:pt>
                <c:pt idx="26">
                  <c:v>0.96613872952950808</c:v>
                </c:pt>
                <c:pt idx="27">
                  <c:v>0.83188701069369486</c:v>
                </c:pt>
                <c:pt idx="28">
                  <c:v>0.7155909487380312</c:v>
                </c:pt>
                <c:pt idx="29">
                  <c:v>0.61498754451392967</c:v>
                </c:pt>
                <c:pt idx="30">
                  <c:v>0.52807052107233687</c:v>
                </c:pt>
                <c:pt idx="31">
                  <c:v>0.45306741917131654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967344"/>
        <c:axId val="354984208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GQWF!$D$21:$D$52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17.5</c:v>
                      </c:pt>
                      <c:pt idx="1">
                        <c:v>16.701061813097269</c:v>
                      </c:pt>
                      <c:pt idx="2">
                        <c:v>15.87941483526923</c:v>
                      </c:pt>
                      <c:pt idx="3">
                        <c:v>15.041799791521559</c:v>
                      </c:pt>
                      <c:pt idx="4">
                        <c:v>14.194833272878288</c:v>
                      </c:pt>
                      <c:pt idx="5">
                        <c:v>13.34492087872856</c:v>
                      </c:pt>
                      <c:pt idx="6">
                        <c:v>12.498177657166631</c:v>
                      </c:pt>
                      <c:pt idx="7">
                        <c:v>11.660357198876643</c:v>
                      </c:pt>
                      <c:pt idx="8">
                        <c:v>10.836790475263143</c:v>
                      </c:pt>
                      <c:pt idx="9">
                        <c:v>10.032335227097629</c:v>
                      </c:pt>
                      <c:pt idx="10">
                        <c:v>9.251336415556688</c:v>
                      </c:pt>
                      <c:pt idx="11">
                        <c:v>8.4975979527524874</c:v>
                      </c:pt>
                      <c:pt idx="12">
                        <c:v>7.774365642892751</c:v>
                      </c:pt>
                      <c:pt idx="13">
                        <c:v>7.0843209965205336</c:v>
                      </c:pt>
                      <c:pt idx="14">
                        <c:v>6.4295853363262969</c:v>
                      </c:pt>
                      <c:pt idx="15">
                        <c:v>5.8117334000015433</c:v>
                      </c:pt>
                      <c:pt idx="16">
                        <c:v>5.231815468301714</c:v>
                      </c:pt>
                      <c:pt idx="17">
                        <c:v>4.6903869081735614</c:v>
                      </c:pt>
                      <c:pt idx="18">
                        <c:v>4.1875439231897049</c:v>
                      </c:pt>
                      <c:pt idx="19">
                        <c:v>3.722964246808913</c:v>
                      </c:pt>
                      <c:pt idx="20">
                        <c:v>3.2959514969020693</c:v>
                      </c:pt>
                      <c:pt idx="21">
                        <c:v>2.9054819300242012</c:v>
                      </c:pt>
                      <c:pt idx="22">
                        <c:v>2.5502523874508802</c:v>
                      </c:pt>
                      <c:pt idx="23">
                        <c:v>2.2287283075378759</c:v>
                      </c:pt>
                      <c:pt idx="24">
                        <c:v>1.9391907853786292</c:v>
                      </c:pt>
                      <c:pt idx="25">
                        <c:v>1.6797817855127588</c:v>
                      </c:pt>
                      <c:pt idx="26">
                        <c:v>1.4485467509276049</c:v>
                      </c:pt>
                      <c:pt idx="27">
                        <c:v>1.2434739962284722</c:v>
                      </c:pt>
                      <c:pt idx="28">
                        <c:v>1.0625304193590788</c:v>
                      </c:pt>
                      <c:pt idx="29">
                        <c:v>0.90369320982477519</c:v>
                      </c:pt>
                      <c:pt idx="30">
                        <c:v>0.76497736780381087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comparison!$B$45</c15:sqref>
                        </c15:formulaRef>
                      </c:ext>
                    </c:extLst>
                    <c:strCache>
                      <c:ptCount val="1"/>
                      <c:pt idx="0">
                        <c:v>LIMITS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LIMITS!$D$8:$D$39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17.5</c:v>
                      </c:pt>
                      <c:pt idx="1">
                        <c:v>16.787953075078445</c:v>
                      </c:pt>
                      <c:pt idx="2">
                        <c:v>16.043493628288644</c:v>
                      </c:pt>
                      <c:pt idx="3">
                        <c:v>15.273119153910171</c:v>
                      </c:pt>
                      <c:pt idx="4">
                        <c:v>14.483368202504368</c:v>
                      </c:pt>
                      <c:pt idx="5">
                        <c:v>13.680727042421207</c:v>
                      </c:pt>
                      <c:pt idx="6">
                        <c:v>12.871540393325745</c:v>
                      </c:pt>
                      <c:pt idx="7">
                        <c:v>12.061927964135478</c:v>
                      </c:pt>
                      <c:pt idx="8">
                        <c:v>11.257708330843881</c:v>
                      </c:pt>
                      <c:pt idx="9">
                        <c:v>10.46433145646539</c:v>
                      </c:pt>
                      <c:pt idx="10">
                        <c:v>9.6868208941446241</c:v>
                      </c:pt>
                      <c:pt idx="11">
                        <c:v>8.9297264344088205</c:v>
                      </c:pt>
                      <c:pt idx="12">
                        <c:v>8.1970876680310027</c:v>
                      </c:pt>
                      <c:pt idx="13">
                        <c:v>7.4924086464131152</c:v>
                      </c:pt>
                      <c:pt idx="14">
                        <c:v>6.818643540814981</c:v>
                      </c:pt>
                      <c:pt idx="15">
                        <c:v>6.1781929384628143</c:v>
                      </c:pt>
                      <c:pt idx="16">
                        <c:v>5.5729101748974248</c:v>
                      </c:pt>
                      <c:pt idx="17">
                        <c:v>5.0041168939728387</c:v>
                      </c:pt>
                      <c:pt idx="18">
                        <c:v>4.4726268544052941</c:v>
                      </c:pt>
                      <c:pt idx="19">
                        <c:v>3.9787768679185254</c:v>
                      </c:pt>
                      <c:pt idx="20">
                        <c:v>3.5224636605188642</c:v>
                      </c:pt>
                      <c:pt idx="21">
                        <c:v>3.1031853954423472</c:v>
                      </c:pt>
                      <c:pt idx="22">
                        <c:v>2.7200865826087774</c:v>
                      </c:pt>
                      <c:pt idx="23">
                        <c:v>2.3720051224825283</c:v>
                      </c:pt>
                      <c:pt idx="24">
                        <c:v>2.0575202884749877</c:v>
                      </c:pt>
                      <c:pt idx="25">
                        <c:v>1.7750005369543873</c:v>
                      </c:pt>
                      <c:pt idx="26">
                        <c:v>1.5226501424457888</c:v>
                      </c:pt>
                      <c:pt idx="27">
                        <c:v>1.2985537822082138</c:v>
                      </c:pt>
                      <c:pt idx="28">
                        <c:v>1.1007183334211532</c:v>
                      </c:pt>
                      <c:pt idx="29">
                        <c:v>0.92711129213409682</c:v>
                      </c:pt>
                      <c:pt idx="30">
                        <c:v>0.77569537065152983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'pc20'!$D$8:$D$39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17.5</c:v>
                      </c:pt>
                      <c:pt idx="1">
                        <c:v>5.9265453274317617</c:v>
                      </c:pt>
                      <c:pt idx="2">
                        <c:v>5.7885690645752979</c:v>
                      </c:pt>
                      <c:pt idx="3">
                        <c:v>5.6348123877180463</c:v>
                      </c:pt>
                      <c:pt idx="4">
                        <c:v>5.4666516516893218</c:v>
                      </c:pt>
                      <c:pt idx="5">
                        <c:v>5.2855729501050233</c:v>
                      </c:pt>
                      <c:pt idx="6">
                        <c:v>5.0931500566774721</c:v>
                      </c:pt>
                      <c:pt idx="7">
                        <c:v>4.8910214416562647</c:v>
                      </c:pt>
                      <c:pt idx="8">
                        <c:v>4.6808668373948148</c:v>
                      </c:pt>
                      <c:pt idx="9">
                        <c:v>4.4643838263575999</c:v>
                      </c:pt>
                      <c:pt idx="10">
                        <c:v>4.2432649117954506</c:v>
                      </c:pt>
                      <c:pt idx="11">
                        <c:v>4.0191755064959347</c:v>
                      </c:pt>
                      <c:pt idx="12">
                        <c:v>3.7937332395075494</c:v>
                      </c:pt>
                      <c:pt idx="13">
                        <c:v>3.5684889359075109</c:v>
                      </c:pt>
                      <c:pt idx="14">
                        <c:v>3.3449095721660149</c:v>
                      </c:pt>
                      <c:pt idx="15">
                        <c:v>3.1243634512855514</c:v>
                      </c:pt>
                      <c:pt idx="16">
                        <c:v>2.9081077796184376</c:v>
                      </c:pt>
                      <c:pt idx="17">
                        <c:v>2.6972787630957993</c:v>
                      </c:pt>
                      <c:pt idx="18">
                        <c:v>2.4928842765192538</c:v>
                      </c:pt>
                      <c:pt idx="19">
                        <c:v>2.2957990974605429</c:v>
                      </c:pt>
                      <c:pt idx="20">
                        <c:v>2.1067626379138931</c:v>
                      </c:pt>
                      <c:pt idx="21">
                        <c:v>1.9263790536676706</c:v>
                      </c:pt>
                      <c:pt idx="22">
                        <c:v>1.7551195646661804</c:v>
                      </c:pt>
                      <c:pt idx="23">
                        <c:v>1.5933267803920266</c:v>
                      </c:pt>
                      <c:pt idx="24">
                        <c:v>1.4412207931814522</c:v>
                      </c:pt>
                      <c:pt idx="25">
                        <c:v>1.2989067797462464</c:v>
                      </c:pt>
                      <c:pt idx="26">
                        <c:v>1.1663838370699049</c:v>
                      </c:pt>
                      <c:pt idx="27">
                        <c:v>1.043554773042743</c:v>
                      </c:pt>
                      <c:pt idx="28">
                        <c:v>0.93023657421546502</c:v>
                      </c:pt>
                      <c:pt idx="29">
                        <c:v>0.82617128218012492</c:v>
                      </c:pt>
                      <c:pt idx="30">
                        <c:v>0.73103702545270133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44196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4984208"/>
        <c:crosses val="autoZero"/>
        <c:auto val="1"/>
        <c:lblAlgn val="ctr"/>
        <c:lblOffset val="100"/>
        <c:noMultiLvlLbl val="0"/>
      </c:catAx>
      <c:valAx>
        <c:axId val="354984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 t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41967344"/>
        <c:crosses val="autoZero"/>
        <c:crossBetween val="midCat"/>
      </c:valAx>
    </c:plotArea>
    <c:legend>
      <c:legendPos val="t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B per capita emissions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RF!$G$9:$G$40</c:f>
              <c:numCache>
                <c:formatCode>#,##0.00</c:formatCode>
                <c:ptCount val="32"/>
                <c:pt idx="0">
                  <c:v>4.875</c:v>
                </c:pt>
                <c:pt idx="1">
                  <c:v>4.7802970386968191</c:v>
                </c:pt>
                <c:pt idx="2">
                  <c:v>4.6722625535040683</c:v>
                </c:pt>
                <c:pt idx="3">
                  <c:v>4.5518721103558741</c:v>
                </c:pt>
                <c:pt idx="4">
                  <c:v>4.4202033858202867</c:v>
                </c:pt>
                <c:pt idx="5">
                  <c:v>4.2784199811966763</c:v>
                </c:pt>
                <c:pt idx="6">
                  <c:v>4.127754150709797</c:v>
                </c:pt>
                <c:pt idx="7">
                  <c:v>3.9694888055376567</c:v>
                </c:pt>
                <c:pt idx="8">
                  <c:v>3.8049391648078523</c:v>
                </c:pt>
                <c:pt idx="9">
                  <c:v>3.6354344241648016</c:v>
                </c:pt>
                <c:pt idx="10">
                  <c:v>3.4622998022628226</c:v>
                </c:pt>
                <c:pt idx="11">
                  <c:v>3.2868393061058274</c:v>
                </c:pt>
                <c:pt idx="12">
                  <c:v>3.1103195283516345</c:v>
                </c:pt>
                <c:pt idx="13">
                  <c:v>2.9339547545981608</c:v>
                </c:pt>
                <c:pt idx="14">
                  <c:v>2.7588936175483552</c:v>
                </c:pt>
                <c:pt idx="15">
                  <c:v>2.5862074892440541</c:v>
                </c:pt>
                <c:pt idx="16">
                  <c:v>2.4168807537977259</c:v>
                </c:pt>
                <c:pt idx="17">
                  <c:v>2.2518030528064186</c:v>
                </c:pt>
                <c:pt idx="18">
                  <c:v>2.0917635454564816</c:v>
                </c:pt>
                <c:pt idx="19">
                  <c:v>1.9374471766990582</c:v>
                </c:pt>
                <c:pt idx="20">
                  <c:v>1.7894329011491537</c:v>
                </c:pt>
                <c:pt idx="21">
                  <c:v>1.6481937687228976</c:v>
                </c:pt>
                <c:pt idx="22">
                  <c:v>1.5140987414652218</c:v>
                </c:pt>
                <c:pt idx="23">
                  <c:v>1.3874160802951354</c:v>
                </c:pt>
                <c:pt idx="24">
                  <c:v>1.2683181160306261</c:v>
                </c:pt>
                <c:pt idx="25">
                  <c:v>1.1568872013291513</c:v>
                </c:pt>
                <c:pt idx="26">
                  <c:v>1.0531226291348674</c:v>
                </c:pt>
                <c:pt idx="27">
                  <c:v>0.9569482986800234</c:v>
                </c:pt>
                <c:pt idx="28">
                  <c:v>0.86822091166555948</c:v>
                </c:pt>
                <c:pt idx="29">
                  <c:v>0.78673848839419558</c:v>
                </c:pt>
                <c:pt idx="30">
                  <c:v>0.71224900566023963</c:v>
                </c:pt>
                <c:pt idx="31">
                  <c:v>0.64445897432453081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4.8014440290691507</c:v>
                </c:pt>
                <c:pt idx="2">
                  <c:v>4.715714411858098</c:v>
                </c:pt>
                <c:pt idx="3">
                  <c:v>4.6186249239127601</c:v>
                </c:pt>
                <c:pt idx="4">
                  <c:v>4.5110449460606734</c:v>
                </c:pt>
                <c:pt idx="5">
                  <c:v>4.3938798124150953</c:v>
                </c:pt>
                <c:pt idx="6">
                  <c:v>4.2680511336251818</c:v>
                </c:pt>
                <c:pt idx="7">
                  <c:v>4.1344779311116895</c:v>
                </c:pt>
                <c:pt idx="8">
                  <c:v>3.9940595099600458</c:v>
                </c:pt>
                <c:pt idx="9">
                  <c:v>3.8476610675543328</c:v>
                </c:pt>
                <c:pt idx="10">
                  <c:v>3.6961030658379066</c:v>
                </c:pt>
                <c:pt idx="11">
                  <c:v>3.5401553650343276</c:v>
                </c:pt>
                <c:pt idx="12">
                  <c:v>3.3805369969279027</c:v>
                </c:pt>
                <c:pt idx="13">
                  <c:v>3.2179222119095532</c:v>
                </c:pt>
                <c:pt idx="14">
                  <c:v>3.0529530291747635</c:v>
                </c:pt>
                <c:pt idx="15">
                  <c:v>2.8862579217938586</c:v>
                </c:pt>
                <c:pt idx="16">
                  <c:v>2.7184754630918198</c:v>
                </c:pt>
                <c:pt idx="17">
                  <c:v>2.5502807686354299</c:v>
                </c:pt>
                <c:pt idx="18">
                  <c:v>2.3824114691661946</c:v>
                </c:pt>
                <c:pt idx="19">
                  <c:v>2.2156889085231444</c:v>
                </c:pt>
                <c:pt idx="20">
                  <c:v>2.0510295432276031</c:v>
                </c:pt>
                <c:pt idx="21">
                  <c:v>1.8894414881939214</c:v>
                </c:pt>
                <c:pt idx="22">
                  <c:v>1.7320022086874141</c:v>
                </c:pt>
                <c:pt idx="23">
                  <c:v>1.5798158232149531</c:v>
                </c:pt>
                <c:pt idx="24">
                  <c:v>1.4339523944941299</c:v>
                </c:pt>
                <c:pt idx="25">
                  <c:v>1.2953764590364956</c:v>
                </c:pt>
                <c:pt idx="26">
                  <c:v>1.1648766852164671</c:v>
                </c:pt>
                <c:pt idx="27">
                  <c:v>1.0430111186790105</c:v>
                </c:pt>
                <c:pt idx="28">
                  <c:v>0.93008102359989009</c:v>
                </c:pt>
                <c:pt idx="29">
                  <c:v>0.82613985950438729</c:v>
                </c:pt>
                <c:pt idx="30">
                  <c:v>0.73103365961648559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</c:strRef>
          </c:tx>
          <c:marker>
            <c:symbol val="none"/>
          </c:marker>
          <c:val>
            <c:numRef>
              <c:f>'C&amp;C-lin'!$G$8:$G$39</c:f>
              <c:numCache>
                <c:formatCode>#,##0.00</c:formatCode>
                <c:ptCount val="32"/>
                <c:pt idx="0">
                  <c:v>4.875</c:v>
                </c:pt>
                <c:pt idx="1">
                  <c:v>4.81456597830425</c:v>
                </c:pt>
                <c:pt idx="2">
                  <c:v>4.7725481802409115</c:v>
                </c:pt>
                <c:pt idx="3">
                  <c:v>4.7414920655780648</c:v>
                </c:pt>
                <c:pt idx="4">
                  <c:v>4.7118180512681915</c:v>
                </c:pt>
                <c:pt idx="5">
                  <c:v>4.6734572076759431</c:v>
                </c:pt>
                <c:pt idx="6">
                  <c:v>4.6174795063927219</c:v>
                </c:pt>
                <c:pt idx="7">
                  <c:v>4.5373753139622064</c:v>
                </c:pt>
                <c:pt idx="8">
                  <c:v>4.429758132070158</c:v>
                </c:pt>
                <c:pt idx="9">
                  <c:v>4.2944194145651267</c:v>
                </c:pt>
                <c:pt idx="10">
                  <c:v>4.1338304222447437</c:v>
                </c:pt>
                <c:pt idx="11">
                  <c:v>3.9523011919913982</c:v>
                </c:pt>
                <c:pt idx="12">
                  <c:v>3.7550448128075886</c:v>
                </c:pt>
                <c:pt idx="13">
                  <c:v>3.5473584518885621</c:v>
                </c:pt>
                <c:pt idx="14">
                  <c:v>3.3340478997743239</c:v>
                </c:pt>
                <c:pt idx="15">
                  <c:v>3.1191270592239246</c:v>
                </c:pt>
                <c:pt idx="16">
                  <c:v>2.90574941652191</c:v>
                </c:pt>
                <c:pt idx="17">
                  <c:v>2.696290910041268</c:v>
                </c:pt>
                <c:pt idx="18">
                  <c:v>2.4925014074426199</c:v>
                </c:pt>
                <c:pt idx="19">
                  <c:v>2.2956626072179813</c:v>
                </c:pt>
                <c:pt idx="20">
                  <c:v>2.1067181937926276</c:v>
                </c:pt>
                <c:pt idx="21">
                  <c:v>1.9263659443897847</c:v>
                </c:pt>
                <c:pt idx="22">
                  <c:v>1.755116097101703</c:v>
                </c:pt>
                <c:pt idx="23">
                  <c:v>1.5933259680274328</c:v>
                </c:pt>
                <c:pt idx="24">
                  <c:v>1.4412206272560051</c:v>
                </c:pt>
                <c:pt idx="25">
                  <c:v>1.2989067508028149</c:v>
                </c:pt>
                <c:pt idx="26">
                  <c:v>1.1663838328778995</c:v>
                </c:pt>
                <c:pt idx="27">
                  <c:v>1.0435547725588004</c:v>
                </c:pt>
                <c:pt idx="28">
                  <c:v>0.93023657417371741</c:v>
                </c:pt>
                <c:pt idx="29">
                  <c:v>0.82617128217773284</c:v>
                </c:pt>
                <c:pt idx="30">
                  <c:v>0.73103702545263305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4.9333361241415048</c:v>
                </c:pt>
                <c:pt idx="2">
                  <c:v>4.9966065824143726</c:v>
                </c:pt>
                <c:pt idx="3">
                  <c:v>4.9915213413817412</c:v>
                </c:pt>
                <c:pt idx="4">
                  <c:v>4.9318094163545112</c:v>
                </c:pt>
                <c:pt idx="5">
                  <c:v>4.8290627413147718</c:v>
                </c:pt>
                <c:pt idx="6">
                  <c:v>4.6930343992613075</c:v>
                </c:pt>
                <c:pt idx="7">
                  <c:v>4.5318977002081056</c:v>
                </c:pt>
                <c:pt idx="8">
                  <c:v>4.352471049867944</c:v>
                </c:pt>
                <c:pt idx="9">
                  <c:v>4.1604129447185016</c:v>
                </c:pt>
                <c:pt idx="10">
                  <c:v>3.9603908949510611</c:v>
                </c:pt>
                <c:pt idx="11">
                  <c:v>3.756227607082856</c:v>
                </c:pt>
                <c:pt idx="12">
                  <c:v>3.5510273450988024</c:v>
                </c:pt>
                <c:pt idx="13">
                  <c:v>3.3472850261296898</c:v>
                </c:pt>
                <c:pt idx="14">
                  <c:v>3.1469802878962554</c:v>
                </c:pt>
                <c:pt idx="15">
                  <c:v>2.9516584851950896</c:v>
                </c:pt>
                <c:pt idx="16">
                  <c:v>2.7625003269224067</c:v>
                </c:pt>
                <c:pt idx="17">
                  <c:v>2.5803816494352994</c:v>
                </c:pt>
                <c:pt idx="18">
                  <c:v>2.4059246328205077</c:v>
                </c:pt>
                <c:pt idx="19">
                  <c:v>2.2395416006961995</c:v>
                </c:pt>
                <c:pt idx="20">
                  <c:v>2.0814723987026404</c:v>
                </c:pt>
                <c:pt idx="21">
                  <c:v>1.9318162193731752</c:v>
                </c:pt>
                <c:pt idx="22">
                  <c:v>1.7905586294324358</c:v>
                </c:pt>
                <c:pt idx="23">
                  <c:v>1.6575944578282993</c:v>
                </c:pt>
                <c:pt idx="24">
                  <c:v>1.5327471172746776</c:v>
                </c:pt>
                <c:pt idx="25">
                  <c:v>1.4157848572746889</c:v>
                </c:pt>
                <c:pt idx="26">
                  <c:v>1.3064343811981143</c:v>
                </c:pt>
                <c:pt idx="27">
                  <c:v>1.20439220284943</c:v>
                </c:pt>
                <c:pt idx="28">
                  <c:v>1.1093340680682342</c:v>
                </c:pt>
                <c:pt idx="29">
                  <c:v>1.0209227233604743</c:v>
                </c:pt>
                <c:pt idx="30">
                  <c:v>0.9388142755806097</c:v>
                </c:pt>
                <c:pt idx="31">
                  <c:v>0.86266335358378399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</c:strRef>
          </c:tx>
          <c:marker>
            <c:symbol val="none"/>
          </c:marker>
          <c:val>
            <c:numRef>
              <c:f>'SPM-in'!$G$11:$G$42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4.9278909534939572</c:v>
                </c:pt>
                <c:pt idx="2">
                  <c:v>4.9623183659694377</c:v>
                </c:pt>
                <c:pt idx="3">
                  <c:v>4.908862089699781</c:v>
                </c:pt>
                <c:pt idx="4">
                  <c:v>4.789245896423644</c:v>
                </c:pt>
                <c:pt idx="5">
                  <c:v>4.6210986914486156</c:v>
                </c:pt>
                <c:pt idx="6">
                  <c:v>4.4186435312151389</c:v>
                </c:pt>
                <c:pt idx="7">
                  <c:v>4.1932777645946686</c:v>
                </c:pt>
                <c:pt idx="8">
                  <c:v>3.9540608281752512</c:v>
                </c:pt>
                <c:pt idx="9">
                  <c:v>3.7081237845814456</c:v>
                </c:pt>
                <c:pt idx="10">
                  <c:v>3.4610126049395618</c:v>
                </c:pt>
                <c:pt idx="11">
                  <c:v>3.2169754116007567</c:v>
                </c:pt>
                <c:pt idx="12">
                  <c:v>2.9792023719236873</c:v>
                </c:pt>
                <c:pt idx="13">
                  <c:v>2.7500256311411952</c:v>
                </c:pt>
                <c:pt idx="14">
                  <c:v>2.5310855601863089</c:v>
                </c:pt>
                <c:pt idx="15">
                  <c:v>2.3234686454365026</c:v>
                </c:pt>
                <c:pt idx="16">
                  <c:v>2.1278215381418377</c:v>
                </c:pt>
                <c:pt idx="17">
                  <c:v>1.9444450916547069</c:v>
                </c:pt>
                <c:pt idx="18">
                  <c:v>1.7733716271761715</c:v>
                </c:pt>
                <c:pt idx="19">
                  <c:v>1.6144281687327737</c:v>
                </c:pt>
                <c:pt idx="20">
                  <c:v>1.4672879627829296</c:v>
                </c:pt>
                <c:pt idx="21">
                  <c:v>1.3315122363206857</c:v>
                </c:pt>
                <c:pt idx="22">
                  <c:v>1.2065838402625477</c:v>
                </c:pt>
                <c:pt idx="23">
                  <c:v>1.0919341642751288</c:v>
                </c:pt>
                <c:pt idx="24">
                  <c:v>0.98696448818466287</c:v>
                </c:pt>
                <c:pt idx="25">
                  <c:v>0.89106274785071804</c:v>
                </c:pt>
                <c:pt idx="26">
                  <c:v>0.80361653487790807</c:v>
                </c:pt>
                <c:pt idx="27">
                  <c:v>0.72402301550206172</c:v>
                </c:pt>
                <c:pt idx="28">
                  <c:v>0.65169634076423666</c:v>
                </c:pt>
                <c:pt idx="29">
                  <c:v>0.58607302455389476</c:v>
                </c:pt>
                <c:pt idx="30">
                  <c:v>0.52661568559625671</c:v>
                </c:pt>
                <c:pt idx="31">
                  <c:v>0.47281548170382726</c:v>
                </c:pt>
              </c:numCache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</c:strRef>
          </c:tx>
          <c:marker>
            <c:symbol val="none"/>
          </c:marker>
          <c:val>
            <c:numRef>
              <c:f>EPM!$AF$19:$AF$50</c:f>
              <c:numCache>
                <c:formatCode>#,##0.00</c:formatCode>
                <c:ptCount val="32"/>
                <c:pt idx="0">
                  <c:v>4.875</c:v>
                </c:pt>
                <c:pt idx="1">
                  <c:v>4.8719997554821672</c:v>
                </c:pt>
                <c:pt idx="2">
                  <c:v>4.8610444341677788</c:v>
                </c:pt>
                <c:pt idx="3">
                  <c:v>4.8396943343784802</c:v>
                </c:pt>
                <c:pt idx="4">
                  <c:v>4.8044522802596985</c:v>
                </c:pt>
                <c:pt idx="5">
                  <c:v>4.7540668436304534</c:v>
                </c:pt>
                <c:pt idx="6">
                  <c:v>4.6867512414276966</c:v>
                </c:pt>
                <c:pt idx="7">
                  <c:v>4.6009088546016379</c:v>
                </c:pt>
                <c:pt idx="8">
                  <c:v>4.4970969222370778</c:v>
                </c:pt>
                <c:pt idx="9">
                  <c:v>4.3747034595806502</c:v>
                </c:pt>
                <c:pt idx="10">
                  <c:v>4.2361372859816608</c:v>
                </c:pt>
                <c:pt idx="11">
                  <c:v>4.0816642717466625</c:v>
                </c:pt>
                <c:pt idx="12">
                  <c:v>3.9135600996823774</c:v>
                </c:pt>
                <c:pt idx="13">
                  <c:v>3.7331344428661009</c:v>
                </c:pt>
                <c:pt idx="14">
                  <c:v>3.5423903239065293</c:v>
                </c:pt>
                <c:pt idx="15">
                  <c:v>3.3469225386066568</c:v>
                </c:pt>
                <c:pt idx="16">
                  <c:v>3.1438922634842248</c:v>
                </c:pt>
                <c:pt idx="17">
                  <c:v>2.9391064914203269</c:v>
                </c:pt>
                <c:pt idx="18">
                  <c:v>2.7328972765270612</c:v>
                </c:pt>
                <c:pt idx="19">
                  <c:v>2.5289417110708987</c:v>
                </c:pt>
                <c:pt idx="20">
                  <c:v>2.3266072504397894</c:v>
                </c:pt>
                <c:pt idx="21">
                  <c:v>2.1286729999044605</c:v>
                </c:pt>
                <c:pt idx="22">
                  <c:v>1.9367970475836045</c:v>
                </c:pt>
                <c:pt idx="23">
                  <c:v>1.7516767974748773</c:v>
                </c:pt>
                <c:pt idx="24">
                  <c:v>1.5738944733336662</c:v>
                </c:pt>
                <c:pt idx="25">
                  <c:v>1.408150410655743</c:v>
                </c:pt>
                <c:pt idx="26">
                  <c:v>1.2552725581317399</c:v>
                </c:pt>
                <c:pt idx="27">
                  <c:v>1.1082372147906026</c:v>
                </c:pt>
                <c:pt idx="28">
                  <c:v>0.97417598913295411</c:v>
                </c:pt>
                <c:pt idx="29">
                  <c:v>0.85600648719284078</c:v>
                </c:pt>
                <c:pt idx="30">
                  <c:v>0.74947069296289826</c:v>
                </c:pt>
                <c:pt idx="31">
                  <c:v>0.65450685110921003</c:v>
                </c:pt>
              </c:numCache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CDC!$Y$12:$Y$43</c:f>
              <c:numCache>
                <c:formatCode>#,##0.00</c:formatCode>
                <c:ptCount val="32"/>
                <c:pt idx="0">
                  <c:v>4.875</c:v>
                </c:pt>
                <c:pt idx="1">
                  <c:v>5.0212500000000002</c:v>
                </c:pt>
                <c:pt idx="2">
                  <c:v>5.1718875000000004</c:v>
                </c:pt>
                <c:pt idx="3">
                  <c:v>5.3270441250000005</c:v>
                </c:pt>
                <c:pt idx="4">
                  <c:v>5.2153105934760946</c:v>
                </c:pt>
                <c:pt idx="5">
                  <c:v>5.0925087860354026</c:v>
                </c:pt>
                <c:pt idx="6">
                  <c:v>4.9594375326484741</c:v>
                </c:pt>
                <c:pt idx="7">
                  <c:v>4.8168527110838442</c:v>
                </c:pt>
                <c:pt idx="8">
                  <c:v>4.6654497605870526</c:v>
                </c:pt>
                <c:pt idx="9">
                  <c:v>4.5058518302415518</c:v>
                </c:pt>
                <c:pt idx="10">
                  <c:v>4.3386052798493182</c:v>
                </c:pt>
                <c:pt idx="11">
                  <c:v>4.1641841700828115</c:v>
                </c:pt>
                <c:pt idx="12">
                  <c:v>3.9830051107749114</c:v>
                </c:pt>
                <c:pt idx="13">
                  <c:v>3.7954533107260624</c:v>
                </c:pt>
                <c:pt idx="14">
                  <c:v>3.6019198168055078</c:v>
                </c:pt>
                <c:pt idx="15">
                  <c:v>3.4028486868926473</c:v>
                </c:pt>
                <c:pt idx="16">
                  <c:v>3.1987911955326012</c:v>
                </c:pt>
                <c:pt idx="17">
                  <c:v>2.9904621908637883</c:v>
                </c:pt>
                <c:pt idx="18">
                  <c:v>2.7787916061480247</c:v>
                </c:pt>
                <c:pt idx="19">
                  <c:v>2.5649622590209438</c:v>
                </c:pt>
                <c:pt idx="20">
                  <c:v>2.3504240312119897</c:v>
                </c:pt>
                <c:pt idx="21">
                  <c:v>2.1368750647711243</c:v>
                </c:pt>
                <c:pt idx="22">
                  <c:v>1.9262035160303308</c:v>
                </c:pt>
                <c:pt idx="23">
                  <c:v>1.7203891836086458</c:v>
                </c:pt>
                <c:pt idx="24">
                  <c:v>1.5213727681924682</c:v>
                </c:pt>
                <c:pt idx="25">
                  <c:v>1.3309102348119344</c:v>
                </c:pt>
                <c:pt idx="26">
                  <c:v>1.1800466373037291</c:v>
                </c:pt>
                <c:pt idx="27">
                  <c:v>1.0484831689114029</c:v>
                </c:pt>
                <c:pt idx="28">
                  <c:v>0.93164668891757818</c:v>
                </c:pt>
                <c:pt idx="29">
                  <c:v>0.8264561385072674</c:v>
                </c:pt>
                <c:pt idx="30">
                  <c:v>0.73106753780467915</c:v>
                </c:pt>
                <c:pt idx="31">
                  <c:v>0.64445897432453092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4.9309959887230264</c:v>
                </c:pt>
                <c:pt idx="2">
                  <c:v>4.9817847924943521</c:v>
                </c:pt>
                <c:pt idx="3">
                  <c:v>4.955557063094389</c:v>
                </c:pt>
                <c:pt idx="4">
                  <c:v>4.8693690484198413</c:v>
                </c:pt>
                <c:pt idx="5">
                  <c:v>4.7373709762713361</c:v>
                </c:pt>
                <c:pt idx="6">
                  <c:v>4.5712500574137778</c:v>
                </c:pt>
                <c:pt idx="7">
                  <c:v>4.3806100084785555</c:v>
                </c:pt>
                <c:pt idx="8">
                  <c:v>4.1732958389132335</c:v>
                </c:pt>
                <c:pt idx="9">
                  <c:v>3.9556714742550412</c:v>
                </c:pt>
                <c:pt idx="10">
                  <c:v>3.7328567700103079</c:v>
                </c:pt>
                <c:pt idx="11">
                  <c:v>3.5089295864541228</c:v>
                </c:pt>
                <c:pt idx="12">
                  <c:v>3.2870978273521061</c:v>
                </c:pt>
                <c:pt idx="13">
                  <c:v>3.0698456798102072</c:v>
                </c:pt>
                <c:pt idx="14">
                  <c:v>2.8590577149735061</c:v>
                </c:pt>
                <c:pt idx="15">
                  <c:v>2.6561240086110551</c:v>
                </c:pt>
                <c:pt idx="16">
                  <c:v>2.4620290067150066</c:v>
                </c:pt>
                <c:pt idx="17">
                  <c:v>2.2774264853666359</c:v>
                </c:pt>
                <c:pt idx="18">
                  <c:v>2.1027026286713379</c:v>
                </c:pt>
                <c:pt idx="19">
                  <c:v>1.9380289669090338</c:v>
                </c:pt>
                <c:pt idx="20">
                  <c:v>1.7834066734167564</c:v>
                </c:pt>
                <c:pt idx="21">
                  <c:v>1.638703508094828</c:v>
                </c:pt>
                <c:pt idx="22">
                  <c:v>1.5036845134342656</c:v>
                </c:pt>
                <c:pt idx="23">
                  <c:v>1.3780374118044865</c:v>
                </c:pt>
                <c:pt idx="24">
                  <c:v>1.2613935171072175</c:v>
                </c:pt>
                <c:pt idx="25">
                  <c:v>1.1533448569234412</c:v>
                </c:pt>
                <c:pt idx="26">
                  <c:v>1.0534581004581547</c:v>
                </c:pt>
                <c:pt idx="27">
                  <c:v>0.96128580075206926</c:v>
                </c:pt>
                <c:pt idx="28">
                  <c:v>0.87637538489665268</c:v>
                </c:pt>
                <c:pt idx="29">
                  <c:v>0.79827626172397181</c:v>
                </c:pt>
                <c:pt idx="30">
                  <c:v>0.72654536122476632</c:v>
                </c:pt>
                <c:pt idx="31">
                  <c:v>0.66075137254706107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69184"/>
        <c:axId val="525970752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GQWF!$G$21:$G$52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4.875</c:v>
                      </c:pt>
                      <c:pt idx="1">
                        <c:v>4.8234618130972704</c:v>
                      </c:pt>
                      <c:pt idx="2">
                        <c:v>4.7554790293840927</c:v>
                      </c:pt>
                      <c:pt idx="3">
                        <c:v>4.6717350432735785</c:v>
                      </c:pt>
                      <c:pt idx="4">
                        <c:v>4.5730697197984673</c:v>
                      </c:pt>
                      <c:pt idx="5">
                        <c:v>4.460465498816796</c:v>
                      </c:pt>
                      <c:pt idx="6">
                        <c:v>4.3350312232097501</c:v>
                      </c:pt>
                      <c:pt idx="7">
                        <c:v>4.1979840615827246</c:v>
                      </c:pt>
                      <c:pt idx="8">
                        <c:v>4.050629936326569</c:v>
                      </c:pt>
                      <c:pt idx="9">
                        <c:v>3.8943428962663784</c:v>
                      </c:pt>
                      <c:pt idx="10">
                        <c:v>3.7305438888375329</c:v>
                      </c:pt>
                      <c:pt idx="11">
                        <c:v>3.5606793895459572</c:v>
                      </c:pt>
                      <c:pt idx="12">
                        <c:v>3.3862003366026547</c:v>
                      </c:pt>
                      <c:pt idx="13">
                        <c:v>3.2085417967119336</c:v>
                      </c:pt>
                      <c:pt idx="14">
                        <c:v>3.0291037550753579</c:v>
                      </c:pt>
                      <c:pt idx="15">
                        <c:v>2.8492333801319742</c:v>
                      </c:pt>
                      <c:pt idx="16">
                        <c:v>2.6702090630561695</c:v>
                      </c:pt>
                      <c:pt idx="17">
                        <c:v>2.4932264754552294</c:v>
                      </c:pt>
                      <c:pt idx="18">
                        <c:v>2.3193868280595402</c:v>
                      </c:pt>
                      <c:pt idx="19">
                        <c:v>2.1496874505413195</c:v>
                      </c:pt>
                      <c:pt idx="20">
                        <c:v>1.9850147499668755</c:v>
                      </c:pt>
                      <c:pt idx="21">
                        <c:v>1.8261395447130691</c:v>
                      </c:pt>
                      <c:pt idx="22">
                        <c:v>1.6737147137211801</c:v>
                      </c:pt>
                      <c:pt idx="23">
                        <c:v>1.5282750492530908</c:v>
                      </c:pt>
                      <c:pt idx="24">
                        <c:v>1.3902391561161811</c:v>
                      </c:pt>
                      <c:pt idx="25">
                        <c:v>1.2599132025920374</c:v>
                      </c:pt>
                      <c:pt idx="26">
                        <c:v>1.1374962986780799</c:v>
                      </c:pt>
                      <c:pt idx="27">
                        <c:v>1.0230872560466786</c:v>
                      </c:pt>
                      <c:pt idx="28">
                        <c:v>0.91669247134829801</c:v>
                      </c:pt>
                      <c:pt idx="29">
                        <c:v>0.81823466985065174</c:v>
                      </c:pt>
                      <c:pt idx="30">
                        <c:v>0.7275622493763747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8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comparison!$B$45</c15:sqref>
                        </c15:formulaRef>
                      </c:ext>
                    </c:extLst>
                    <c:strCache>
                      <c:ptCount val="1"/>
                      <c:pt idx="0">
                        <c:v>LIMITS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LIMITS!$G$8:$G$39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4.875</c:v>
                      </c:pt>
                      <c:pt idx="1">
                        <c:v>4.81456597830425</c:v>
                      </c:pt>
                      <c:pt idx="2">
                        <c:v>4.7386808174297643</c:v>
                      </c:pt>
                      <c:pt idx="3">
                        <c:v>4.6480528134921579</c:v>
                      </c:pt>
                      <c:pt idx="4">
                        <c:v>4.5435298212235633</c:v>
                      </c:pt>
                      <c:pt idx="5">
                        <c:v>4.4260860216797866</c:v>
                      </c:pt>
                      <c:pt idx="6">
                        <c:v>4.2968067442113762</c:v>
                      </c:pt>
                      <c:pt idx="7">
                        <c:v>4.15687167462921</c:v>
                      </c:pt>
                      <c:pt idx="8">
                        <c:v>4.0075368148860058</c:v>
                      </c:pt>
                      <c:pt idx="9">
                        <c:v>3.8501155827248192</c:v>
                      </c:pt>
                      <c:pt idx="10">
                        <c:v>3.6859594520585834</c:v>
                      </c:pt>
                      <c:pt idx="11">
                        <c:v>3.516438536156048</c:v>
                      </c:pt>
                      <c:pt idx="12">
                        <c:v>3.3429225062056762</c:v>
                      </c:pt>
                      <c:pt idx="13">
                        <c:v>3.1667622180553039</c:v>
                      </c:pt>
                      <c:pt idx="14">
                        <c:v>2.9892723907576166</c:v>
                      </c:pt>
                      <c:pt idx="15">
                        <c:v>2.8117156431564867</c:v>
                      </c:pt>
                      <c:pt idx="16">
                        <c:v>2.6352881505332677</c:v>
                      </c:pt>
                      <c:pt idx="17">
                        <c:v>2.4611071338821775</c:v>
                      </c:pt>
                      <c:pt idx="18">
                        <c:v>2.2902003414027665</c:v>
                      </c:pt>
                      <c:pt idx="19">
                        <c:v>2.1234976270369308</c:v>
                      </c:pt>
                      <c:pt idx="20">
                        <c:v>1.9618246760722053</c:v>
                      </c:pt>
                      <c:pt idx="21">
                        <c:v>1.8058988746356974</c:v>
                      </c:pt>
                      <c:pt idx="22">
                        <c:v>1.6563272698300149</c:v>
                      </c:pt>
                      <c:pt idx="23">
                        <c:v>1.5136065216433305</c:v>
                      </c:pt>
                      <c:pt idx="24">
                        <c:v>1.3781247077046315</c:v>
                      </c:pt>
                      <c:pt idx="25">
                        <c:v>1.2501648083034853</c:v>
                      </c:pt>
                      <c:pt idx="26">
                        <c:v>1.1299096724337625</c:v>
                      </c:pt>
                      <c:pt idx="27">
                        <c:v>1.0174482462620484</c:v>
                      </c:pt>
                      <c:pt idx="28">
                        <c:v>0.91278283340726019</c:v>
                      </c:pt>
                      <c:pt idx="29">
                        <c:v>0.81583715154279002</c:v>
                      </c:pt>
                      <c:pt idx="30">
                        <c:v>0.72646495166806091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'pc20'!$G$8:$G$39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4.875</c:v>
                      </c:pt>
                      <c:pt idx="1">
                        <c:v>5.9265453274317608</c:v>
                      </c:pt>
                      <c:pt idx="2">
                        <c:v>5.7885690645752979</c:v>
                      </c:pt>
                      <c:pt idx="3">
                        <c:v>5.6348123877180463</c:v>
                      </c:pt>
                      <c:pt idx="4">
                        <c:v>5.4666516516893218</c:v>
                      </c:pt>
                      <c:pt idx="5">
                        <c:v>5.2855729501050233</c:v>
                      </c:pt>
                      <c:pt idx="6">
                        <c:v>5.093150056677473</c:v>
                      </c:pt>
                      <c:pt idx="7">
                        <c:v>4.8910214416562647</c:v>
                      </c:pt>
                      <c:pt idx="8">
                        <c:v>4.6808668373948148</c:v>
                      </c:pt>
                      <c:pt idx="9">
                        <c:v>4.4643838263575999</c:v>
                      </c:pt>
                      <c:pt idx="10">
                        <c:v>4.2432649117954506</c:v>
                      </c:pt>
                      <c:pt idx="11">
                        <c:v>4.0191755064959347</c:v>
                      </c:pt>
                      <c:pt idx="12">
                        <c:v>3.7937332395075494</c:v>
                      </c:pt>
                      <c:pt idx="13">
                        <c:v>3.5684889359075114</c:v>
                      </c:pt>
                      <c:pt idx="14">
                        <c:v>3.3449095721660154</c:v>
                      </c:pt>
                      <c:pt idx="15">
                        <c:v>3.1243634512855514</c:v>
                      </c:pt>
                      <c:pt idx="16">
                        <c:v>2.9081077796184376</c:v>
                      </c:pt>
                      <c:pt idx="17">
                        <c:v>2.6972787630957993</c:v>
                      </c:pt>
                      <c:pt idx="18">
                        <c:v>2.4928842765192538</c:v>
                      </c:pt>
                      <c:pt idx="19">
                        <c:v>2.2957990974605429</c:v>
                      </c:pt>
                      <c:pt idx="20">
                        <c:v>2.1067626379138931</c:v>
                      </c:pt>
                      <c:pt idx="21">
                        <c:v>1.9263790536676706</c:v>
                      </c:pt>
                      <c:pt idx="22">
                        <c:v>1.7551195646661806</c:v>
                      </c:pt>
                      <c:pt idx="23">
                        <c:v>1.5933267803920266</c:v>
                      </c:pt>
                      <c:pt idx="24">
                        <c:v>1.4412207931814525</c:v>
                      </c:pt>
                      <c:pt idx="25">
                        <c:v>1.2989067797462466</c:v>
                      </c:pt>
                      <c:pt idx="26">
                        <c:v>1.1663838370699049</c:v>
                      </c:pt>
                      <c:pt idx="27">
                        <c:v>1.043554773042743</c:v>
                      </c:pt>
                      <c:pt idx="28">
                        <c:v>0.93023657421546502</c:v>
                      </c:pt>
                      <c:pt idx="29">
                        <c:v>0.82617128218012503</c:v>
                      </c:pt>
                      <c:pt idx="30">
                        <c:v>0.73103702545270133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2596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0752"/>
        <c:crosses val="autoZero"/>
        <c:auto val="1"/>
        <c:lblAlgn val="ctr"/>
        <c:lblOffset val="100"/>
        <c:noMultiLvlLbl val="0"/>
      </c:catAx>
      <c:valAx>
        <c:axId val="52597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 t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5969184"/>
        <c:crosses val="autoZero"/>
        <c:crossBetween val="midCat"/>
      </c:valAx>
    </c:plotArea>
    <c:legend>
      <c:legendPos val="t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600"/>
              <a:t>Country C per capita emissions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5465994016248761E-2"/>
          <c:y val="0.19452333317019949"/>
          <c:w val="0.62275807535186878"/>
          <c:h val="0.73436203278864953"/>
        </c:manualLayout>
      </c:layout>
      <c:lineChart>
        <c:grouping val="standard"/>
        <c:varyColors val="0"/>
        <c:ser>
          <c:idx val="0"/>
          <c:order val="0"/>
          <c:tx>
            <c:strRef>
              <c:f>comparison!$B$41</c:f>
              <c:strCache>
                <c:ptCount val="1"/>
                <c:pt idx="0">
                  <c:v>RF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RF!$J$9:$J$40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0.72044655657579704</c:v>
                </c:pt>
                <c:pt idx="2">
                  <c:v>0.71846164343321628</c:v>
                </c:pt>
                <c:pt idx="3">
                  <c:v>0.71624971478451127</c:v>
                </c:pt>
                <c:pt idx="4">
                  <c:v>0.71383057073683798</c:v>
                </c:pt>
                <c:pt idx="5">
                  <c:v>0.71122559008889841</c:v>
                </c:pt>
                <c:pt idx="6">
                  <c:v>0.70845741299676301</c:v>
                </c:pt>
                <c:pt idx="7">
                  <c:v>0.70554961033461561</c:v>
                </c:pt>
                <c:pt idx="8">
                  <c:v>0.70252634656926549</c:v>
                </c:pt>
                <c:pt idx="9">
                  <c:v>0.69941204295748982</c:v>
                </c:pt>
                <c:pt idx="10">
                  <c:v>0.69623104768699073</c:v>
                </c:pt>
                <c:pt idx="11">
                  <c:v>0.69300731922469161</c:v>
                </c:pt>
                <c:pt idx="12">
                  <c:v>0.68976412862527725</c:v>
                </c:pt>
                <c:pt idx="13">
                  <c:v>0.68652378590797791</c:v>
                </c:pt>
                <c:pt idx="14">
                  <c:v>0.68330739485409098</c:v>
                </c:pt>
                <c:pt idx="15">
                  <c:v>0.68013463973797217</c:v>
                </c:pt>
                <c:pt idx="16">
                  <c:v>0.67702360660833749</c:v>
                </c:pt>
                <c:pt idx="17">
                  <c:v>0.67399064081357285</c:v>
                </c:pt>
                <c:pt idx="18">
                  <c:v>0.67105024154287496</c:v>
                </c:pt>
                <c:pt idx="19">
                  <c:v>0.66821499326159295</c:v>
                </c:pt>
                <c:pt idx="20">
                  <c:v>0.66549553307900078</c:v>
                </c:pt>
                <c:pt idx="21">
                  <c:v>0.66290055232170497</c:v>
                </c:pt>
                <c:pt idx="22">
                  <c:v>0.66043682991414621</c:v>
                </c:pt>
                <c:pt idx="23">
                  <c:v>0.65810929460313006</c:v>
                </c:pt>
                <c:pt idx="24">
                  <c:v>0.65592111261567088</c:v>
                </c:pt>
                <c:pt idx="25">
                  <c:v>0.65387379701374881</c:v>
                </c:pt>
                <c:pt idx="26">
                  <c:v>0.65196733480665636</c:v>
                </c:pt>
                <c:pt idx="27">
                  <c:v>0.65020032779812464</c:v>
                </c:pt>
                <c:pt idx="28">
                  <c:v>0.64857014317441286</c:v>
                </c:pt>
                <c:pt idx="29">
                  <c:v>0.64707306997086966</c:v>
                </c:pt>
                <c:pt idx="30">
                  <c:v>0.64570447777552709</c:v>
                </c:pt>
                <c:pt idx="31">
                  <c:v>0.6444589743245307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val>
            <c:numRef>
              <c:f>'C&amp;C-exp'!$J$11:$J$42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0.81649321737927982</c:v>
                </c:pt>
                <c:pt idx="2">
                  <c:v>0.91581388255235607</c:v>
                </c:pt>
                <c:pt idx="3">
                  <c:v>1.0194316205068965</c:v>
                </c:pt>
                <c:pt idx="4">
                  <c:v>1.1264201813456054</c:v>
                </c:pt>
                <c:pt idx="5">
                  <c:v>1.2356279305738234</c:v>
                </c:pt>
                <c:pt idx="6">
                  <c:v>1.3456666088479432</c:v>
                </c:pt>
                <c:pt idx="7">
                  <c:v>1.4549070508622255</c:v>
                </c:pt>
                <c:pt idx="8">
                  <c:v>1.5614843979067472</c:v>
                </c:pt>
                <c:pt idx="9">
                  <c:v>1.6633156562946294</c:v>
                </c:pt>
                <c:pt idx="10">
                  <c:v>1.7581326401105006</c:v>
                </c:pt>
                <c:pt idx="11">
                  <c:v>1.8435332881499942</c:v>
                </c:pt>
                <c:pt idx="12">
                  <c:v>1.9170539268689963</c:v>
                </c:pt>
                <c:pt idx="13">
                  <c:v>1.9762641022084928</c:v>
                </c:pt>
                <c:pt idx="14">
                  <c:v>2.0188839505377225</c:v>
                </c:pt>
                <c:pt idx="15">
                  <c:v>2.0429215711944564</c:v>
                </c:pt>
                <c:pt idx="16">
                  <c:v>2.0468244261895125</c:v>
                </c:pt>
                <c:pt idx="17">
                  <c:v>2.0296345137656355</c:v>
                </c:pt>
                <c:pt idx="18">
                  <c:v>1.9911322981511828</c:v>
                </c:pt>
                <c:pt idx="19">
                  <c:v>1.931949868407105</c:v>
                </c:pt>
                <c:pt idx="20">
                  <c:v>1.8536307479090472</c:v>
                </c:pt>
                <c:pt idx="21">
                  <c:v>1.7586138180715232</c:v>
                </c:pt>
                <c:pt idx="22">
                  <c:v>1.6501237799576831</c:v>
                </c:pt>
                <c:pt idx="23">
                  <c:v>1.531961910107003</c:v>
                </c:pt>
                <c:pt idx="24">
                  <c:v>1.4082087469746711</c:v>
                </c:pt>
                <c:pt idx="25">
                  <c:v>1.2828725588114027</c:v>
                </c:pt>
                <c:pt idx="26">
                  <c:v>1.1595385649863714</c:v>
                </c:pt>
                <c:pt idx="27">
                  <c:v>1.0410855712628018</c:v>
                </c:pt>
                <c:pt idx="28">
                  <c:v>0.92953008516199409</c:v>
                </c:pt>
                <c:pt idx="29">
                  <c:v>0.82602856479930731</c:v>
                </c:pt>
                <c:pt idx="30">
                  <c:v>0.73102173829724104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</c:strRef>
          </c:tx>
          <c:marker>
            <c:symbol val="none"/>
          </c:marker>
          <c:val>
            <c:numRef>
              <c:f>'C&amp;C-lin'!$J$8:$J$39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0.8760912682164822</c:v>
                </c:pt>
                <c:pt idx="2">
                  <c:v>1.1739448779298254</c:v>
                </c:pt>
                <c:pt idx="3">
                  <c:v>1.577476924904502</c:v>
                </c:pt>
                <c:pt idx="4">
                  <c:v>2.0383034325698088</c:v>
                </c:pt>
                <c:pt idx="5">
                  <c:v>2.5054292014947936</c:v>
                </c:pt>
                <c:pt idx="6">
                  <c:v>2.9327212111060752</c:v>
                </c:pt>
                <c:pt idx="7">
                  <c:v>3.2848103887804885</c:v>
                </c:pt>
                <c:pt idx="8">
                  <c:v>3.5403663585808118</c:v>
                </c:pt>
                <c:pt idx="9">
                  <c:v>3.6924293344572248</c:v>
                </c:pt>
                <c:pt idx="10">
                  <c:v>3.746228827084725</c:v>
                </c:pt>
                <c:pt idx="11">
                  <c:v>3.7154417605305246</c:v>
                </c:pt>
                <c:pt idx="12">
                  <c:v>3.6180158380784837</c:v>
                </c:pt>
                <c:pt idx="13">
                  <c:v>3.4725172446432642</c:v>
                </c:pt>
                <c:pt idx="14">
                  <c:v>3.2955773813627207</c:v>
                </c:pt>
                <c:pt idx="15">
                  <c:v>3.100580493837616</c:v>
                </c:pt>
                <c:pt idx="16">
                  <c:v>2.8973964255961646</c:v>
                </c:pt>
                <c:pt idx="17">
                  <c:v>2.6927920732367832</c:v>
                </c:pt>
                <c:pt idx="18">
                  <c:v>2.4911453389357887</c:v>
                </c:pt>
                <c:pt idx="19">
                  <c:v>2.2951791779448341</c:v>
                </c:pt>
                <c:pt idx="20">
                  <c:v>2.1065607789559637</c:v>
                </c:pt>
                <c:pt idx="21">
                  <c:v>1.9263195131683228</c:v>
                </c:pt>
                <c:pt idx="22">
                  <c:v>1.7551038154752414</c:v>
                </c:pt>
                <c:pt idx="23">
                  <c:v>1.5933230907461142</c:v>
                </c:pt>
                <c:pt idx="24">
                  <c:v>1.4412200395713708</c:v>
                </c:pt>
                <c:pt idx="25">
                  <c:v>1.2989066482892453</c:v>
                </c:pt>
                <c:pt idx="26">
                  <c:v>1.1663838180304045</c:v>
                </c:pt>
                <c:pt idx="27">
                  <c:v>1.0435547708447432</c:v>
                </c:pt>
                <c:pt idx="28">
                  <c:v>0.93023657402585325</c:v>
                </c:pt>
                <c:pt idx="29">
                  <c:v>0.82617128216926039</c:v>
                </c:pt>
                <c:pt idx="30">
                  <c:v>0.73103702545239113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comparison!$B$47</c:f>
              <c:strCache>
                <c:ptCount val="1"/>
                <c:pt idx="0">
                  <c:v>SPM-eq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val>
            <c:numRef>
              <c:f>'SPM-eq'!$J$11:$J$42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0.72925179763877701</c:v>
                </c:pt>
                <c:pt idx="2">
                  <c:v>0.74276705351992922</c:v>
                </c:pt>
                <c:pt idx="3">
                  <c:v>0.75538394785568497</c:v>
                </c:pt>
                <c:pt idx="4">
                  <c:v>0.76713444530027741</c:v>
                </c:pt>
                <c:pt idx="5">
                  <c:v>0.77804956005628434</c:v>
                </c:pt>
                <c:pt idx="6">
                  <c:v>0.78815938178491107</c:v>
                </c:pt>
                <c:pt idx="7">
                  <c:v>0.79749310084446934</c:v>
                </c:pt>
                <c:pt idx="8">
                  <c:v>0.80607903287570648</c:v>
                </c:pt>
                <c:pt idx="9">
                  <c:v>0.81394464274860157</c:v>
                </c:pt>
                <c:pt idx="10">
                  <c:v>0.82111656788786058</c:v>
                </c:pt>
                <c:pt idx="11">
                  <c:v>0.82762064099194466</c:v>
                </c:pt>
                <c:pt idx="12">
                  <c:v>0.83348191216149325</c:v>
                </c:pt>
                <c:pt idx="13">
                  <c:v>0.83872467045103882</c:v>
                </c:pt>
                <c:pt idx="14">
                  <c:v>0.843372464859793</c:v>
                </c:pt>
                <c:pt idx="15">
                  <c:v>0.8474481247742458</c:v>
                </c:pt>
                <c:pt idx="16">
                  <c:v>0.85097377987738909</c:v>
                </c:pt>
                <c:pt idx="17">
                  <c:v>0.8539708795373544</c:v>
                </c:pt>
                <c:pt idx="18">
                  <c:v>0.85646021168922526</c:v>
                </c:pt>
                <c:pt idx="19">
                  <c:v>0.85846192122191056</c:v>
                </c:pt>
                <c:pt idx="20">
                  <c:v>0.85999552788330336</c:v>
                </c:pt>
                <c:pt idx="21">
                  <c:v>0.86107994371572827</c:v>
                </c:pt>
                <c:pt idx="22">
                  <c:v>0.86173349003328259</c:v>
                </c:pt>
                <c:pt idx="23">
                  <c:v>0.86197391395278822</c:v>
                </c:pt>
                <c:pt idx="24">
                  <c:v>0.86181840448985836</c:v>
                </c:pt>
                <c:pt idx="25">
                  <c:v>0.86128360823062811</c:v>
                </c:pt>
                <c:pt idx="26">
                  <c:v>0.86038564459048439</c:v>
                </c:pt>
                <c:pt idx="27">
                  <c:v>0.8591401206695749</c:v>
                </c:pt>
                <c:pt idx="28">
                  <c:v>0.85756214571591372</c:v>
                </c:pt>
                <c:pt idx="29">
                  <c:v>0.85566634520582285</c:v>
                </c:pt>
                <c:pt idx="30">
                  <c:v>0.85346687455137915</c:v>
                </c:pt>
                <c:pt idx="31">
                  <c:v>0.85097743244408164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9"/>
          <c:order val="7"/>
          <c:tx>
            <c:strRef>
              <c:f>comparison!$B$48</c:f>
              <c:strCache>
                <c:ptCount val="1"/>
                <c:pt idx="0">
                  <c:v>SPM-in</c:v>
                </c:pt>
              </c:strCache>
            </c:strRef>
          </c:tx>
          <c:marker>
            <c:symbol val="none"/>
          </c:marker>
          <c:val>
            <c:numRef>
              <c:f>'SPM-in'!$J$11:$J$42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0.72686197022422494</c:v>
                </c:pt>
                <c:pt idx="2">
                  <c:v>0.72722119270092445</c:v>
                </c:pt>
                <c:pt idx="3">
                  <c:v>0.7164857547981095</c:v>
                </c:pt>
                <c:pt idx="4">
                  <c:v>0.6973806894807445</c:v>
                </c:pt>
                <c:pt idx="5">
                  <c:v>0.67212837734042352</c:v>
                </c:pt>
                <c:pt idx="6">
                  <c:v>0.64253098994897961</c:v>
                </c:pt>
                <c:pt idx="7">
                  <c:v>0.61004025457257283</c:v>
                </c:pt>
                <c:pt idx="8">
                  <c:v>0.57581641217703583</c:v>
                </c:pt>
                <c:pt idx="9">
                  <c:v>0.54077797194229793</c:v>
                </c:pt>
                <c:pt idx="10">
                  <c:v>0.5056436345773232</c:v>
                </c:pt>
                <c:pt idx="11">
                  <c:v>0.47096755835746623</c:v>
                </c:pt>
                <c:pt idx="12">
                  <c:v>0.43716897147692879</c:v>
                </c:pt>
                <c:pt idx="13">
                  <c:v>0.40455698812350666</c:v>
                </c:pt>
                <c:pt idx="14">
                  <c:v>0.3733513602779413</c:v>
                </c:pt>
                <c:pt idx="15">
                  <c:v>0.34369978971531157</c:v>
                </c:pt>
                <c:pt idx="16">
                  <c:v>0.31569233253954204</c:v>
                </c:pt>
                <c:pt idx="17">
                  <c:v>0.2893733496578017</c:v>
                </c:pt>
                <c:pt idx="18">
                  <c:v>0.26475138904020673</c:v>
                </c:pt>
                <c:pt idx="19">
                  <c:v>0.24180732781087541</c:v>
                </c:pt>
                <c:pt idx="20">
                  <c:v>0.22050105279912935</c:v>
                </c:pt>
                <c:pt idx="21">
                  <c:v>0.20077691595714592</c:v>
                </c:pt>
                <c:pt idx="22">
                  <c:v>0.1825681649999242</c:v>
                </c:pt>
                <c:pt idx="23">
                  <c:v>0.16580051886567143</c:v>
                </c:pt>
                <c:pt idx="24">
                  <c:v>0.15039503137278881</c:v>
                </c:pt>
                <c:pt idx="25">
                  <c:v>0.13627036411300719</c:v>
                </c:pt>
                <c:pt idx="26">
                  <c:v>0.12334457060980396</c:v>
                </c:pt>
                <c:pt idx="27">
                  <c:v>0.11153647760660423</c:v>
                </c:pt>
                <c:pt idx="28">
                  <c:v>0.10076673561788708</c:v>
                </c:pt>
                <c:pt idx="29">
                  <c:v>9.0958599224227929E-2</c:v>
                </c:pt>
                <c:pt idx="30">
                  <c:v>8.2038487715523342E-2</c:v>
                </c:pt>
                <c:pt idx="31">
                  <c:v>7.3936368324907228E-2</c:v>
                </c:pt>
              </c:numCache>
            </c:numRef>
          </c:val>
          <c:smooth val="0"/>
        </c:ser>
        <c:ser>
          <c:idx val="7"/>
          <c:order val="8"/>
          <c:tx>
            <c:strRef>
              <c:f>comparison!$B$50</c:f>
              <c:strCache>
                <c:ptCount val="1"/>
                <c:pt idx="0">
                  <c:v>EPM</c:v>
                </c:pt>
              </c:strCache>
            </c:strRef>
          </c:tx>
          <c:marker>
            <c:symbol val="none"/>
          </c:marker>
          <c:val>
            <c:numRef>
              <c:f>EPM!$AI$19:$AI$50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0.72218653017956425</c:v>
                </c:pt>
                <c:pt idx="2">
                  <c:v>0.72218653017956425</c:v>
                </c:pt>
                <c:pt idx="3">
                  <c:v>0.72218653017956425</c:v>
                </c:pt>
                <c:pt idx="4">
                  <c:v>0.72218653017956425</c:v>
                </c:pt>
                <c:pt idx="5">
                  <c:v>0.72218653017956425</c:v>
                </c:pt>
                <c:pt idx="6">
                  <c:v>0.72218653017956425</c:v>
                </c:pt>
                <c:pt idx="7">
                  <c:v>0.72218653017956425</c:v>
                </c:pt>
                <c:pt idx="8">
                  <c:v>0.72218653017956425</c:v>
                </c:pt>
                <c:pt idx="9">
                  <c:v>0.72218653017956425</c:v>
                </c:pt>
                <c:pt idx="10">
                  <c:v>0.7221865301795638</c:v>
                </c:pt>
                <c:pt idx="11">
                  <c:v>0.72218653017956291</c:v>
                </c:pt>
                <c:pt idx="12">
                  <c:v>0.72218653017949419</c:v>
                </c:pt>
                <c:pt idx="13">
                  <c:v>0.72218653017686407</c:v>
                </c:pt>
                <c:pt idx="14">
                  <c:v>0.72218653011066536</c:v>
                </c:pt>
                <c:pt idx="15">
                  <c:v>0.72218652900485558</c:v>
                </c:pt>
                <c:pt idx="16">
                  <c:v>0.72218651510262966</c:v>
                </c:pt>
                <c:pt idx="17">
                  <c:v>0.72218638630516485</c:v>
                </c:pt>
                <c:pt idx="18">
                  <c:v>0.72218545468461826</c:v>
                </c:pt>
                <c:pt idx="19">
                  <c:v>0.72218016479842584</c:v>
                </c:pt>
                <c:pt idx="20">
                  <c:v>0.72215535866083813</c:v>
                </c:pt>
                <c:pt idx="21">
                  <c:v>0.72205905140414461</c:v>
                </c:pt>
                <c:pt idx="22">
                  <c:v>0.72174407077006597</c:v>
                </c:pt>
                <c:pt idx="23">
                  <c:v>0.72085819682232954</c:v>
                </c:pt>
                <c:pt idx="24">
                  <c:v>0.71868201274170351</c:v>
                </c:pt>
                <c:pt idx="25">
                  <c:v>0.71411760437511529</c:v>
                </c:pt>
                <c:pt idx="26">
                  <c:v>0.70574257301806298</c:v>
                </c:pt>
                <c:pt idx="27">
                  <c:v>0.69116989357836034</c:v>
                </c:pt>
                <c:pt idx="28">
                  <c:v>0.66915144637138879</c:v>
                </c:pt>
                <c:pt idx="29">
                  <c:v>0.6398723334640235</c:v>
                </c:pt>
                <c:pt idx="30">
                  <c:v>0.60309549542387553</c:v>
                </c:pt>
                <c:pt idx="31">
                  <c:v>0.56025924586368103</c:v>
                </c:pt>
              </c:numCache>
            </c:numRef>
          </c:val>
          <c:smooth val="0"/>
        </c:ser>
        <c:ser>
          <c:idx val="1"/>
          <c:order val="9"/>
          <c:tx>
            <c:strRef>
              <c:f>comparison!$B$51</c:f>
              <c:strCache>
                <c:ptCount val="1"/>
                <c:pt idx="0">
                  <c:v>CDC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val>
            <c:numRef>
              <c:f>CDC!$AB$12:$AB$43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0.73663026078315552</c:v>
                </c:pt>
                <c:pt idx="2">
                  <c:v>0.75136286599881863</c:v>
                </c:pt>
                <c:pt idx="3">
                  <c:v>0.76639012331879508</c:v>
                </c:pt>
                <c:pt idx="4">
                  <c:v>0.78171792578517107</c:v>
                </c:pt>
                <c:pt idx="5">
                  <c:v>0.79735228430087446</c:v>
                </c:pt>
                <c:pt idx="6">
                  <c:v>0.81329932998689203</c:v>
                </c:pt>
                <c:pt idx="7">
                  <c:v>0.82956531658662991</c:v>
                </c:pt>
                <c:pt idx="8">
                  <c:v>0.84615662291836247</c:v>
                </c:pt>
                <c:pt idx="9">
                  <c:v>0.86307975537672965</c:v>
                </c:pt>
                <c:pt idx="10">
                  <c:v>0.88034135048426432</c:v>
                </c:pt>
                <c:pt idx="11">
                  <c:v>0.89794817749394962</c:v>
                </c:pt>
                <c:pt idx="12">
                  <c:v>0.91590714104382853</c:v>
                </c:pt>
                <c:pt idx="13">
                  <c:v>0.93422528386470516</c:v>
                </c:pt>
                <c:pt idx="14">
                  <c:v>0.95290978954199923</c:v>
                </c:pt>
                <c:pt idx="15">
                  <c:v>0.97196798533283923</c:v>
                </c:pt>
                <c:pt idx="16">
                  <c:v>0.99140734503949601</c:v>
                </c:pt>
                <c:pt idx="17">
                  <c:v>1.0112354919402859</c:v>
                </c:pt>
                <c:pt idx="18">
                  <c:v>1.0314602017790917</c:v>
                </c:pt>
                <c:pt idx="19">
                  <c:v>1.0520894058146737</c:v>
                </c:pt>
                <c:pt idx="20">
                  <c:v>1.0731311939309671</c:v>
                </c:pt>
                <c:pt idx="21">
                  <c:v>1.0945938178095864</c:v>
                </c:pt>
                <c:pt idx="22">
                  <c:v>1.1164856941657781</c:v>
                </c:pt>
                <c:pt idx="23">
                  <c:v>1.1388154080490938</c:v>
                </c:pt>
                <c:pt idx="24">
                  <c:v>1.1615917162100757</c:v>
                </c:pt>
                <c:pt idx="25">
                  <c:v>1.1848235505342772</c:v>
                </c:pt>
                <c:pt idx="26">
                  <c:v>1.1176798340941811</c:v>
                </c:pt>
                <c:pt idx="27">
                  <c:v>1.0259864412992599</c:v>
                </c:pt>
                <c:pt idx="28">
                  <c:v>0.92520991573605516</c:v>
                </c:pt>
                <c:pt idx="29">
                  <c:v>0.82515585026519067</c:v>
                </c:pt>
                <c:pt idx="30">
                  <c:v>0.73092825758256552</c:v>
                </c:pt>
                <c:pt idx="31">
                  <c:v>0.64445897432453092</c:v>
                </c:pt>
              </c:numCache>
              <c:extLst xmlns:c15="http://schemas.microsoft.com/office/drawing/2012/chart"/>
            </c:numRef>
          </c:val>
          <c:smooth val="0"/>
        </c:ser>
        <c:ser>
          <c:idx val="10"/>
          <c:order val="10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0.72911316006496063</c:v>
                </c:pt>
                <c:pt idx="2">
                  <c:v>0.74181944371493835</c:v>
                </c:pt>
                <c:pt idx="3">
                  <c:v>0.7528795184517757</c:v>
                </c:pt>
                <c:pt idx="4">
                  <c:v>0.76238864915237381</c:v>
                </c:pt>
                <c:pt idx="5">
                  <c:v>0.77043759088446528</c:v>
                </c:pt>
                <c:pt idx="6">
                  <c:v>0.7771127833114585</c:v>
                </c:pt>
                <c:pt idx="7">
                  <c:v>0.78249653716085255</c:v>
                </c:pt>
                <c:pt idx="8">
                  <c:v>0.78666721306925724</c:v>
                </c:pt>
                <c:pt idx="9">
                  <c:v>0.78969939310447446</c:v>
                </c:pt>
                <c:pt idx="10">
                  <c:v>0.79166404525357614</c:v>
                </c:pt>
                <c:pt idx="11">
                  <c:v>0.79262868115521568</c:v>
                </c:pt>
                <c:pt idx="12">
                  <c:v>0.79265750734329687</c:v>
                </c:pt>
                <c:pt idx="13">
                  <c:v>0.79181157025871562</c:v>
                </c:pt>
                <c:pt idx="14">
                  <c:v>0.79014889527672594</c:v>
                </c:pt>
                <c:pt idx="15">
                  <c:v>0.78772461998686816</c:v>
                </c:pt>
                <c:pt idx="16">
                  <c:v>0.7845911219542373</c:v>
                </c:pt>
                <c:pt idx="17">
                  <c:v>0.78079814118133983</c:v>
                </c:pt>
                <c:pt idx="18">
                  <c:v>0.77639289748176166</c:v>
                </c:pt>
                <c:pt idx="19">
                  <c:v>0.77142020296822045</c:v>
                </c:pt>
                <c:pt idx="20">
                  <c:v>0.76592256985028251</c:v>
                </c:pt>
                <c:pt idx="21">
                  <c:v>0.75994031372892856</c:v>
                </c:pt>
                <c:pt idx="22">
                  <c:v>0.75351165256849362</c:v>
                </c:pt>
                <c:pt idx="23">
                  <c:v>0.74667280151848703</c:v>
                </c:pt>
                <c:pt idx="24">
                  <c:v>0.73945806375243517</c:v>
                </c:pt>
                <c:pt idx="25">
                  <c:v>0.73189991748321004</c:v>
                </c:pt>
                <c:pt idx="26">
                  <c:v>0.72402909930886472</c:v>
                </c:pt>
                <c:pt idx="27">
                  <c:v>0.71587468403632115</c:v>
                </c:pt>
                <c:pt idx="28">
                  <c:v>0.70746416112540655</c:v>
                </c:pt>
                <c:pt idx="29">
                  <c:v>0.6988235078891506</c:v>
                </c:pt>
                <c:pt idx="30">
                  <c:v>0.68997725958172884</c:v>
                </c:pt>
                <c:pt idx="31">
                  <c:v>0.6809485764999953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69576"/>
        <c:axId val="525971928"/>
        <c:extLst>
          <c:ext xmlns:c15="http://schemas.microsoft.com/office/drawing/2012/chart" uri="{02D57815-91ED-43cb-92C2-25804820EDAC}">
            <c15:filteredLineSeries>
              <c15:ser>
                <c:idx val="4"/>
                <c:order val="1"/>
                <c:tx>
                  <c:strRef>
                    <c:extLst>
                      <c:ext uri="{02D57815-91ED-43cb-92C2-25804820EDAC}">
                        <c15:formulaRef>
                          <c15:sqref>comparison!$B$42</c15:sqref>
                        </c15:formulaRef>
                      </c:ext>
                    </c:extLst>
                    <c:strCache>
                      <c:ptCount val="1"/>
                      <c:pt idx="0">
                        <c:v>GQWF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GQWF!$J$21:$J$52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0.72218653017956425</c:v>
                      </c:pt>
                      <c:pt idx="1">
                        <c:v>0.91649490069020423</c:v>
                      </c:pt>
                      <c:pt idx="2">
                        <c:v>1.0964191915941812</c:v>
                      </c:pt>
                      <c:pt idx="3">
                        <c:v>1.2606503249025469</c:v>
                      </c:pt>
                      <c:pt idx="4">
                        <c:v>1.4081279941226494</c:v>
                      </c:pt>
                      <c:pt idx="5">
                        <c:v>1.5380507682254134</c:v>
                      </c:pt>
                      <c:pt idx="6">
                        <c:v>1.6498807703738849</c:v>
                      </c:pt>
                      <c:pt idx="7">
                        <c:v>1.743342977909033</c:v>
                      </c:pt>
                      <c:pt idx="8">
                        <c:v>1.8184193308248098</c:v>
                      </c:pt>
                      <c:pt idx="9">
                        <c:v>1.8753379672263353</c:v>
                      </c:pt>
                      <c:pt idx="10">
                        <c:v>1.9145580219826173</c:v>
                      </c:pt>
                      <c:pt idx="11">
                        <c:v>1.9367505254912545</c:v>
                      </c:pt>
                      <c:pt idx="12">
                        <c:v>1.9427760204236273</c:v>
                      </c:pt>
                      <c:pt idx="13">
                        <c:v>1.9336595735820306</c:v>
                      </c:pt>
                      <c:pt idx="14">
                        <c:v>1.9105638965014806</c:v>
                      </c:pt>
                      <c:pt idx="15">
                        <c:v>1.8747613019650318</c:v>
                      </c:pt>
                      <c:pt idx="16">
                        <c:v>1.8276052148120501</c:v>
                      </c:pt>
                      <c:pt idx="17">
                        <c:v>1.7705019257246009</c:v>
                      </c:pt>
                      <c:pt idx="18">
                        <c:v>1.7048832281864972</c:v>
                      </c:pt>
                      <c:pt idx="19">
                        <c:v>1.6321805142010422</c:v>
                      </c:pt>
                      <c:pt idx="20">
                        <c:v>1.5538008267387518</c:v>
                      </c:pt>
                      <c:pt idx="21">
                        <c:v>1.4711052796621231</c:v>
                      </c:pt>
                      <c:pt idx="22">
                        <c:v>1.3853901625710994</c:v>
                      </c:pt>
                      <c:pt idx="23">
                        <c:v>1.2978709521453937</c:v>
                      </c:pt>
                      <c:pt idx="24">
                        <c:v>1.2096693564899659</c:v>
                      </c:pt>
                      <c:pt idx="25">
                        <c:v>1.1218034278033173</c:v>
                      </c:pt>
                      <c:pt idx="26">
                        <c:v>1.0351806940922925</c:v>
                      </c:pt>
                      <c:pt idx="27">
                        <c:v>0.95059418490238012</c:v>
                      </c:pt>
                      <c:pt idx="28">
                        <c:v>0.86872116086036599</c:v>
                      </c:pt>
                      <c:pt idx="29">
                        <c:v>0.79012430344148521</c:v>
                      </c:pt>
                      <c:pt idx="30">
                        <c:v>0.7152550804432749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6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comparison!$B$45</c15:sqref>
                        </c15:formulaRef>
                      </c:ext>
                    </c:extLst>
                    <c:strCache>
                      <c:ptCount val="1"/>
                      <c:pt idx="0">
                        <c:v>LIMITS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LIMITS!$J$8:$J$39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0.72218653017956425</c:v>
                      </c:pt>
                      <c:pt idx="1">
                        <c:v>0.8760912682164822</c:v>
                      </c:pt>
                      <c:pt idx="2">
                        <c:v>1.0201240717083095</c:v>
                      </c:pt>
                      <c:pt idx="3">
                        <c:v>1.1530889627021657</c:v>
                      </c:pt>
                      <c:pt idx="4">
                        <c:v>1.2739619227981316</c:v>
                      </c:pt>
                      <c:pt idx="5">
                        <c:v>1.3819040106470963</c:v>
                      </c:pt>
                      <c:pt idx="6">
                        <c:v>1.4762705542577379</c:v>
                      </c:pt>
                      <c:pt idx="7">
                        <c:v>1.5566162893816549</c:v>
                      </c:pt>
                      <c:pt idx="8">
                        <c:v>1.6226964243926731</c:v>
                      </c:pt>
                      <c:pt idx="9">
                        <c:v>1.6744637195351173</c:v>
                      </c:pt>
                      <c:pt idx="10">
                        <c:v>1.7120617706945451</c:v>
                      </c:pt>
                      <c:pt idx="11">
                        <c:v>1.7358147817101013</c:v>
                      </c:pt>
                      <c:pt idx="12">
                        <c:v>1.7462141918483436</c:v>
                      </c:pt>
                      <c:pt idx="13">
                        <c:v>1.7439025940263944</c:v>
                      </c:pt>
                      <c:pt idx="14">
                        <c:v>1.7296554329041516</c:v>
                      </c:pt>
                      <c:pt idx="15">
                        <c:v>1.7043610088758698</c:v>
                      </c:pt>
                      <c:pt idx="16">
                        <c:v>1.6689993337395528</c:v>
                      </c:pt>
                      <c:pt idx="17">
                        <c:v>1.6246203865087643</c:v>
                      </c:pt>
                      <c:pt idx="18">
                        <c:v>1.5723223041679031</c:v>
                      </c:pt>
                      <c:pt idx="19">
                        <c:v>1.5132300134281131</c:v>
                      </c:pt>
                      <c:pt idx="20">
                        <c:v>1.4484747674672964</c:v>
                      </c:pt>
                      <c:pt idx="21">
                        <c:v>1.3791749983725414</c:v>
                      </c:pt>
                      <c:pt idx="22">
                        <c:v>1.3064188339682663</c:v>
                      </c:pt>
                      <c:pt idx="23">
                        <c:v>1.2312485595015454</c:v>
                      </c:pt>
                      <c:pt idx="24">
                        <c:v>1.1546472329197115</c:v>
                      </c:pt>
                      <c:pt idx="25">
                        <c:v>1.0775275898175851</c:v>
                      </c:pt>
                      <c:pt idx="26">
                        <c:v>1.0007233030072631</c:v>
                      </c:pt>
                      <c:pt idx="27">
                        <c:v>0.9249825942922798</c:v>
                      </c:pt>
                      <c:pt idx="28">
                        <c:v>0.85096413432487328</c:v>
                      </c:pt>
                      <c:pt idx="29">
                        <c:v>0.77923511194752093</c:v>
                      </c:pt>
                      <c:pt idx="30">
                        <c:v>0.71027130833503493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comparison!$B$46</c15:sqref>
                        </c15:formulaRef>
                      </c:ext>
                    </c:extLst>
                    <c:strCache>
                      <c:ptCount val="1"/>
                      <c:pt idx="0">
                        <c:v>pc20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'pc20'!$J$8:$J$39</c15:sqref>
                        </c15:formulaRef>
                      </c:ext>
                    </c:extLst>
                    <c:numCache>
                      <c:formatCode>#,##0.00</c:formatCode>
                      <c:ptCount val="32"/>
                      <c:pt idx="0">
                        <c:v>0.72218653017956425</c:v>
                      </c:pt>
                      <c:pt idx="1">
                        <c:v>5.9265453274317608</c:v>
                      </c:pt>
                      <c:pt idx="2">
                        <c:v>5.788569064575297</c:v>
                      </c:pt>
                      <c:pt idx="3">
                        <c:v>5.6348123877180454</c:v>
                      </c:pt>
                      <c:pt idx="4">
                        <c:v>5.4666516516893209</c:v>
                      </c:pt>
                      <c:pt idx="5">
                        <c:v>5.2855729501050233</c:v>
                      </c:pt>
                      <c:pt idx="6">
                        <c:v>5.0931500566774712</c:v>
                      </c:pt>
                      <c:pt idx="7">
                        <c:v>4.8910214416562647</c:v>
                      </c:pt>
                      <c:pt idx="8">
                        <c:v>4.6808668373948148</c:v>
                      </c:pt>
                      <c:pt idx="9">
                        <c:v>4.4643838263575999</c:v>
                      </c:pt>
                      <c:pt idx="10">
                        <c:v>4.2432649117954497</c:v>
                      </c:pt>
                      <c:pt idx="11">
                        <c:v>4.0191755064959338</c:v>
                      </c:pt>
                      <c:pt idx="12">
                        <c:v>3.7937332395075489</c:v>
                      </c:pt>
                      <c:pt idx="13">
                        <c:v>3.5684889359075109</c:v>
                      </c:pt>
                      <c:pt idx="14">
                        <c:v>3.3449095721660149</c:v>
                      </c:pt>
                      <c:pt idx="15">
                        <c:v>3.1243634512855509</c:v>
                      </c:pt>
                      <c:pt idx="16">
                        <c:v>2.9081077796184371</c:v>
                      </c:pt>
                      <c:pt idx="17">
                        <c:v>2.6972787630957988</c:v>
                      </c:pt>
                      <c:pt idx="18">
                        <c:v>2.4928842765192538</c:v>
                      </c:pt>
                      <c:pt idx="19">
                        <c:v>2.2957990974605429</c:v>
                      </c:pt>
                      <c:pt idx="20">
                        <c:v>2.1067626379138931</c:v>
                      </c:pt>
                      <c:pt idx="21">
                        <c:v>1.9263790536676706</c:v>
                      </c:pt>
                      <c:pt idx="22">
                        <c:v>1.7551195646661804</c:v>
                      </c:pt>
                      <c:pt idx="23">
                        <c:v>1.5933267803920264</c:v>
                      </c:pt>
                      <c:pt idx="24">
                        <c:v>1.441220793181452</c:v>
                      </c:pt>
                      <c:pt idx="25">
                        <c:v>1.2989067797462464</c:v>
                      </c:pt>
                      <c:pt idx="26">
                        <c:v>1.1663838370699047</c:v>
                      </c:pt>
                      <c:pt idx="27">
                        <c:v>1.0435547730427428</c:v>
                      </c:pt>
                      <c:pt idx="28">
                        <c:v>0.93023657421546502</c:v>
                      </c:pt>
                      <c:pt idx="29">
                        <c:v>0.82617128218012492</c:v>
                      </c:pt>
                      <c:pt idx="30">
                        <c:v>0.73103702545270122</c:v>
                      </c:pt>
                      <c:pt idx="31">
                        <c:v>0.64445897432453092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2596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1928"/>
        <c:crosses val="autoZero"/>
        <c:auto val="1"/>
        <c:lblAlgn val="ctr"/>
        <c:lblOffset val="100"/>
        <c:noMultiLvlLbl val="0"/>
      </c:catAx>
      <c:valAx>
        <c:axId val="525971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 t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5969576"/>
        <c:crosses val="autoZero"/>
        <c:crossBetween val="midCat"/>
      </c:valAx>
    </c:plotArea>
    <c:legend>
      <c:legendPos val="t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Global CO</a:t>
            </a:r>
            <a:r>
              <a:rPr lang="de-DE" baseline="-25000"/>
              <a:t>2</a:t>
            </a:r>
            <a:r>
              <a:rPr lang="de-DE"/>
              <a:t> emissions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all other models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path'!$B$6:$B$37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'global path'!$C$6:$C$37</c:f>
              <c:numCache>
                <c:formatCode>0.0</c:formatCode>
                <c:ptCount val="32"/>
                <c:pt idx="0">
                  <c:v>41.727717101305259</c:v>
                </c:pt>
                <c:pt idx="1">
                  <c:v>40.89316275927915</c:v>
                </c:pt>
                <c:pt idx="2">
                  <c:v>39.941126545569553</c:v>
                </c:pt>
                <c:pt idx="3">
                  <c:v>38.88020547525452</c:v>
                </c:pt>
                <c:pt idx="4">
                  <c:v>37.719896396656317</c:v>
                </c:pt>
                <c:pt idx="5">
                  <c:v>36.470453355724658</c:v>
                </c:pt>
                <c:pt idx="6">
                  <c:v>35.142735391074559</c:v>
                </c:pt>
                <c:pt idx="7">
                  <c:v>33.748047947428226</c:v>
                </c:pt>
                <c:pt idx="8">
                  <c:v>32.297981178024223</c:v>
                </c:pt>
                <c:pt idx="9">
                  <c:v>30.80424840186744</c:v>
                </c:pt>
                <c:pt idx="10">
                  <c:v>29.278527891388606</c:v>
                </c:pt>
                <c:pt idx="11">
                  <c:v>27.732310994821948</c:v>
                </c:pt>
                <c:pt idx="12">
                  <c:v>26.17675935260209</c:v>
                </c:pt>
                <c:pt idx="13">
                  <c:v>24.622573657761826</c:v>
                </c:pt>
                <c:pt idx="14">
                  <c:v>23.079876047945504</c:v>
                </c:pt>
                <c:pt idx="15">
                  <c:v>21.558107813870304</c:v>
                </c:pt>
                <c:pt idx="16">
                  <c:v>20.065943679367219</c:v>
                </c:pt>
                <c:pt idx="17">
                  <c:v>18.611223465361014</c:v>
                </c:pt>
                <c:pt idx="18">
                  <c:v>17.200901507982852</c:v>
                </c:pt>
                <c:pt idx="19">
                  <c:v>15.841013772477746</c:v>
                </c:pt>
                <c:pt idx="20">
                  <c:v>14.536662201605862</c:v>
                </c:pt>
                <c:pt idx="21">
                  <c:v>13.292015470306927</c:v>
                </c:pt>
                <c:pt idx="22">
                  <c:v>12.110324996196645</c:v>
                </c:pt>
                <c:pt idx="23">
                  <c:v>10.993954784704982</c:v>
                </c:pt>
                <c:pt idx="24">
                  <c:v>9.9444234729520211</c:v>
                </c:pt>
                <c:pt idx="25">
                  <c:v>8.9624567802491004</c:v>
                </c:pt>
                <c:pt idx="26">
                  <c:v>8.0480484757823429</c:v>
                </c:pt>
                <c:pt idx="27">
                  <c:v>7.2005279339949269</c:v>
                </c:pt>
                <c:pt idx="28">
                  <c:v>6.4186323620867087</c:v>
                </c:pt>
                <c:pt idx="29">
                  <c:v>5.7005818470428622</c:v>
                </c:pt>
                <c:pt idx="30">
                  <c:v>5.0441554756236391</c:v>
                </c:pt>
                <c:pt idx="31">
                  <c:v>4.446766922839263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'SPM-eq'!$A$2</c:f>
              <c:strCache>
                <c:ptCount val="1"/>
                <c:pt idx="0">
                  <c:v>SPM-eq</c:v>
                </c:pt>
              </c:strCache>
            </c:strRef>
          </c:tx>
          <c:marker>
            <c:symbol val="none"/>
          </c:marker>
          <c:val>
            <c:numRef>
              <c:f>'SPM-eq'!$L$11:$L$42</c:f>
              <c:numCache>
                <c:formatCode>#,##0.0</c:formatCode>
                <c:ptCount val="32"/>
                <c:pt idx="0">
                  <c:v>41.727717101305259</c:v>
                </c:pt>
                <c:pt idx="1">
                  <c:v>41.606201015883357</c:v>
                </c:pt>
                <c:pt idx="2">
                  <c:v>40.132961444861493</c:v>
                </c:pt>
                <c:pt idx="3">
                  <c:v>37.599580201169339</c:v>
                </c:pt>
                <c:pt idx="4">
                  <c:v>34.682999643571456</c:v>
                </c:pt>
                <c:pt idx="5">
                  <c:v>31.751045389834502</c:v>
                </c:pt>
                <c:pt idx="6">
                  <c:v>28.987404509551819</c:v>
                </c:pt>
                <c:pt idx="7">
                  <c:v>26.469398011250011</c:v>
                </c:pt>
                <c:pt idx="8">
                  <c:v>24.215605521571277</c:v>
                </c:pt>
                <c:pt idx="9">
                  <c:v>22.214424174318076</c:v>
                </c:pt>
                <c:pt idx="10">
                  <c:v>20.440714333944431</c:v>
                </c:pt>
                <c:pt idx="11">
                  <c:v>18.865113047582721</c:v>
                </c:pt>
                <c:pt idx="12">
                  <c:v>17.458921958017225</c:v>
                </c:pt>
                <c:pt idx="13">
                  <c:v>16.196393323988659</c:v>
                </c:pt>
                <c:pt idx="14">
                  <c:v>15.055542219574923</c:v>
                </c:pt>
                <c:pt idx="15">
                  <c:v>14.018170169212119</c:v>
                </c:pt>
                <c:pt idx="16">
                  <c:v>13.069506552418412</c:v>
                </c:pt>
                <c:pt idx="17">
                  <c:v>12.197700725091451</c:v>
                </c:pt>
                <c:pt idx="18">
                  <c:v>11.393291816082026</c:v>
                </c:pt>
                <c:pt idx="19">
                  <c:v>10.648719786427744</c:v>
                </c:pt>
                <c:pt idx="20">
                  <c:v>9.9579045852948092</c:v>
                </c:pt>
                <c:pt idx="21">
                  <c:v>9.3158998527239074</c:v>
                </c:pt>
                <c:pt idx="22">
                  <c:v>8.7186171006123345</c:v>
                </c:pt>
                <c:pt idx="23">
                  <c:v>8.1626115692337926</c:v>
                </c:pt>
                <c:pt idx="24">
                  <c:v>7.6449194830487528</c:v>
                </c:pt>
                <c:pt idx="25">
                  <c:v>7.1629366841080104</c:v>
                </c:pt>
                <c:pt idx="26">
                  <c:v>6.7143296962439152</c:v>
                </c:pt>
                <c:pt idx="27">
                  <c:v>6.2969716491704517</c:v>
                </c:pt>
                <c:pt idx="28">
                  <c:v>5.908896886794242</c:v>
                </c:pt>
                <c:pt idx="29">
                  <c:v>5.5482693586905159</c:v>
                </c:pt>
                <c:pt idx="30">
                  <c:v>5.2133609903752065</c:v>
                </c:pt>
                <c:pt idx="31">
                  <c:v>4.9025371348704816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'SPM-in'!$A$2</c:f>
              <c:strCache>
                <c:ptCount val="1"/>
                <c:pt idx="0">
                  <c:v>SPM-in</c:v>
                </c:pt>
              </c:strCache>
            </c:strRef>
          </c:tx>
          <c:marker>
            <c:symbol val="none"/>
          </c:marker>
          <c:val>
            <c:numRef>
              <c:f>'SPM-in'!$L$11:$L$42</c:f>
              <c:numCache>
                <c:formatCode>#,##0.0</c:formatCode>
                <c:ptCount val="32"/>
                <c:pt idx="0">
                  <c:v>41.727717101305259</c:v>
                </c:pt>
                <c:pt idx="1">
                  <c:v>41.898186504980231</c:v>
                </c:pt>
                <c:pt idx="2">
                  <c:v>41.765059202397453</c:v>
                </c:pt>
                <c:pt idx="3">
                  <c:v>41.047462840114505</c:v>
                </c:pt>
                <c:pt idx="4">
                  <c:v>39.889686389500227</c:v>
                </c:pt>
                <c:pt idx="5">
                  <c:v>38.409488375128326</c:v>
                </c:pt>
                <c:pt idx="6">
                  <c:v>36.702432656242188</c:v>
                </c:pt>
                <c:pt idx="7">
                  <c:v>34.845559096099187</c:v>
                </c:pt>
                <c:pt idx="8">
                  <c:v>32.900487225250068</c:v>
                </c:pt>
                <c:pt idx="9">
                  <c:v>30.916036911347362</c:v>
                </c:pt>
                <c:pt idx="10">
                  <c:v>28.930437941387552</c:v>
                </c:pt>
                <c:pt idx="11">
                  <c:v>26.973190026199809</c:v>
                </c:pt>
                <c:pt idx="12">
                  <c:v>25.066625813299513</c:v>
                </c:pt>
                <c:pt idx="13">
                  <c:v>23.227221837528813</c:v>
                </c:pt>
                <c:pt idx="14">
                  <c:v>21.466695772136521</c:v>
                </c:pt>
                <c:pt idx="15">
                  <c:v>19.792922713490132</c:v>
                </c:pt>
                <c:pt idx="16">
                  <c:v>18.210698408942072</c:v>
                </c:pt>
                <c:pt idx="17">
                  <c:v>16.722373206205816</c:v>
                </c:pt>
                <c:pt idx="18">
                  <c:v>15.328376966347584</c:v>
                </c:pt>
                <c:pt idx="19">
                  <c:v>14.02765215715428</c:v>
                </c:pt>
                <c:pt idx="20">
                  <c:v>12.818009756871657</c:v>
                </c:pt>
                <c:pt idx="21">
                  <c:v>11.696420387883427</c:v>
                </c:pt>
                <c:pt idx="22">
                  <c:v>10.659251212276613</c:v>
                </c:pt>
                <c:pt idx="23">
                  <c:v>9.7024575103673101</c:v>
                </c:pt>
                <c:pt idx="24">
                  <c:v>8.8217364895466162</c:v>
                </c:pt>
                <c:pt idx="25">
                  <c:v>8.0126497002345047</c:v>
                </c:pt>
                <c:pt idx="26">
                  <c:v>7.2707194390533152</c:v>
                </c:pt>
                <c:pt idx="27">
                  <c:v>6.5915036714552064</c:v>
                </c:pt>
                <c:pt idx="28">
                  <c:v>5.9706532854003349</c:v>
                </c:pt>
                <c:pt idx="29">
                  <c:v>5.4039548757879494</c:v>
                </c:pt>
                <c:pt idx="30">
                  <c:v>4.8873617403240583</c:v>
                </c:pt>
                <c:pt idx="31">
                  <c:v>4.4170153277617814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'SPM-spk'!$A$2</c:f>
              <c:strCache>
                <c:ptCount val="1"/>
                <c:pt idx="0">
                  <c:v>SPM-50</c:v>
                </c:pt>
              </c:strCache>
            </c:strRef>
          </c:tx>
          <c:marker>
            <c:symbol val="none"/>
          </c:marker>
          <c:val>
            <c:numRef>
              <c:f>'SPM-spk'!$L$11:$L$42</c:f>
              <c:numCache>
                <c:formatCode>#,##0.0</c:formatCode>
                <c:ptCount val="32"/>
                <c:pt idx="0">
                  <c:v>41.727717101305259</c:v>
                </c:pt>
                <c:pt idx="1">
                  <c:v>41.858248708657456</c:v>
                </c:pt>
                <c:pt idx="2">
                  <c:v>41.522718837945305</c:v>
                </c:pt>
                <c:pt idx="3">
                  <c:v>40.487344108650134</c:v>
                </c:pt>
                <c:pt idx="4">
                  <c:v>38.96496257529698</c:v>
                </c:pt>
                <c:pt idx="5">
                  <c:v>37.11956299084315</c:v>
                </c:pt>
                <c:pt idx="6">
                  <c:v>35.076429321741045</c:v>
                </c:pt>
                <c:pt idx="7">
                  <c:v>32.930277924986399</c:v>
                </c:pt>
                <c:pt idx="8">
                  <c:v>30.751773693130573</c:v>
                </c:pt>
                <c:pt idx="9">
                  <c:v>28.592738477421221</c:v>
                </c:pt>
                <c:pt idx="10">
                  <c:v>26.490305713543094</c:v>
                </c:pt>
                <c:pt idx="11">
                  <c:v>24.470226887829199</c:v>
                </c:pt>
                <c:pt idx="12">
                  <c:v>22.549496242512241</c:v>
                </c:pt>
                <c:pt idx="13">
                  <c:v>20.738428250695691</c:v>
                </c:pt>
                <c:pt idx="14">
                  <c:v>19.042296526898681</c:v>
                </c:pt>
                <c:pt idx="15">
                  <c:v>17.462621860462271</c:v>
                </c:pt>
                <c:pt idx="16">
                  <c:v>15.998180055705578</c:v>
                </c:pt>
                <c:pt idx="17">
                  <c:v>14.645786491496814</c:v>
                </c:pt>
                <c:pt idx="18">
                  <c:v>13.400903168243556</c:v>
                </c:pt>
                <c:pt idx="19">
                  <c:v>12.258104998797521</c:v>
                </c:pt>
                <c:pt idx="20">
                  <c:v>11.211434819598555</c:v>
                </c:pt>
                <c:pt idx="21">
                  <c:v>10.254670722510063</c:v>
                </c:pt>
                <c:pt idx="22">
                  <c:v>9.3815245701547081</c:v>
                </c:pt>
                <c:pt idx="23">
                  <c:v>8.5857867418366052</c:v>
                </c:pt>
                <c:pt idx="24">
                  <c:v>7.8614290875380348</c:v>
                </c:pt>
                <c:pt idx="25">
                  <c:v>7.2026756012413529</c:v>
                </c:pt>
                <c:pt idx="26">
                  <c:v>6.6040483460930988</c:v>
                </c:pt>
                <c:pt idx="27">
                  <c:v>6.0603945787024571</c:v>
                </c:pt>
                <c:pt idx="28">
                  <c:v>5.5668997519854395</c:v>
                </c:pt>
                <c:pt idx="29">
                  <c:v>5.1190900637241592</c:v>
                </c:pt>
                <c:pt idx="30">
                  <c:v>4.7128274114748088</c:v>
                </c:pt>
                <c:pt idx="31">
                  <c:v>4.3442989732438164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69968"/>
        <c:axId val="525976240"/>
      </c:lineChart>
      <c:catAx>
        <c:axId val="52596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6240"/>
        <c:crosses val="autoZero"/>
        <c:auto val="1"/>
        <c:lblAlgn val="ctr"/>
        <c:lblOffset val="100"/>
        <c:tickLblSkip val="3"/>
        <c:noMultiLvlLbl val="0"/>
      </c:catAx>
      <c:valAx>
        <c:axId val="5259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Gz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6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8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80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Global per capita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8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RF!$M$9:$M$40</c:f>
              <c:numCache>
                <c:formatCode>#,##0.00</c:formatCode>
                <c:ptCount val="32"/>
                <c:pt idx="0">
                  <c:v>6.047495232073226</c:v>
                </c:pt>
                <c:pt idx="1">
                  <c:v>5.9265453274317608</c:v>
                </c:pt>
                <c:pt idx="2">
                  <c:v>5.788569064575297</c:v>
                </c:pt>
                <c:pt idx="3">
                  <c:v>5.6348123877180463</c:v>
                </c:pt>
                <c:pt idx="4">
                  <c:v>5.4666516516893218</c:v>
                </c:pt>
                <c:pt idx="5">
                  <c:v>5.2855729501050224</c:v>
                </c:pt>
                <c:pt idx="6">
                  <c:v>5.093150056677473</c:v>
                </c:pt>
                <c:pt idx="7">
                  <c:v>4.8910214416562647</c:v>
                </c:pt>
                <c:pt idx="8">
                  <c:v>4.6808668373948148</c:v>
                </c:pt>
                <c:pt idx="9">
                  <c:v>4.4643838263575999</c:v>
                </c:pt>
                <c:pt idx="10">
                  <c:v>4.2432649117954506</c:v>
                </c:pt>
                <c:pt idx="11">
                  <c:v>4.0191755064959338</c:v>
                </c:pt>
                <c:pt idx="12">
                  <c:v>3.7937332395075489</c:v>
                </c:pt>
                <c:pt idx="13">
                  <c:v>3.5684889359075109</c:v>
                </c:pt>
                <c:pt idx="14">
                  <c:v>3.3449095721660154</c:v>
                </c:pt>
                <c:pt idx="15">
                  <c:v>3.1243634512855518</c:v>
                </c:pt>
                <c:pt idx="16">
                  <c:v>2.908107779618438</c:v>
                </c:pt>
                <c:pt idx="17">
                  <c:v>2.6972787630957997</c:v>
                </c:pt>
                <c:pt idx="18">
                  <c:v>2.4928842765192543</c:v>
                </c:pt>
                <c:pt idx="19">
                  <c:v>2.2957990974605424</c:v>
                </c:pt>
                <c:pt idx="20">
                  <c:v>2.1067626379138931</c:v>
                </c:pt>
                <c:pt idx="21">
                  <c:v>1.926379053667671</c:v>
                </c:pt>
                <c:pt idx="22">
                  <c:v>1.7551195646661806</c:v>
                </c:pt>
                <c:pt idx="23">
                  <c:v>1.5933267803920268</c:v>
                </c:pt>
                <c:pt idx="24">
                  <c:v>1.4412207931814522</c:v>
                </c:pt>
                <c:pt idx="25">
                  <c:v>1.2989067797462464</c:v>
                </c:pt>
                <c:pt idx="26">
                  <c:v>1.1663838370699056</c:v>
                </c:pt>
                <c:pt idx="27">
                  <c:v>1.0435547730427437</c:v>
                </c:pt>
                <c:pt idx="28">
                  <c:v>0.93023657421546568</c:v>
                </c:pt>
                <c:pt idx="29">
                  <c:v>0.82617128218012548</c:v>
                </c:pt>
                <c:pt idx="30">
                  <c:v>0.73103702545270166</c:v>
                </c:pt>
                <c:pt idx="31">
                  <c:v>0.64445897432453081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72712"/>
        <c:axId val="525970360"/>
      </c:lineChart>
      <c:catAx>
        <c:axId val="525972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0360"/>
        <c:crosses val="autoZero"/>
        <c:auto val="1"/>
        <c:lblAlgn val="ctr"/>
        <c:lblOffset val="100"/>
        <c:tickLblSkip val="3"/>
        <c:noMultiLvlLbl val="0"/>
      </c:catAx>
      <c:valAx>
        <c:axId val="52597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2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RM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RF!$D$9:$D$40</c:f>
              <c:numCache>
                <c:formatCode>#,##0.00</c:formatCode>
                <c:ptCount val="32"/>
                <c:pt idx="0">
                  <c:v>17.5</c:v>
                </c:pt>
                <c:pt idx="1">
                  <c:v>17.122679548594181</c:v>
                </c:pt>
                <c:pt idx="2">
                  <c:v>16.692242948097345</c:v>
                </c:pt>
                <c:pt idx="3">
                  <c:v>16.212577098914466</c:v>
                </c:pt>
                <c:pt idx="4">
                  <c:v>15.687975735935458</c:v>
                </c:pt>
                <c:pt idx="5">
                  <c:v>15.123074939822354</c:v>
                </c:pt>
                <c:pt idx="6">
                  <c:v>14.522784321784066</c:v>
                </c:pt>
                <c:pt idx="7">
                  <c:v>13.892215323090626</c:v>
                </c:pt>
                <c:pt idx="8">
                  <c:v>13.236608108020885</c:v>
                </c:pt>
                <c:pt idx="9">
                  <c:v>12.561258526817086</c:v>
                </c:pt>
                <c:pt idx="10">
                  <c:v>11.871446584391196</c:v>
                </c:pt>
                <c:pt idx="11">
                  <c:v>11.17236777309722</c:v>
                </c:pt>
                <c:pt idx="12">
                  <c:v>10.469068517110484</c:v>
                </c:pt>
                <c:pt idx="13">
                  <c:v>9.7663868361046831</c:v>
                </c:pt>
                <c:pt idx="14">
                  <c:v>9.0688991720834427</c:v>
                </c:pt>
                <c:pt idx="15">
                  <c:v>8.3808741411162817</c:v>
                </c:pt>
                <c:pt idx="16">
                  <c:v>7.7062337774517866</c:v>
                </c:pt>
                <c:pt idx="17">
                  <c:v>7.0485226372935585</c:v>
                </c:pt>
                <c:pt idx="18">
                  <c:v>6.4108849296117025</c:v>
                </c:pt>
                <c:pt idx="19">
                  <c:v>5.7960496476140033</c:v>
                </c:pt>
                <c:pt idx="20">
                  <c:v>5.2063234923124577</c:v>
                </c:pt>
                <c:pt idx="21">
                  <c:v>4.6435912137237016</c:v>
                </c:pt>
                <c:pt idx="22">
                  <c:v>4.1093228495680929</c:v>
                </c:pt>
                <c:pt idx="23">
                  <c:v>3.6045872189159351</c:v>
                </c:pt>
                <c:pt idx="24">
                  <c:v>3.1300709311523978</c:v>
                </c:pt>
                <c:pt idx="25">
                  <c:v>2.6861021000076009</c:v>
                </c:pt>
                <c:pt idx="26">
                  <c:v>2.2726779083929691</c:v>
                </c:pt>
                <c:pt idx="27">
                  <c:v>1.8894951516816882</c:v>
                </c:pt>
                <c:pt idx="28">
                  <c:v>1.5359828933566448</c:v>
                </c:pt>
                <c:pt idx="29">
                  <c:v>1.2113363954296708</c:v>
                </c:pt>
                <c:pt idx="30">
                  <c:v>0.91455153397023869</c:v>
                </c:pt>
                <c:pt idx="31">
                  <c:v>0.64445897432453081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RF!$G$9:$G$40</c:f>
              <c:numCache>
                <c:formatCode>#,##0.00</c:formatCode>
                <c:ptCount val="32"/>
                <c:pt idx="0">
                  <c:v>4.875</c:v>
                </c:pt>
                <c:pt idx="1">
                  <c:v>4.7802970386968191</c:v>
                </c:pt>
                <c:pt idx="2">
                  <c:v>4.6722625535040683</c:v>
                </c:pt>
                <c:pt idx="3">
                  <c:v>4.5518721103558741</c:v>
                </c:pt>
                <c:pt idx="4">
                  <c:v>4.4202033858202867</c:v>
                </c:pt>
                <c:pt idx="5">
                  <c:v>4.2784199811966763</c:v>
                </c:pt>
                <c:pt idx="6">
                  <c:v>4.127754150709797</c:v>
                </c:pt>
                <c:pt idx="7">
                  <c:v>3.9694888055376567</c:v>
                </c:pt>
                <c:pt idx="8">
                  <c:v>3.8049391648078523</c:v>
                </c:pt>
                <c:pt idx="9">
                  <c:v>3.6354344241648016</c:v>
                </c:pt>
                <c:pt idx="10">
                  <c:v>3.4622998022628226</c:v>
                </c:pt>
                <c:pt idx="11">
                  <c:v>3.2868393061058274</c:v>
                </c:pt>
                <c:pt idx="12">
                  <c:v>3.1103195283516345</c:v>
                </c:pt>
                <c:pt idx="13">
                  <c:v>2.9339547545981608</c:v>
                </c:pt>
                <c:pt idx="14">
                  <c:v>2.7588936175483552</c:v>
                </c:pt>
                <c:pt idx="15">
                  <c:v>2.5862074892440541</c:v>
                </c:pt>
                <c:pt idx="16">
                  <c:v>2.4168807537977259</c:v>
                </c:pt>
                <c:pt idx="17">
                  <c:v>2.2518030528064186</c:v>
                </c:pt>
                <c:pt idx="18">
                  <c:v>2.0917635454564816</c:v>
                </c:pt>
                <c:pt idx="19">
                  <c:v>1.9374471766990582</c:v>
                </c:pt>
                <c:pt idx="20">
                  <c:v>1.7894329011491537</c:v>
                </c:pt>
                <c:pt idx="21">
                  <c:v>1.6481937687228976</c:v>
                </c:pt>
                <c:pt idx="22">
                  <c:v>1.5140987414652218</c:v>
                </c:pt>
                <c:pt idx="23">
                  <c:v>1.3874160802951354</c:v>
                </c:pt>
                <c:pt idx="24">
                  <c:v>1.2683181160306261</c:v>
                </c:pt>
                <c:pt idx="25">
                  <c:v>1.1568872013291513</c:v>
                </c:pt>
                <c:pt idx="26">
                  <c:v>1.0531226291348674</c:v>
                </c:pt>
                <c:pt idx="27">
                  <c:v>0.9569482986800234</c:v>
                </c:pt>
                <c:pt idx="28">
                  <c:v>0.86822091166555948</c:v>
                </c:pt>
                <c:pt idx="29">
                  <c:v>0.78673848839419558</c:v>
                </c:pt>
                <c:pt idx="30">
                  <c:v>0.71224900566023963</c:v>
                </c:pt>
                <c:pt idx="31">
                  <c:v>0.64445897432453081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RF!$J$9:$J$40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0.72044655657579704</c:v>
                </c:pt>
                <c:pt idx="2">
                  <c:v>0.71846164343321628</c:v>
                </c:pt>
                <c:pt idx="3">
                  <c:v>0.71624971478451127</c:v>
                </c:pt>
                <c:pt idx="4">
                  <c:v>0.71383057073683798</c:v>
                </c:pt>
                <c:pt idx="5">
                  <c:v>0.71122559008889841</c:v>
                </c:pt>
                <c:pt idx="6">
                  <c:v>0.70845741299676301</c:v>
                </c:pt>
                <c:pt idx="7">
                  <c:v>0.70554961033461561</c:v>
                </c:pt>
                <c:pt idx="8">
                  <c:v>0.70252634656926549</c:v>
                </c:pt>
                <c:pt idx="9">
                  <c:v>0.69941204295748982</c:v>
                </c:pt>
                <c:pt idx="10">
                  <c:v>0.69623104768699073</c:v>
                </c:pt>
                <c:pt idx="11">
                  <c:v>0.69300731922469161</c:v>
                </c:pt>
                <c:pt idx="12">
                  <c:v>0.68976412862527725</c:v>
                </c:pt>
                <c:pt idx="13">
                  <c:v>0.68652378590797791</c:v>
                </c:pt>
                <c:pt idx="14">
                  <c:v>0.68330739485409098</c:v>
                </c:pt>
                <c:pt idx="15">
                  <c:v>0.68013463973797217</c:v>
                </c:pt>
                <c:pt idx="16">
                  <c:v>0.67702360660833749</c:v>
                </c:pt>
                <c:pt idx="17">
                  <c:v>0.67399064081357285</c:v>
                </c:pt>
                <c:pt idx="18">
                  <c:v>0.67105024154287496</c:v>
                </c:pt>
                <c:pt idx="19">
                  <c:v>0.66821499326159295</c:v>
                </c:pt>
                <c:pt idx="20">
                  <c:v>0.66549553307900078</c:v>
                </c:pt>
                <c:pt idx="21">
                  <c:v>0.66290055232170497</c:v>
                </c:pt>
                <c:pt idx="22">
                  <c:v>0.66043682991414621</c:v>
                </c:pt>
                <c:pt idx="23">
                  <c:v>0.65810929460313006</c:v>
                </c:pt>
                <c:pt idx="24">
                  <c:v>0.65592111261567088</c:v>
                </c:pt>
                <c:pt idx="25">
                  <c:v>0.65387379701374881</c:v>
                </c:pt>
                <c:pt idx="26">
                  <c:v>0.65196733480665636</c:v>
                </c:pt>
                <c:pt idx="27">
                  <c:v>0.65020032779812464</c:v>
                </c:pt>
                <c:pt idx="28">
                  <c:v>0.64857014317441286</c:v>
                </c:pt>
                <c:pt idx="29">
                  <c:v>0.64707306997086966</c:v>
                </c:pt>
                <c:pt idx="30">
                  <c:v>0.64570447777552709</c:v>
                </c:pt>
                <c:pt idx="31">
                  <c:v>0.6444589743245307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75456"/>
        <c:axId val="525973888"/>
      </c:lineChart>
      <c:catAx>
        <c:axId val="52597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3888"/>
        <c:crosses val="autoZero"/>
        <c:auto val="1"/>
        <c:lblAlgn val="ctr"/>
        <c:lblOffset val="100"/>
        <c:tickLblSkip val="3"/>
        <c:noMultiLvlLbl val="0"/>
      </c:catAx>
      <c:valAx>
        <c:axId val="52597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GQWF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GQWF!$D$21:$D$52</c:f>
              <c:numCache>
                <c:formatCode>#,##0.00</c:formatCode>
                <c:ptCount val="32"/>
                <c:pt idx="0">
                  <c:v>17.5</c:v>
                </c:pt>
                <c:pt idx="1">
                  <c:v>16.701061813097269</c:v>
                </c:pt>
                <c:pt idx="2">
                  <c:v>15.87941483526923</c:v>
                </c:pt>
                <c:pt idx="3">
                  <c:v>15.041799791521559</c:v>
                </c:pt>
                <c:pt idx="4">
                  <c:v>14.194833272878288</c:v>
                </c:pt>
                <c:pt idx="5">
                  <c:v>13.34492087872856</c:v>
                </c:pt>
                <c:pt idx="6">
                  <c:v>12.498177657166631</c:v>
                </c:pt>
                <c:pt idx="7">
                  <c:v>11.660357198876643</c:v>
                </c:pt>
                <c:pt idx="8">
                  <c:v>10.836790475263143</c:v>
                </c:pt>
                <c:pt idx="9">
                  <c:v>10.032335227097629</c:v>
                </c:pt>
                <c:pt idx="10">
                  <c:v>9.251336415556688</c:v>
                </c:pt>
                <c:pt idx="11">
                  <c:v>8.4975979527524874</c:v>
                </c:pt>
                <c:pt idx="12">
                  <c:v>7.774365642892751</c:v>
                </c:pt>
                <c:pt idx="13">
                  <c:v>7.0843209965205336</c:v>
                </c:pt>
                <c:pt idx="14">
                  <c:v>6.4295853363262969</c:v>
                </c:pt>
                <c:pt idx="15">
                  <c:v>5.8117334000015433</c:v>
                </c:pt>
                <c:pt idx="16">
                  <c:v>5.231815468301714</c:v>
                </c:pt>
                <c:pt idx="17">
                  <c:v>4.6903869081735614</c:v>
                </c:pt>
                <c:pt idx="18">
                  <c:v>4.1875439231897049</c:v>
                </c:pt>
                <c:pt idx="19">
                  <c:v>3.722964246808913</c:v>
                </c:pt>
                <c:pt idx="20">
                  <c:v>3.2959514969020693</c:v>
                </c:pt>
                <c:pt idx="21">
                  <c:v>2.9054819300242012</c:v>
                </c:pt>
                <c:pt idx="22">
                  <c:v>2.5502523874508802</c:v>
                </c:pt>
                <c:pt idx="23">
                  <c:v>2.2287283075378759</c:v>
                </c:pt>
                <c:pt idx="24">
                  <c:v>1.9391907853786292</c:v>
                </c:pt>
                <c:pt idx="25">
                  <c:v>1.6797817855127588</c:v>
                </c:pt>
                <c:pt idx="26">
                  <c:v>1.4485467509276049</c:v>
                </c:pt>
                <c:pt idx="27">
                  <c:v>1.2434739962284722</c:v>
                </c:pt>
                <c:pt idx="28">
                  <c:v>1.0625304193590788</c:v>
                </c:pt>
                <c:pt idx="29">
                  <c:v>0.90369320982477519</c:v>
                </c:pt>
                <c:pt idx="30">
                  <c:v>0.76497736780381087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RF!$G$9:$G$40</c:f>
              <c:numCache>
                <c:formatCode>#,##0.00</c:formatCode>
                <c:ptCount val="32"/>
                <c:pt idx="0">
                  <c:v>4.875</c:v>
                </c:pt>
                <c:pt idx="1">
                  <c:v>4.7802970386968191</c:v>
                </c:pt>
                <c:pt idx="2">
                  <c:v>4.6722625535040683</c:v>
                </c:pt>
                <c:pt idx="3">
                  <c:v>4.5518721103558741</c:v>
                </c:pt>
                <c:pt idx="4">
                  <c:v>4.4202033858202867</c:v>
                </c:pt>
                <c:pt idx="5">
                  <c:v>4.2784199811966763</c:v>
                </c:pt>
                <c:pt idx="6">
                  <c:v>4.127754150709797</c:v>
                </c:pt>
                <c:pt idx="7">
                  <c:v>3.9694888055376567</c:v>
                </c:pt>
                <c:pt idx="8">
                  <c:v>3.8049391648078523</c:v>
                </c:pt>
                <c:pt idx="9">
                  <c:v>3.6354344241648016</c:v>
                </c:pt>
                <c:pt idx="10">
                  <c:v>3.4622998022628226</c:v>
                </c:pt>
                <c:pt idx="11">
                  <c:v>3.2868393061058274</c:v>
                </c:pt>
                <c:pt idx="12">
                  <c:v>3.1103195283516345</c:v>
                </c:pt>
                <c:pt idx="13">
                  <c:v>2.9339547545981608</c:v>
                </c:pt>
                <c:pt idx="14">
                  <c:v>2.7588936175483552</c:v>
                </c:pt>
                <c:pt idx="15">
                  <c:v>2.5862074892440541</c:v>
                </c:pt>
                <c:pt idx="16">
                  <c:v>2.4168807537977259</c:v>
                </c:pt>
                <c:pt idx="17">
                  <c:v>2.2518030528064186</c:v>
                </c:pt>
                <c:pt idx="18">
                  <c:v>2.0917635454564816</c:v>
                </c:pt>
                <c:pt idx="19">
                  <c:v>1.9374471766990582</c:v>
                </c:pt>
                <c:pt idx="20">
                  <c:v>1.7894329011491537</c:v>
                </c:pt>
                <c:pt idx="21">
                  <c:v>1.6481937687228976</c:v>
                </c:pt>
                <c:pt idx="22">
                  <c:v>1.5140987414652218</c:v>
                </c:pt>
                <c:pt idx="23">
                  <c:v>1.3874160802951354</c:v>
                </c:pt>
                <c:pt idx="24">
                  <c:v>1.2683181160306261</c:v>
                </c:pt>
                <c:pt idx="25">
                  <c:v>1.1568872013291513</c:v>
                </c:pt>
                <c:pt idx="26">
                  <c:v>1.0531226291348674</c:v>
                </c:pt>
                <c:pt idx="27">
                  <c:v>0.9569482986800234</c:v>
                </c:pt>
                <c:pt idx="28">
                  <c:v>0.86822091166555948</c:v>
                </c:pt>
                <c:pt idx="29">
                  <c:v>0.78673848839419558</c:v>
                </c:pt>
                <c:pt idx="30">
                  <c:v>0.71224900566023963</c:v>
                </c:pt>
                <c:pt idx="31">
                  <c:v>0.64445897432453081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GQWF!$J$21:$J$52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0.91649490069020423</c:v>
                </c:pt>
                <c:pt idx="2">
                  <c:v>1.0964191915941812</c:v>
                </c:pt>
                <c:pt idx="3">
                  <c:v>1.2606503249025469</c:v>
                </c:pt>
                <c:pt idx="4">
                  <c:v>1.4081279941226494</c:v>
                </c:pt>
                <c:pt idx="5">
                  <c:v>1.5380507682254134</c:v>
                </c:pt>
                <c:pt idx="6">
                  <c:v>1.6498807703738849</c:v>
                </c:pt>
                <c:pt idx="7">
                  <c:v>1.743342977909033</c:v>
                </c:pt>
                <c:pt idx="8">
                  <c:v>1.8184193308248098</c:v>
                </c:pt>
                <c:pt idx="9">
                  <c:v>1.8753379672263353</c:v>
                </c:pt>
                <c:pt idx="10">
                  <c:v>1.9145580219826173</c:v>
                </c:pt>
                <c:pt idx="11">
                  <c:v>1.9367505254912545</c:v>
                </c:pt>
                <c:pt idx="12">
                  <c:v>1.9427760204236273</c:v>
                </c:pt>
                <c:pt idx="13">
                  <c:v>1.9336595735820306</c:v>
                </c:pt>
                <c:pt idx="14">
                  <c:v>1.9105638965014806</c:v>
                </c:pt>
                <c:pt idx="15">
                  <c:v>1.8747613019650318</c:v>
                </c:pt>
                <c:pt idx="16">
                  <c:v>1.8276052148120501</c:v>
                </c:pt>
                <c:pt idx="17">
                  <c:v>1.7705019257246009</c:v>
                </c:pt>
                <c:pt idx="18">
                  <c:v>1.7048832281864972</c:v>
                </c:pt>
                <c:pt idx="19">
                  <c:v>1.6321805142010422</c:v>
                </c:pt>
                <c:pt idx="20">
                  <c:v>1.5538008267387518</c:v>
                </c:pt>
                <c:pt idx="21">
                  <c:v>1.4711052796621231</c:v>
                </c:pt>
                <c:pt idx="22">
                  <c:v>1.3853901625710994</c:v>
                </c:pt>
                <c:pt idx="23">
                  <c:v>1.2978709521453937</c:v>
                </c:pt>
                <c:pt idx="24">
                  <c:v>1.2096693564899659</c:v>
                </c:pt>
                <c:pt idx="25">
                  <c:v>1.1218034278033173</c:v>
                </c:pt>
                <c:pt idx="26">
                  <c:v>1.0351806940922925</c:v>
                </c:pt>
                <c:pt idx="27">
                  <c:v>0.95059418490238012</c:v>
                </c:pt>
                <c:pt idx="28">
                  <c:v>0.86872116086036599</c:v>
                </c:pt>
                <c:pt idx="29">
                  <c:v>0.79012430344148521</c:v>
                </c:pt>
                <c:pt idx="30">
                  <c:v>0.7152550804432749</c:v>
                </c:pt>
                <c:pt idx="31">
                  <c:v>0.64445897432453092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71144"/>
        <c:axId val="525973496"/>
      </c:lineChart>
      <c:catAx>
        <c:axId val="5259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3496"/>
        <c:crosses val="autoZero"/>
        <c:auto val="1"/>
        <c:lblAlgn val="ctr"/>
        <c:lblOffset val="100"/>
        <c:tickLblSkip val="3"/>
        <c:noMultiLvlLbl val="0"/>
      </c:catAx>
      <c:valAx>
        <c:axId val="52597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C&amp;C-exp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'C&amp;C-exp'!$D$11:$D$42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16.916123477881474</c:v>
                </c:pt>
                <c:pt idx="2">
                  <c:v>16.267821081498465</c:v>
                </c:pt>
                <c:pt idx="3">
                  <c:v>15.560560020618128</c:v>
                </c:pt>
                <c:pt idx="4">
                  <c:v>14.800668586771744</c:v>
                </c:pt>
                <c:pt idx="5">
                  <c:v>13.995305520073984</c:v>
                </c:pt>
                <c:pt idx="6">
                  <c:v>13.152414684610276</c:v>
                </c:pt>
                <c:pt idx="7">
                  <c:v>12.280661863763072</c:v>
                </c:pt>
                <c:pt idx="8">
                  <c:v>11.389349718118806</c:v>
                </c:pt>
                <c:pt idx="9">
                  <c:v>10.488306263291033</c:v>
                </c:pt>
                <c:pt idx="10">
                  <c:v>9.5877417832076066</c:v>
                </c:pt>
                <c:pt idx="11">
                  <c:v>8.6980691206913701</c:v>
                </c:pt>
                <c:pt idx="12">
                  <c:v>7.8296830743443238</c:v>
                </c:pt>
                <c:pt idx="13">
                  <c:v>6.9926965303076472</c:v>
                </c:pt>
                <c:pt idx="14">
                  <c:v>6.1966343461102689</c:v>
                </c:pt>
                <c:pt idx="15">
                  <c:v>5.4500912130535797</c:v>
                </c:pt>
                <c:pt idx="16">
                  <c:v>4.7603669187314726</c:v>
                </c:pt>
                <c:pt idx="17">
                  <c:v>4.1331014311814291</c:v>
                </c:pt>
                <c:pt idx="18">
                  <c:v>3.5719422703842194</c:v>
                </c:pt>
                <c:pt idx="19">
                  <c:v>3.0782861350775743</c:v>
                </c:pt>
                <c:pt idx="20">
                  <c:v>2.6511431310417253</c:v>
                </c:pt>
                <c:pt idx="21">
                  <c:v>2.2871716890080425</c:v>
                </c:pt>
                <c:pt idx="22">
                  <c:v>1.9809214462657736</c:v>
                </c:pt>
                <c:pt idx="23">
                  <c:v>1.7252968705527205</c:v>
                </c:pt>
                <c:pt idx="24">
                  <c:v>1.5122158542654676</c:v>
                </c:pt>
                <c:pt idx="25">
                  <c:v>1.333389661769778</c:v>
                </c:pt>
                <c:pt idx="26">
                  <c:v>1.1811051453663688</c:v>
                </c:pt>
                <c:pt idx="27">
                  <c:v>1.0488649901101017</c:v>
                </c:pt>
                <c:pt idx="28">
                  <c:v>0.93175593575979876</c:v>
                </c:pt>
                <c:pt idx="29">
                  <c:v>0.82647820738874223</c:v>
                </c:pt>
                <c:pt idx="30">
                  <c:v>0.7310699017103226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'C&amp;C-exp'!$G$11:$G$42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4.8014440290691507</c:v>
                </c:pt>
                <c:pt idx="2">
                  <c:v>4.715714411858098</c:v>
                </c:pt>
                <c:pt idx="3">
                  <c:v>4.6186249239127601</c:v>
                </c:pt>
                <c:pt idx="4">
                  <c:v>4.5110449460606734</c:v>
                </c:pt>
                <c:pt idx="5">
                  <c:v>4.3938798124150953</c:v>
                </c:pt>
                <c:pt idx="6">
                  <c:v>4.2680511336251818</c:v>
                </c:pt>
                <c:pt idx="7">
                  <c:v>4.1344779311116895</c:v>
                </c:pt>
                <c:pt idx="8">
                  <c:v>3.9940595099600458</c:v>
                </c:pt>
                <c:pt idx="9">
                  <c:v>3.8476610675543328</c:v>
                </c:pt>
                <c:pt idx="10">
                  <c:v>3.6961030658379066</c:v>
                </c:pt>
                <c:pt idx="11">
                  <c:v>3.5401553650343276</c:v>
                </c:pt>
                <c:pt idx="12">
                  <c:v>3.3805369969279027</c:v>
                </c:pt>
                <c:pt idx="13">
                  <c:v>3.2179222119095532</c:v>
                </c:pt>
                <c:pt idx="14">
                  <c:v>3.0529530291747635</c:v>
                </c:pt>
                <c:pt idx="15">
                  <c:v>2.8862579217938586</c:v>
                </c:pt>
                <c:pt idx="16">
                  <c:v>2.7184754630918198</c:v>
                </c:pt>
                <c:pt idx="17">
                  <c:v>2.5502807686354299</c:v>
                </c:pt>
                <c:pt idx="18">
                  <c:v>2.3824114691661946</c:v>
                </c:pt>
                <c:pt idx="19">
                  <c:v>2.2156889085231444</c:v>
                </c:pt>
                <c:pt idx="20">
                  <c:v>2.0510295432276031</c:v>
                </c:pt>
                <c:pt idx="21">
                  <c:v>1.8894414881939214</c:v>
                </c:pt>
                <c:pt idx="22">
                  <c:v>1.7320022086874141</c:v>
                </c:pt>
                <c:pt idx="23">
                  <c:v>1.5798158232149531</c:v>
                </c:pt>
                <c:pt idx="24">
                  <c:v>1.4339523944941299</c:v>
                </c:pt>
                <c:pt idx="25">
                  <c:v>1.2953764590364956</c:v>
                </c:pt>
                <c:pt idx="26">
                  <c:v>1.1648766852164671</c:v>
                </c:pt>
                <c:pt idx="27">
                  <c:v>1.0430111186790105</c:v>
                </c:pt>
                <c:pt idx="28">
                  <c:v>0.93008102359989009</c:v>
                </c:pt>
                <c:pt idx="29">
                  <c:v>0.82613985950438729</c:v>
                </c:pt>
                <c:pt idx="30">
                  <c:v>0.73103365961648559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'C&amp;C-exp'!$J$11:$J$42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0.81649321737927982</c:v>
                </c:pt>
                <c:pt idx="2">
                  <c:v>0.91581388255235607</c:v>
                </c:pt>
                <c:pt idx="3">
                  <c:v>1.0194316205068965</c:v>
                </c:pt>
                <c:pt idx="4">
                  <c:v>1.1264201813456054</c:v>
                </c:pt>
                <c:pt idx="5">
                  <c:v>1.2356279305738234</c:v>
                </c:pt>
                <c:pt idx="6">
                  <c:v>1.3456666088479432</c:v>
                </c:pt>
                <c:pt idx="7">
                  <c:v>1.4549070508622255</c:v>
                </c:pt>
                <c:pt idx="8">
                  <c:v>1.5614843979067472</c:v>
                </c:pt>
                <c:pt idx="9">
                  <c:v>1.6633156562946294</c:v>
                </c:pt>
                <c:pt idx="10">
                  <c:v>1.7581326401105006</c:v>
                </c:pt>
                <c:pt idx="11">
                  <c:v>1.8435332881499942</c:v>
                </c:pt>
                <c:pt idx="12">
                  <c:v>1.9170539268689963</c:v>
                </c:pt>
                <c:pt idx="13">
                  <c:v>1.9762641022084928</c:v>
                </c:pt>
                <c:pt idx="14">
                  <c:v>2.0188839505377225</c:v>
                </c:pt>
                <c:pt idx="15">
                  <c:v>2.0429215711944564</c:v>
                </c:pt>
                <c:pt idx="16">
                  <c:v>2.0468244261895125</c:v>
                </c:pt>
                <c:pt idx="17">
                  <c:v>2.0296345137656355</c:v>
                </c:pt>
                <c:pt idx="18">
                  <c:v>1.9911322981511828</c:v>
                </c:pt>
                <c:pt idx="19">
                  <c:v>1.931949868407105</c:v>
                </c:pt>
                <c:pt idx="20">
                  <c:v>1.8536307479090472</c:v>
                </c:pt>
                <c:pt idx="21">
                  <c:v>1.7586138180715232</c:v>
                </c:pt>
                <c:pt idx="22">
                  <c:v>1.6501237799576831</c:v>
                </c:pt>
                <c:pt idx="23">
                  <c:v>1.531961910107003</c:v>
                </c:pt>
                <c:pt idx="24">
                  <c:v>1.4082087469746711</c:v>
                </c:pt>
                <c:pt idx="25">
                  <c:v>1.2828725588114027</c:v>
                </c:pt>
                <c:pt idx="26">
                  <c:v>1.1595385649863714</c:v>
                </c:pt>
                <c:pt idx="27">
                  <c:v>1.0410855712628018</c:v>
                </c:pt>
                <c:pt idx="28">
                  <c:v>0.92953008516199409</c:v>
                </c:pt>
                <c:pt idx="29">
                  <c:v>0.82602856479930731</c:v>
                </c:pt>
                <c:pt idx="30">
                  <c:v>0.73102173829724104</c:v>
                </c:pt>
                <c:pt idx="31">
                  <c:v>0.64445897432453092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75064"/>
        <c:axId val="441965384"/>
      </c:lineChart>
      <c:catAx>
        <c:axId val="52597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5384"/>
        <c:crosses val="autoZero"/>
        <c:auto val="1"/>
        <c:lblAlgn val="ctr"/>
        <c:lblOffset val="100"/>
        <c:tickLblSkip val="3"/>
        <c:noMultiLvlLbl val="0"/>
      </c:catAx>
      <c:valAx>
        <c:axId val="44196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5975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C&amp;C-lin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'C&amp;C-lin'!$D$8:$D$39</c:f>
              <c:numCache>
                <c:formatCode>#,##0.00</c:formatCode>
                <c:ptCount val="32"/>
                <c:pt idx="0">
                  <c:v>17.5</c:v>
                </c:pt>
                <c:pt idx="1">
                  <c:v>16.787953075078445</c:v>
                </c:pt>
                <c:pt idx="2">
                  <c:v>15.712689610104345</c:v>
                </c:pt>
                <c:pt idx="3">
                  <c:v>14.360438700503844</c:v>
                </c:pt>
                <c:pt idx="4">
                  <c:v>12.839590296845728</c:v>
                </c:pt>
                <c:pt idx="5">
                  <c:v>11.264495735399782</c:v>
                </c:pt>
                <c:pt idx="6">
                  <c:v>9.7393260888527848</c:v>
                </c:pt>
                <c:pt idx="7">
                  <c:v>8.3453075255438058</c:v>
                </c:pt>
                <c:pt idx="8">
                  <c:v>7.1336048667968432</c:v>
                </c:pt>
                <c:pt idx="9">
                  <c:v>6.1245340625247113</c:v>
                </c:pt>
                <c:pt idx="10">
                  <c:v>5.3121809969713327</c:v>
                </c:pt>
                <c:pt idx="11">
                  <c:v>4.672379361628721</c:v>
                </c:pt>
                <c:pt idx="12">
                  <c:v>4.1716276471985951</c:v>
                </c:pt>
                <c:pt idx="13">
                  <c:v>3.7748837785950204</c:v>
                </c:pt>
                <c:pt idx="14">
                  <c:v>3.4510024171096485</c:v>
                </c:pt>
                <c:pt idx="15">
                  <c:v>3.1755106145422132</c:v>
                </c:pt>
                <c:pt idx="16">
                  <c:v>2.9311434081384173</c:v>
                </c:pt>
                <c:pt idx="17">
                  <c:v>2.706927750577842</c:v>
                </c:pt>
                <c:pt idx="18">
                  <c:v>2.4966240016846082</c:v>
                </c:pt>
                <c:pt idx="19">
                  <c:v>2.2971322842496678</c:v>
                </c:pt>
                <c:pt idx="20">
                  <c:v>2.1071967518418449</c:v>
                </c:pt>
                <c:pt idx="21">
                  <c:v>1.926507100301365</c:v>
                </c:pt>
                <c:pt idx="22">
                  <c:v>1.7551534345682682</c:v>
                </c:pt>
                <c:pt idx="23">
                  <c:v>1.5933347152723809</c:v>
                </c:pt>
                <c:pt idx="24">
                  <c:v>1.4412224138805578</c:v>
                </c:pt>
                <c:pt idx="25">
                  <c:v>1.2989070624551025</c:v>
                </c:pt>
                <c:pt idx="26">
                  <c:v>1.1663838780158813</c:v>
                </c:pt>
                <c:pt idx="27">
                  <c:v>1.0435547777697176</c:v>
                </c:pt>
                <c:pt idx="28">
                  <c:v>0.93023657462324039</c:v>
                </c:pt>
                <c:pt idx="29">
                  <c:v>0.82617128220349001</c:v>
                </c:pt>
                <c:pt idx="30">
                  <c:v>0.73103702545336813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'C&amp;C-lin'!$G$8:$G$39</c:f>
              <c:numCache>
                <c:formatCode>#,##0.00</c:formatCode>
                <c:ptCount val="32"/>
                <c:pt idx="0">
                  <c:v>4.875</c:v>
                </c:pt>
                <c:pt idx="1">
                  <c:v>4.81456597830425</c:v>
                </c:pt>
                <c:pt idx="2">
                  <c:v>4.7725481802409115</c:v>
                </c:pt>
                <c:pt idx="3">
                  <c:v>4.7414920655780648</c:v>
                </c:pt>
                <c:pt idx="4">
                  <c:v>4.7118180512681915</c:v>
                </c:pt>
                <c:pt idx="5">
                  <c:v>4.6734572076759431</c:v>
                </c:pt>
                <c:pt idx="6">
                  <c:v>4.6174795063927219</c:v>
                </c:pt>
                <c:pt idx="7">
                  <c:v>4.5373753139622064</c:v>
                </c:pt>
                <c:pt idx="8">
                  <c:v>4.429758132070158</c:v>
                </c:pt>
                <c:pt idx="9">
                  <c:v>4.2944194145651267</c:v>
                </c:pt>
                <c:pt idx="10">
                  <c:v>4.1338304222447437</c:v>
                </c:pt>
                <c:pt idx="11">
                  <c:v>3.9523011919913982</c:v>
                </c:pt>
                <c:pt idx="12">
                  <c:v>3.7550448128075886</c:v>
                </c:pt>
                <c:pt idx="13">
                  <c:v>3.5473584518885621</c:v>
                </c:pt>
                <c:pt idx="14">
                  <c:v>3.3340478997743239</c:v>
                </c:pt>
                <c:pt idx="15">
                  <c:v>3.1191270592239246</c:v>
                </c:pt>
                <c:pt idx="16">
                  <c:v>2.90574941652191</c:v>
                </c:pt>
                <c:pt idx="17">
                  <c:v>2.696290910041268</c:v>
                </c:pt>
                <c:pt idx="18">
                  <c:v>2.4925014074426199</c:v>
                </c:pt>
                <c:pt idx="19">
                  <c:v>2.2956626072179813</c:v>
                </c:pt>
                <c:pt idx="20">
                  <c:v>2.1067181937926276</c:v>
                </c:pt>
                <c:pt idx="21">
                  <c:v>1.9263659443897847</c:v>
                </c:pt>
                <c:pt idx="22">
                  <c:v>1.755116097101703</c:v>
                </c:pt>
                <c:pt idx="23">
                  <c:v>1.5933259680274328</c:v>
                </c:pt>
                <c:pt idx="24">
                  <c:v>1.4412206272560051</c:v>
                </c:pt>
                <c:pt idx="25">
                  <c:v>1.2989067508028149</c:v>
                </c:pt>
                <c:pt idx="26">
                  <c:v>1.1663838328778995</c:v>
                </c:pt>
                <c:pt idx="27">
                  <c:v>1.0435547725588004</c:v>
                </c:pt>
                <c:pt idx="28">
                  <c:v>0.93023657417371741</c:v>
                </c:pt>
                <c:pt idx="29">
                  <c:v>0.82617128217773284</c:v>
                </c:pt>
                <c:pt idx="30">
                  <c:v>0.73103702545263305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'C&amp;C-lin'!$J$8:$J$39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0.8760912682164822</c:v>
                </c:pt>
                <c:pt idx="2">
                  <c:v>1.1739448779298254</c:v>
                </c:pt>
                <c:pt idx="3">
                  <c:v>1.577476924904502</c:v>
                </c:pt>
                <c:pt idx="4">
                  <c:v>2.0383034325698088</c:v>
                </c:pt>
                <c:pt idx="5">
                  <c:v>2.5054292014947936</c:v>
                </c:pt>
                <c:pt idx="6">
                  <c:v>2.9327212111060752</c:v>
                </c:pt>
                <c:pt idx="7">
                  <c:v>3.2848103887804885</c:v>
                </c:pt>
                <c:pt idx="8">
                  <c:v>3.5403663585808118</c:v>
                </c:pt>
                <c:pt idx="9">
                  <c:v>3.6924293344572248</c:v>
                </c:pt>
                <c:pt idx="10">
                  <c:v>3.746228827084725</c:v>
                </c:pt>
                <c:pt idx="11">
                  <c:v>3.7154417605305246</c:v>
                </c:pt>
                <c:pt idx="12">
                  <c:v>3.6180158380784837</c:v>
                </c:pt>
                <c:pt idx="13">
                  <c:v>3.4725172446432642</c:v>
                </c:pt>
                <c:pt idx="14">
                  <c:v>3.2955773813627207</c:v>
                </c:pt>
                <c:pt idx="15">
                  <c:v>3.100580493837616</c:v>
                </c:pt>
                <c:pt idx="16">
                  <c:v>2.8973964255961646</c:v>
                </c:pt>
                <c:pt idx="17">
                  <c:v>2.6927920732367832</c:v>
                </c:pt>
                <c:pt idx="18">
                  <c:v>2.4911453389357887</c:v>
                </c:pt>
                <c:pt idx="19">
                  <c:v>2.2951791779448341</c:v>
                </c:pt>
                <c:pt idx="20">
                  <c:v>2.1065607789559637</c:v>
                </c:pt>
                <c:pt idx="21">
                  <c:v>1.9263195131683228</c:v>
                </c:pt>
                <c:pt idx="22">
                  <c:v>1.7551038154752414</c:v>
                </c:pt>
                <c:pt idx="23">
                  <c:v>1.5933230907461142</c:v>
                </c:pt>
                <c:pt idx="24">
                  <c:v>1.4412200395713708</c:v>
                </c:pt>
                <c:pt idx="25">
                  <c:v>1.2989066482892453</c:v>
                </c:pt>
                <c:pt idx="26">
                  <c:v>1.1663838180304045</c:v>
                </c:pt>
                <c:pt idx="27">
                  <c:v>1.0435547708447432</c:v>
                </c:pt>
                <c:pt idx="28">
                  <c:v>0.93023657402585325</c:v>
                </c:pt>
                <c:pt idx="29">
                  <c:v>0.82617128216926039</c:v>
                </c:pt>
                <c:pt idx="30">
                  <c:v>0.73103702545239113</c:v>
                </c:pt>
                <c:pt idx="31">
                  <c:v>0.64445897432453092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961856"/>
        <c:axId val="441966952"/>
      </c:lineChart>
      <c:catAx>
        <c:axId val="4419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6952"/>
        <c:crosses val="autoZero"/>
        <c:auto val="1"/>
        <c:lblAlgn val="ctr"/>
        <c:lblOffset val="100"/>
        <c:tickLblSkip val="3"/>
        <c:noMultiLvlLbl val="0"/>
      </c:catAx>
      <c:valAx>
        <c:axId val="44196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961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LIMITS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4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LIMITS!$D$8:$D$39</c:f>
              <c:numCache>
                <c:formatCode>#,##0.00</c:formatCode>
                <c:ptCount val="32"/>
                <c:pt idx="0">
                  <c:v>17.5</c:v>
                </c:pt>
                <c:pt idx="1">
                  <c:v>16.787953075078445</c:v>
                </c:pt>
                <c:pt idx="2">
                  <c:v>16.043493628288644</c:v>
                </c:pt>
                <c:pt idx="3">
                  <c:v>15.273119153910171</c:v>
                </c:pt>
                <c:pt idx="4">
                  <c:v>14.483368202504368</c:v>
                </c:pt>
                <c:pt idx="5">
                  <c:v>13.680727042421207</c:v>
                </c:pt>
                <c:pt idx="6">
                  <c:v>12.871540393325745</c:v>
                </c:pt>
                <c:pt idx="7">
                  <c:v>12.061927964135478</c:v>
                </c:pt>
                <c:pt idx="8">
                  <c:v>11.257708330843881</c:v>
                </c:pt>
                <c:pt idx="9">
                  <c:v>10.46433145646539</c:v>
                </c:pt>
                <c:pt idx="10">
                  <c:v>9.6868208941446241</c:v>
                </c:pt>
                <c:pt idx="11">
                  <c:v>8.9297264344088205</c:v>
                </c:pt>
                <c:pt idx="12">
                  <c:v>8.1970876680310027</c:v>
                </c:pt>
                <c:pt idx="13">
                  <c:v>7.4924086464131152</c:v>
                </c:pt>
                <c:pt idx="14">
                  <c:v>6.818643540814981</c:v>
                </c:pt>
                <c:pt idx="15">
                  <c:v>6.1781929384628143</c:v>
                </c:pt>
                <c:pt idx="16">
                  <c:v>5.5729101748974248</c:v>
                </c:pt>
                <c:pt idx="17">
                  <c:v>5.0041168939728387</c:v>
                </c:pt>
                <c:pt idx="18">
                  <c:v>4.4726268544052941</c:v>
                </c:pt>
                <c:pt idx="19">
                  <c:v>3.9787768679185254</c:v>
                </c:pt>
                <c:pt idx="20">
                  <c:v>3.5224636605188642</c:v>
                </c:pt>
                <c:pt idx="21">
                  <c:v>3.1031853954423472</c:v>
                </c:pt>
                <c:pt idx="22">
                  <c:v>2.7200865826087774</c:v>
                </c:pt>
                <c:pt idx="23">
                  <c:v>2.3720051224825283</c:v>
                </c:pt>
                <c:pt idx="24">
                  <c:v>2.0575202884749877</c:v>
                </c:pt>
                <c:pt idx="25">
                  <c:v>1.7750005369543873</c:v>
                </c:pt>
                <c:pt idx="26">
                  <c:v>1.5226501424457888</c:v>
                </c:pt>
                <c:pt idx="27">
                  <c:v>1.2985537822082138</c:v>
                </c:pt>
                <c:pt idx="28">
                  <c:v>1.1007183334211532</c:v>
                </c:pt>
                <c:pt idx="29">
                  <c:v>0.92711129213409682</c:v>
                </c:pt>
                <c:pt idx="30">
                  <c:v>0.77569537065152983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LIMITS!$G$8:$G$39</c:f>
              <c:numCache>
                <c:formatCode>#,##0.00</c:formatCode>
                <c:ptCount val="32"/>
                <c:pt idx="0">
                  <c:v>4.875</c:v>
                </c:pt>
                <c:pt idx="1">
                  <c:v>4.81456597830425</c:v>
                </c:pt>
                <c:pt idx="2">
                  <c:v>4.7386808174297643</c:v>
                </c:pt>
                <c:pt idx="3">
                  <c:v>4.6480528134921579</c:v>
                </c:pt>
                <c:pt idx="4">
                  <c:v>4.5435298212235633</c:v>
                </c:pt>
                <c:pt idx="5">
                  <c:v>4.4260860216797866</c:v>
                </c:pt>
                <c:pt idx="6">
                  <c:v>4.2968067442113762</c:v>
                </c:pt>
                <c:pt idx="7">
                  <c:v>4.15687167462921</c:v>
                </c:pt>
                <c:pt idx="8">
                  <c:v>4.0075368148860058</c:v>
                </c:pt>
                <c:pt idx="9">
                  <c:v>3.8501155827248192</c:v>
                </c:pt>
                <c:pt idx="10">
                  <c:v>3.6859594520585834</c:v>
                </c:pt>
                <c:pt idx="11">
                  <c:v>3.516438536156048</c:v>
                </c:pt>
                <c:pt idx="12">
                  <c:v>3.3429225062056762</c:v>
                </c:pt>
                <c:pt idx="13">
                  <c:v>3.1667622180553039</c:v>
                </c:pt>
                <c:pt idx="14">
                  <c:v>2.9892723907576166</c:v>
                </c:pt>
                <c:pt idx="15">
                  <c:v>2.8117156431564867</c:v>
                </c:pt>
                <c:pt idx="16">
                  <c:v>2.6352881505332677</c:v>
                </c:pt>
                <c:pt idx="17">
                  <c:v>2.4611071338821775</c:v>
                </c:pt>
                <c:pt idx="18">
                  <c:v>2.2902003414027665</c:v>
                </c:pt>
                <c:pt idx="19">
                  <c:v>2.1234976270369308</c:v>
                </c:pt>
                <c:pt idx="20">
                  <c:v>1.9618246760722053</c:v>
                </c:pt>
                <c:pt idx="21">
                  <c:v>1.8058988746356974</c:v>
                </c:pt>
                <c:pt idx="22">
                  <c:v>1.6563272698300149</c:v>
                </c:pt>
                <c:pt idx="23">
                  <c:v>1.5136065216433305</c:v>
                </c:pt>
                <c:pt idx="24">
                  <c:v>1.3781247077046315</c:v>
                </c:pt>
                <c:pt idx="25">
                  <c:v>1.2501648083034853</c:v>
                </c:pt>
                <c:pt idx="26">
                  <c:v>1.1299096724337625</c:v>
                </c:pt>
                <c:pt idx="27">
                  <c:v>1.0174482462620484</c:v>
                </c:pt>
                <c:pt idx="28">
                  <c:v>0.91278283340726019</c:v>
                </c:pt>
                <c:pt idx="29">
                  <c:v>0.81583715154279002</c:v>
                </c:pt>
                <c:pt idx="30">
                  <c:v>0.72646495166806091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LIMITS!$J$8:$J$39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0.8760912682164822</c:v>
                </c:pt>
                <c:pt idx="2">
                  <c:v>1.0201240717083095</c:v>
                </c:pt>
                <c:pt idx="3">
                  <c:v>1.1530889627021657</c:v>
                </c:pt>
                <c:pt idx="4">
                  <c:v>1.2739619227981316</c:v>
                </c:pt>
                <c:pt idx="5">
                  <c:v>1.3819040106470963</c:v>
                </c:pt>
                <c:pt idx="6">
                  <c:v>1.4762705542577379</c:v>
                </c:pt>
                <c:pt idx="7">
                  <c:v>1.5566162893816549</c:v>
                </c:pt>
                <c:pt idx="8">
                  <c:v>1.6226964243926731</c:v>
                </c:pt>
                <c:pt idx="9">
                  <c:v>1.6744637195351173</c:v>
                </c:pt>
                <c:pt idx="10">
                  <c:v>1.7120617706945451</c:v>
                </c:pt>
                <c:pt idx="11">
                  <c:v>1.7358147817101013</c:v>
                </c:pt>
                <c:pt idx="12">
                  <c:v>1.7462141918483436</c:v>
                </c:pt>
                <c:pt idx="13">
                  <c:v>1.7439025940263944</c:v>
                </c:pt>
                <c:pt idx="14">
                  <c:v>1.7296554329041516</c:v>
                </c:pt>
                <c:pt idx="15">
                  <c:v>1.7043610088758698</c:v>
                </c:pt>
                <c:pt idx="16">
                  <c:v>1.6689993337395528</c:v>
                </c:pt>
                <c:pt idx="17">
                  <c:v>1.6246203865087643</c:v>
                </c:pt>
                <c:pt idx="18">
                  <c:v>1.5723223041679031</c:v>
                </c:pt>
                <c:pt idx="19">
                  <c:v>1.5132300134281131</c:v>
                </c:pt>
                <c:pt idx="20">
                  <c:v>1.4484747674672964</c:v>
                </c:pt>
                <c:pt idx="21">
                  <c:v>1.3791749983725414</c:v>
                </c:pt>
                <c:pt idx="22">
                  <c:v>1.3064188339682663</c:v>
                </c:pt>
                <c:pt idx="23">
                  <c:v>1.2312485595015454</c:v>
                </c:pt>
                <c:pt idx="24">
                  <c:v>1.1546472329197115</c:v>
                </c:pt>
                <c:pt idx="25">
                  <c:v>1.0775275898175851</c:v>
                </c:pt>
                <c:pt idx="26">
                  <c:v>1.0007233030072631</c:v>
                </c:pt>
                <c:pt idx="27">
                  <c:v>0.9249825942922798</c:v>
                </c:pt>
                <c:pt idx="28">
                  <c:v>0.85096413432487328</c:v>
                </c:pt>
                <c:pt idx="29">
                  <c:v>0.77923511194752093</c:v>
                </c:pt>
                <c:pt idx="30">
                  <c:v>0.71027130833503493</c:v>
                </c:pt>
                <c:pt idx="31">
                  <c:v>0.64445897432453092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09048"/>
        <c:axId val="526709832"/>
      </c:lineChart>
      <c:catAx>
        <c:axId val="52670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9832"/>
        <c:crosses val="autoZero"/>
        <c:auto val="1"/>
        <c:lblAlgn val="ctr"/>
        <c:lblOffset val="100"/>
        <c:tickLblSkip val="3"/>
        <c:noMultiLvlLbl val="0"/>
      </c:catAx>
      <c:valAx>
        <c:axId val="52670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9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Allocation per capita starting 2020 (pc20)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2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'pc20'!$D$8:$D$39</c:f>
              <c:numCache>
                <c:formatCode>#,##0.00</c:formatCode>
                <c:ptCount val="32"/>
                <c:pt idx="0">
                  <c:v>17.5</c:v>
                </c:pt>
                <c:pt idx="1">
                  <c:v>5.9265453274317617</c:v>
                </c:pt>
                <c:pt idx="2">
                  <c:v>5.7885690645752979</c:v>
                </c:pt>
                <c:pt idx="3">
                  <c:v>5.6348123877180463</c:v>
                </c:pt>
                <c:pt idx="4">
                  <c:v>5.4666516516893218</c:v>
                </c:pt>
                <c:pt idx="5">
                  <c:v>5.2855729501050233</c:v>
                </c:pt>
                <c:pt idx="6">
                  <c:v>5.0931500566774721</c:v>
                </c:pt>
                <c:pt idx="7">
                  <c:v>4.8910214416562647</c:v>
                </c:pt>
                <c:pt idx="8">
                  <c:v>4.6808668373948148</c:v>
                </c:pt>
                <c:pt idx="9">
                  <c:v>4.4643838263575999</c:v>
                </c:pt>
                <c:pt idx="10">
                  <c:v>4.2432649117954506</c:v>
                </c:pt>
                <c:pt idx="11">
                  <c:v>4.0191755064959347</c:v>
                </c:pt>
                <c:pt idx="12">
                  <c:v>3.7937332395075494</c:v>
                </c:pt>
                <c:pt idx="13">
                  <c:v>3.5684889359075109</c:v>
                </c:pt>
                <c:pt idx="14">
                  <c:v>3.3449095721660149</c:v>
                </c:pt>
                <c:pt idx="15">
                  <c:v>3.1243634512855514</c:v>
                </c:pt>
                <c:pt idx="16">
                  <c:v>2.9081077796184376</c:v>
                </c:pt>
                <c:pt idx="17">
                  <c:v>2.6972787630957993</c:v>
                </c:pt>
                <c:pt idx="18">
                  <c:v>2.4928842765192538</c:v>
                </c:pt>
                <c:pt idx="19">
                  <c:v>2.2957990974605429</c:v>
                </c:pt>
                <c:pt idx="20">
                  <c:v>2.1067626379138931</c:v>
                </c:pt>
                <c:pt idx="21">
                  <c:v>1.9263790536676706</c:v>
                </c:pt>
                <c:pt idx="22">
                  <c:v>1.7551195646661804</c:v>
                </c:pt>
                <c:pt idx="23">
                  <c:v>1.5933267803920266</c:v>
                </c:pt>
                <c:pt idx="24">
                  <c:v>1.4412207931814522</c:v>
                </c:pt>
                <c:pt idx="25">
                  <c:v>1.2989067797462464</c:v>
                </c:pt>
                <c:pt idx="26">
                  <c:v>1.1663838370699049</c:v>
                </c:pt>
                <c:pt idx="27">
                  <c:v>1.043554773042743</c:v>
                </c:pt>
                <c:pt idx="28">
                  <c:v>0.93023657421546502</c:v>
                </c:pt>
                <c:pt idx="29">
                  <c:v>0.82617128218012492</c:v>
                </c:pt>
                <c:pt idx="30">
                  <c:v>0.73103702545270133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'pc20'!$G$8:$G$39</c:f>
              <c:numCache>
                <c:formatCode>#,##0.00</c:formatCode>
                <c:ptCount val="32"/>
                <c:pt idx="0">
                  <c:v>4.875</c:v>
                </c:pt>
                <c:pt idx="1">
                  <c:v>5.9265453274317608</c:v>
                </c:pt>
                <c:pt idx="2">
                  <c:v>5.7885690645752979</c:v>
                </c:pt>
                <c:pt idx="3">
                  <c:v>5.6348123877180463</c:v>
                </c:pt>
                <c:pt idx="4">
                  <c:v>5.4666516516893218</c:v>
                </c:pt>
                <c:pt idx="5">
                  <c:v>5.2855729501050233</c:v>
                </c:pt>
                <c:pt idx="6">
                  <c:v>5.093150056677473</c:v>
                </c:pt>
                <c:pt idx="7">
                  <c:v>4.8910214416562647</c:v>
                </c:pt>
                <c:pt idx="8">
                  <c:v>4.6808668373948148</c:v>
                </c:pt>
                <c:pt idx="9">
                  <c:v>4.4643838263575999</c:v>
                </c:pt>
                <c:pt idx="10">
                  <c:v>4.2432649117954506</c:v>
                </c:pt>
                <c:pt idx="11">
                  <c:v>4.0191755064959347</c:v>
                </c:pt>
                <c:pt idx="12">
                  <c:v>3.7937332395075494</c:v>
                </c:pt>
                <c:pt idx="13">
                  <c:v>3.5684889359075114</c:v>
                </c:pt>
                <c:pt idx="14">
                  <c:v>3.3449095721660154</c:v>
                </c:pt>
                <c:pt idx="15">
                  <c:v>3.1243634512855514</c:v>
                </c:pt>
                <c:pt idx="16">
                  <c:v>2.9081077796184376</c:v>
                </c:pt>
                <c:pt idx="17">
                  <c:v>2.6972787630957993</c:v>
                </c:pt>
                <c:pt idx="18">
                  <c:v>2.4928842765192538</c:v>
                </c:pt>
                <c:pt idx="19">
                  <c:v>2.2957990974605429</c:v>
                </c:pt>
                <c:pt idx="20">
                  <c:v>2.1067626379138931</c:v>
                </c:pt>
                <c:pt idx="21">
                  <c:v>1.9263790536676706</c:v>
                </c:pt>
                <c:pt idx="22">
                  <c:v>1.7551195646661806</c:v>
                </c:pt>
                <c:pt idx="23">
                  <c:v>1.5933267803920266</c:v>
                </c:pt>
                <c:pt idx="24">
                  <c:v>1.4412207931814525</c:v>
                </c:pt>
                <c:pt idx="25">
                  <c:v>1.2989067797462466</c:v>
                </c:pt>
                <c:pt idx="26">
                  <c:v>1.1663838370699049</c:v>
                </c:pt>
                <c:pt idx="27">
                  <c:v>1.043554773042743</c:v>
                </c:pt>
                <c:pt idx="28">
                  <c:v>0.93023657421546502</c:v>
                </c:pt>
                <c:pt idx="29">
                  <c:v>0.82617128218012503</c:v>
                </c:pt>
                <c:pt idx="30">
                  <c:v>0.73103702545270133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'pc20'!$J$8:$J$39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5.9265453274317608</c:v>
                </c:pt>
                <c:pt idx="2">
                  <c:v>5.788569064575297</c:v>
                </c:pt>
                <c:pt idx="3">
                  <c:v>5.6348123877180454</c:v>
                </c:pt>
                <c:pt idx="4">
                  <c:v>5.4666516516893209</c:v>
                </c:pt>
                <c:pt idx="5">
                  <c:v>5.2855729501050233</c:v>
                </c:pt>
                <c:pt idx="6">
                  <c:v>5.0931500566774712</c:v>
                </c:pt>
                <c:pt idx="7">
                  <c:v>4.8910214416562647</c:v>
                </c:pt>
                <c:pt idx="8">
                  <c:v>4.6808668373948148</c:v>
                </c:pt>
                <c:pt idx="9">
                  <c:v>4.4643838263575999</c:v>
                </c:pt>
                <c:pt idx="10">
                  <c:v>4.2432649117954497</c:v>
                </c:pt>
                <c:pt idx="11">
                  <c:v>4.0191755064959338</c:v>
                </c:pt>
                <c:pt idx="12">
                  <c:v>3.7937332395075489</c:v>
                </c:pt>
                <c:pt idx="13">
                  <c:v>3.5684889359075109</c:v>
                </c:pt>
                <c:pt idx="14">
                  <c:v>3.3449095721660149</c:v>
                </c:pt>
                <c:pt idx="15">
                  <c:v>3.1243634512855509</c:v>
                </c:pt>
                <c:pt idx="16">
                  <c:v>2.9081077796184371</c:v>
                </c:pt>
                <c:pt idx="17">
                  <c:v>2.6972787630957988</c:v>
                </c:pt>
                <c:pt idx="18">
                  <c:v>2.4928842765192538</c:v>
                </c:pt>
                <c:pt idx="19">
                  <c:v>2.2957990974605429</c:v>
                </c:pt>
                <c:pt idx="20">
                  <c:v>2.1067626379138931</c:v>
                </c:pt>
                <c:pt idx="21">
                  <c:v>1.9263790536676706</c:v>
                </c:pt>
                <c:pt idx="22">
                  <c:v>1.7551195646661804</c:v>
                </c:pt>
                <c:pt idx="23">
                  <c:v>1.5933267803920264</c:v>
                </c:pt>
                <c:pt idx="24">
                  <c:v>1.441220793181452</c:v>
                </c:pt>
                <c:pt idx="25">
                  <c:v>1.2989067797462464</c:v>
                </c:pt>
                <c:pt idx="26">
                  <c:v>1.1663838370699047</c:v>
                </c:pt>
                <c:pt idx="27">
                  <c:v>1.0435547730427428</c:v>
                </c:pt>
                <c:pt idx="28">
                  <c:v>0.93023657421546502</c:v>
                </c:pt>
                <c:pt idx="29">
                  <c:v>0.82617128218012492</c:v>
                </c:pt>
                <c:pt idx="30">
                  <c:v>0.73103702545270122</c:v>
                </c:pt>
                <c:pt idx="31">
                  <c:v>0.64445897432453092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06304"/>
        <c:axId val="526708656"/>
      </c:lineChart>
      <c:catAx>
        <c:axId val="52670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8656"/>
        <c:crosses val="autoZero"/>
        <c:auto val="1"/>
        <c:lblAlgn val="ctr"/>
        <c:lblOffset val="100"/>
        <c:tickLblSkip val="3"/>
        <c:noMultiLvlLbl val="0"/>
      </c:catAx>
      <c:valAx>
        <c:axId val="5267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SPM-eq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2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'SPM-eq'!$D$11:$D$42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17.194273719442847</c:v>
                </c:pt>
                <c:pt idx="2">
                  <c:v>15.736525936850104</c:v>
                </c:pt>
                <c:pt idx="3">
                  <c:v>13.624451770239759</c:v>
                </c:pt>
                <c:pt idx="4">
                  <c:v>11.376361184285784</c:v>
                </c:pt>
                <c:pt idx="5">
                  <c:v>9.2600918103997767</c:v>
                </c:pt>
                <c:pt idx="6">
                  <c:v>7.3961633028935339</c:v>
                </c:pt>
                <c:pt idx="7">
                  <c:v>5.8217241158183253</c:v>
                </c:pt>
                <c:pt idx="8">
                  <c:v>4.5294891385089997</c:v>
                </c:pt>
                <c:pt idx="9">
                  <c:v>3.49088875230954</c:v>
                </c:pt>
                <c:pt idx="10">
                  <c:v>2.6693771572756861</c:v>
                </c:pt>
                <c:pt idx="11">
                  <c:v>2.027706274637493</c:v>
                </c:pt>
                <c:pt idx="12">
                  <c:v>1.5315777724562312</c:v>
                </c:pt>
                <c:pt idx="13">
                  <c:v>1.1511843997526106</c:v>
                </c:pt>
                <c:pt idx="14">
                  <c:v>0.8615732314402107</c:v>
                </c:pt>
                <c:pt idx="15">
                  <c:v>0.64239534692961997</c:v>
                </c:pt>
                <c:pt idx="16">
                  <c:v>0.47737484911435313</c:v>
                </c:pt>
                <c:pt idx="17">
                  <c:v>0.3536863601139586</c:v>
                </c:pt>
                <c:pt idx="18">
                  <c:v>0.26134243744025992</c:v>
                </c:pt>
                <c:pt idx="19">
                  <c:v>0.19264009797141474</c:v>
                </c:pt>
                <c:pt idx="20">
                  <c:v>0.14168549423552562</c:v>
                </c:pt>
                <c:pt idx="21">
                  <c:v>0.10399922576205631</c:v>
                </c:pt>
                <c:pt idx="22">
                  <c:v>7.6196374855008284E-2</c:v>
                </c:pt>
                <c:pt idx="23">
                  <c:v>5.5731736834045309E-2</c:v>
                </c:pt>
                <c:pt idx="24">
                  <c:v>4.0699771931068898E-2</c:v>
                </c:pt>
                <c:pt idx="25">
                  <c:v>2.9679267514322202E-2</c:v>
                </c:pt>
                <c:pt idx="26">
                  <c:v>2.1613813039694819E-2</c:v>
                </c:pt>
                <c:pt idx="27">
                  <c:v>1.5720527195378267E-2</c:v>
                </c:pt>
                <c:pt idx="28">
                  <c:v>1.1420805670209547E-2</c:v>
                </c:pt>
                <c:pt idx="29">
                  <c:v>8.2880653322659481E-3</c:v>
                </c:pt>
                <c:pt idx="30">
                  <c:v>6.008501096185781E-3</c:v>
                </c:pt>
                <c:pt idx="31">
                  <c:v>4.351737817005528E-3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'SPM-eq'!$G$11:$G$42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4.9333361241415048</c:v>
                </c:pt>
                <c:pt idx="2">
                  <c:v>4.9966065824143726</c:v>
                </c:pt>
                <c:pt idx="3">
                  <c:v>4.9915213413817412</c:v>
                </c:pt>
                <c:pt idx="4">
                  <c:v>4.9318094163545112</c:v>
                </c:pt>
                <c:pt idx="5">
                  <c:v>4.8290627413147718</c:v>
                </c:pt>
                <c:pt idx="6">
                  <c:v>4.6930343992613075</c:v>
                </c:pt>
                <c:pt idx="7">
                  <c:v>4.5318977002081056</c:v>
                </c:pt>
                <c:pt idx="8">
                  <c:v>4.352471049867944</c:v>
                </c:pt>
                <c:pt idx="9">
                  <c:v>4.1604129447185016</c:v>
                </c:pt>
                <c:pt idx="10">
                  <c:v>3.9603908949510611</c:v>
                </c:pt>
                <c:pt idx="11">
                  <c:v>3.756227607082856</c:v>
                </c:pt>
                <c:pt idx="12">
                  <c:v>3.5510273450988024</c:v>
                </c:pt>
                <c:pt idx="13">
                  <c:v>3.3472850261296898</c:v>
                </c:pt>
                <c:pt idx="14">
                  <c:v>3.1469802878962554</c:v>
                </c:pt>
                <c:pt idx="15">
                  <c:v>2.9516584851950896</c:v>
                </c:pt>
                <c:pt idx="16">
                  <c:v>2.7625003269224067</c:v>
                </c:pt>
                <c:pt idx="17">
                  <c:v>2.5803816494352994</c:v>
                </c:pt>
                <c:pt idx="18">
                  <c:v>2.4059246328205077</c:v>
                </c:pt>
                <c:pt idx="19">
                  <c:v>2.2395416006961995</c:v>
                </c:pt>
                <c:pt idx="20">
                  <c:v>2.0814723987026404</c:v>
                </c:pt>
                <c:pt idx="21">
                  <c:v>1.9318162193731752</c:v>
                </c:pt>
                <c:pt idx="22">
                  <c:v>1.7905586294324358</c:v>
                </c:pt>
                <c:pt idx="23">
                  <c:v>1.6575944578282993</c:v>
                </c:pt>
                <c:pt idx="24">
                  <c:v>1.5327471172746776</c:v>
                </c:pt>
                <c:pt idx="25">
                  <c:v>1.4157848572746889</c:v>
                </c:pt>
                <c:pt idx="26">
                  <c:v>1.3064343811981143</c:v>
                </c:pt>
                <c:pt idx="27">
                  <c:v>1.20439220284943</c:v>
                </c:pt>
                <c:pt idx="28">
                  <c:v>1.1093340680682342</c:v>
                </c:pt>
                <c:pt idx="29">
                  <c:v>1.0209227233604743</c:v>
                </c:pt>
                <c:pt idx="30">
                  <c:v>0.9388142755806097</c:v>
                </c:pt>
                <c:pt idx="31">
                  <c:v>0.86266335358378399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'SPM-eq'!$J$11:$J$42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0.72925179763877701</c:v>
                </c:pt>
                <c:pt idx="2">
                  <c:v>0.74276705351992922</c:v>
                </c:pt>
                <c:pt idx="3">
                  <c:v>0.75538394785568497</c:v>
                </c:pt>
                <c:pt idx="4">
                  <c:v>0.76713444530027741</c:v>
                </c:pt>
                <c:pt idx="5">
                  <c:v>0.77804956005628434</c:v>
                </c:pt>
                <c:pt idx="6">
                  <c:v>0.78815938178491107</c:v>
                </c:pt>
                <c:pt idx="7">
                  <c:v>0.79749310084446934</c:v>
                </c:pt>
                <c:pt idx="8">
                  <c:v>0.80607903287570648</c:v>
                </c:pt>
                <c:pt idx="9">
                  <c:v>0.81394464274860157</c:v>
                </c:pt>
                <c:pt idx="10">
                  <c:v>0.82111656788786058</c:v>
                </c:pt>
                <c:pt idx="11">
                  <c:v>0.82762064099194466</c:v>
                </c:pt>
                <c:pt idx="12">
                  <c:v>0.83348191216149325</c:v>
                </c:pt>
                <c:pt idx="13">
                  <c:v>0.83872467045103882</c:v>
                </c:pt>
                <c:pt idx="14">
                  <c:v>0.843372464859793</c:v>
                </c:pt>
                <c:pt idx="15">
                  <c:v>0.8474481247742458</c:v>
                </c:pt>
                <c:pt idx="16">
                  <c:v>0.85097377987738909</c:v>
                </c:pt>
                <c:pt idx="17">
                  <c:v>0.8539708795373544</c:v>
                </c:pt>
                <c:pt idx="18">
                  <c:v>0.85646021168922526</c:v>
                </c:pt>
                <c:pt idx="19">
                  <c:v>0.85846192122191056</c:v>
                </c:pt>
                <c:pt idx="20">
                  <c:v>0.85999552788330336</c:v>
                </c:pt>
                <c:pt idx="21">
                  <c:v>0.86107994371572827</c:v>
                </c:pt>
                <c:pt idx="22">
                  <c:v>0.86173349003328259</c:v>
                </c:pt>
                <c:pt idx="23">
                  <c:v>0.86197391395278822</c:v>
                </c:pt>
                <c:pt idx="24">
                  <c:v>0.86181840448985836</c:v>
                </c:pt>
                <c:pt idx="25">
                  <c:v>0.86128360823062811</c:v>
                </c:pt>
                <c:pt idx="26">
                  <c:v>0.86038564459048439</c:v>
                </c:pt>
                <c:pt idx="27">
                  <c:v>0.8591401206695749</c:v>
                </c:pt>
                <c:pt idx="28">
                  <c:v>0.85756214571591372</c:v>
                </c:pt>
                <c:pt idx="29">
                  <c:v>0.85566634520582285</c:v>
                </c:pt>
                <c:pt idx="30">
                  <c:v>0.85346687455137915</c:v>
                </c:pt>
                <c:pt idx="31">
                  <c:v>0.85097743244408164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07872"/>
        <c:axId val="526708264"/>
      </c:lineChart>
      <c:catAx>
        <c:axId val="5267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8264"/>
        <c:crosses val="autoZero"/>
        <c:auto val="1"/>
        <c:lblAlgn val="ctr"/>
        <c:lblOffset val="100"/>
        <c:tickLblSkip val="3"/>
        <c:noMultiLvlLbl val="0"/>
      </c:catAx>
      <c:valAx>
        <c:axId val="52670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EPM per capita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de-DE" sz="1200" b="1" i="0" u="none" strike="noStrike" kern="1200" spc="0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EPM!$AC$19:$AC$50</c:f>
              <c:numCache>
                <c:formatCode>#,##0.00</c:formatCode>
                <c:ptCount val="32"/>
                <c:pt idx="0">
                  <c:v>17.5</c:v>
                </c:pt>
                <c:pt idx="1">
                  <c:v>16.814250978040242</c:v>
                </c:pt>
                <c:pt idx="2">
                  <c:v>16.052145785002892</c:v>
                </c:pt>
                <c:pt idx="3">
                  <c:v>15.248987841344967</c:v>
                </c:pt>
                <c:pt idx="4">
                  <c:v>14.391142242705214</c:v>
                </c:pt>
                <c:pt idx="5">
                  <c:v>13.520561360106489</c:v>
                </c:pt>
                <c:pt idx="6">
                  <c:v>12.643161221315307</c:v>
                </c:pt>
                <c:pt idx="7">
                  <c:v>11.764347408755601</c:v>
                </c:pt>
                <c:pt idx="8">
                  <c:v>10.903660053943685</c:v>
                </c:pt>
                <c:pt idx="9">
                  <c:v>10.061792314412118</c:v>
                </c:pt>
                <c:pt idx="10">
                  <c:v>9.2552273922078392</c:v>
                </c:pt>
                <c:pt idx="11">
                  <c:v>8.4815112554395533</c:v>
                </c:pt>
                <c:pt idx="12">
                  <c:v>7.7469300656735287</c:v>
                </c:pt>
                <c:pt idx="13">
                  <c:v>7.0508690221610975</c:v>
                </c:pt>
                <c:pt idx="14">
                  <c:v>6.3945904675076024</c:v>
                </c:pt>
                <c:pt idx="15">
                  <c:v>5.7888940512686506</c:v>
                </c:pt>
                <c:pt idx="16">
                  <c:v>5.2175696801618425</c:v>
                </c:pt>
                <c:pt idx="17">
                  <c:v>4.690544112624349</c:v>
                </c:pt>
                <c:pt idx="18">
                  <c:v>4.201872979389627</c:v>
                </c:pt>
                <c:pt idx="19">
                  <c:v>3.7540512097565211</c:v>
                </c:pt>
                <c:pt idx="20">
                  <c:v>3.340134704141656</c:v>
                </c:pt>
                <c:pt idx="21">
                  <c:v>2.961022274507247</c:v>
                </c:pt>
                <c:pt idx="22">
                  <c:v>2.6152849668602491</c:v>
                </c:pt>
                <c:pt idx="23">
                  <c:v>2.3000981470349169</c:v>
                </c:pt>
                <c:pt idx="24">
                  <c:v>2.0129458600834109</c:v>
                </c:pt>
                <c:pt idx="25">
                  <c:v>1.7579186430160327</c:v>
                </c:pt>
                <c:pt idx="26">
                  <c:v>1.53282430523316</c:v>
                </c:pt>
                <c:pt idx="27">
                  <c:v>1.3249856377723901</c:v>
                </c:pt>
                <c:pt idx="28">
                  <c:v>1.142519982584437</c:v>
                </c:pt>
                <c:pt idx="29">
                  <c:v>0.98701959418063945</c:v>
                </c:pt>
                <c:pt idx="30">
                  <c:v>0.85097221556380065</c:v>
                </c:pt>
                <c:pt idx="31">
                  <c:v>0.73292950179050098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EPM!$AF$19:$AF$50</c:f>
              <c:numCache>
                <c:formatCode>#,##0.00</c:formatCode>
                <c:ptCount val="32"/>
                <c:pt idx="0">
                  <c:v>4.875</c:v>
                </c:pt>
                <c:pt idx="1">
                  <c:v>4.8719997554821672</c:v>
                </c:pt>
                <c:pt idx="2">
                  <c:v>4.8610444341677788</c:v>
                </c:pt>
                <c:pt idx="3">
                  <c:v>4.8396943343784802</c:v>
                </c:pt>
                <c:pt idx="4">
                  <c:v>4.8044522802596985</c:v>
                </c:pt>
                <c:pt idx="5">
                  <c:v>4.7540668436304534</c:v>
                </c:pt>
                <c:pt idx="6">
                  <c:v>4.6867512414276966</c:v>
                </c:pt>
                <c:pt idx="7">
                  <c:v>4.6009088546016379</c:v>
                </c:pt>
                <c:pt idx="8">
                  <c:v>4.4970969222370778</c:v>
                </c:pt>
                <c:pt idx="9">
                  <c:v>4.3747034595806502</c:v>
                </c:pt>
                <c:pt idx="10">
                  <c:v>4.2361372859816608</c:v>
                </c:pt>
                <c:pt idx="11">
                  <c:v>4.0816642717466625</c:v>
                </c:pt>
                <c:pt idx="12">
                  <c:v>3.9135600996823774</c:v>
                </c:pt>
                <c:pt idx="13">
                  <c:v>3.7331344428661009</c:v>
                </c:pt>
                <c:pt idx="14">
                  <c:v>3.5423903239065293</c:v>
                </c:pt>
                <c:pt idx="15">
                  <c:v>3.3469225386066568</c:v>
                </c:pt>
                <c:pt idx="16">
                  <c:v>3.1438922634842248</c:v>
                </c:pt>
                <c:pt idx="17">
                  <c:v>2.9391064914203269</c:v>
                </c:pt>
                <c:pt idx="18">
                  <c:v>2.7328972765270612</c:v>
                </c:pt>
                <c:pt idx="19">
                  <c:v>2.5289417110708987</c:v>
                </c:pt>
                <c:pt idx="20">
                  <c:v>2.3266072504397894</c:v>
                </c:pt>
                <c:pt idx="21">
                  <c:v>2.1286729999044605</c:v>
                </c:pt>
                <c:pt idx="22">
                  <c:v>1.9367970475836045</c:v>
                </c:pt>
                <c:pt idx="23">
                  <c:v>1.7516767974748773</c:v>
                </c:pt>
                <c:pt idx="24">
                  <c:v>1.5738944733336662</c:v>
                </c:pt>
                <c:pt idx="25">
                  <c:v>1.408150410655743</c:v>
                </c:pt>
                <c:pt idx="26">
                  <c:v>1.2552725581317399</c:v>
                </c:pt>
                <c:pt idx="27">
                  <c:v>1.1082372147906026</c:v>
                </c:pt>
                <c:pt idx="28">
                  <c:v>0.97417598913295411</c:v>
                </c:pt>
                <c:pt idx="29">
                  <c:v>0.85600648719284078</c:v>
                </c:pt>
                <c:pt idx="30">
                  <c:v>0.74947069296289826</c:v>
                </c:pt>
                <c:pt idx="31">
                  <c:v>0.65450685110921003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EPM!$AI$19:$AI$50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0.72218653017956425</c:v>
                </c:pt>
                <c:pt idx="2">
                  <c:v>0.72218653017956425</c:v>
                </c:pt>
                <c:pt idx="3">
                  <c:v>0.72218653017956425</c:v>
                </c:pt>
                <c:pt idx="4">
                  <c:v>0.72218653017956425</c:v>
                </c:pt>
                <c:pt idx="5">
                  <c:v>0.72218653017956425</c:v>
                </c:pt>
                <c:pt idx="6">
                  <c:v>0.72218653017956425</c:v>
                </c:pt>
                <c:pt idx="7">
                  <c:v>0.72218653017956425</c:v>
                </c:pt>
                <c:pt idx="8">
                  <c:v>0.72218653017956425</c:v>
                </c:pt>
                <c:pt idx="9">
                  <c:v>0.72218653017956425</c:v>
                </c:pt>
                <c:pt idx="10">
                  <c:v>0.7221865301795638</c:v>
                </c:pt>
                <c:pt idx="11">
                  <c:v>0.72218653017956291</c:v>
                </c:pt>
                <c:pt idx="12">
                  <c:v>0.72218653017949419</c:v>
                </c:pt>
                <c:pt idx="13">
                  <c:v>0.72218653017686407</c:v>
                </c:pt>
                <c:pt idx="14">
                  <c:v>0.72218653011066536</c:v>
                </c:pt>
                <c:pt idx="15">
                  <c:v>0.72218652900485558</c:v>
                </c:pt>
                <c:pt idx="16">
                  <c:v>0.72218651510262966</c:v>
                </c:pt>
                <c:pt idx="17">
                  <c:v>0.72218638630516485</c:v>
                </c:pt>
                <c:pt idx="18">
                  <c:v>0.72218545468461826</c:v>
                </c:pt>
                <c:pt idx="19">
                  <c:v>0.72218016479842584</c:v>
                </c:pt>
                <c:pt idx="20">
                  <c:v>0.72215535866083813</c:v>
                </c:pt>
                <c:pt idx="21">
                  <c:v>0.72205905140414461</c:v>
                </c:pt>
                <c:pt idx="22">
                  <c:v>0.72174407077006597</c:v>
                </c:pt>
                <c:pt idx="23">
                  <c:v>0.72085819682232954</c:v>
                </c:pt>
                <c:pt idx="24">
                  <c:v>0.71868201274170351</c:v>
                </c:pt>
                <c:pt idx="25">
                  <c:v>0.71411760437511529</c:v>
                </c:pt>
                <c:pt idx="26">
                  <c:v>0.70574257301806298</c:v>
                </c:pt>
                <c:pt idx="27">
                  <c:v>0.69116989357836034</c:v>
                </c:pt>
                <c:pt idx="28">
                  <c:v>0.66915144637138879</c:v>
                </c:pt>
                <c:pt idx="29">
                  <c:v>0.6398723334640235</c:v>
                </c:pt>
                <c:pt idx="30">
                  <c:v>0.60309549542387553</c:v>
                </c:pt>
                <c:pt idx="31">
                  <c:v>0.56025924586368103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12184"/>
        <c:axId val="526706696"/>
      </c:lineChart>
      <c:catAx>
        <c:axId val="52671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6696"/>
        <c:crosses val="autoZero"/>
        <c:auto val="1"/>
        <c:lblAlgn val="ctr"/>
        <c:lblOffset val="100"/>
        <c:tickLblSkip val="3"/>
        <c:noMultiLvlLbl val="0"/>
      </c:catAx>
      <c:valAx>
        <c:axId val="52670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12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CDC per capita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CDC!$V$12:$V$43</c:f>
              <c:numCache>
                <c:formatCode>#,##0.00</c:formatCode>
                <c:ptCount val="32"/>
                <c:pt idx="0">
                  <c:v>17.5</c:v>
                </c:pt>
                <c:pt idx="1">
                  <c:v>16.296576096623156</c:v>
                </c:pt>
                <c:pt idx="2">
                  <c:v>14.980216394476299</c:v>
                </c:pt>
                <c:pt idx="3">
                  <c:v>13.557638138010473</c:v>
                </c:pt>
                <c:pt idx="4">
                  <c:v>12.941444624097619</c:v>
                </c:pt>
                <c:pt idx="5">
                  <c:v>12.287432773559638</c:v>
                </c:pt>
                <c:pt idx="6">
                  <c:v>11.601980332919123</c:v>
                </c:pt>
                <c:pt idx="7">
                  <c:v>10.891980054079649</c:v>
                </c:pt>
                <c:pt idx="8">
                  <c:v>10.164763230595662</c:v>
                </c:pt>
                <c:pt idx="9">
                  <c:v>9.4280045806339974</c:v>
                </c:pt>
                <c:pt idx="10">
                  <c:v>8.6896053968067335</c:v>
                </c:pt>
                <c:pt idx="11">
                  <c:v>7.9575520106258208</c:v>
                </c:pt>
                <c:pt idx="12">
                  <c:v>7.2397473081066117</c:v>
                </c:pt>
                <c:pt idx="13">
                  <c:v>6.5438145269063126</c:v>
                </c:pt>
                <c:pt idx="14">
                  <c:v>5.8768751154183967</c:v>
                </c:pt>
                <c:pt idx="15">
                  <c:v>5.245306242694908</c:v>
                </c:pt>
                <c:pt idx="16">
                  <c:v>4.6544886755580608</c:v>
                </c:pt>
                <c:pt idx="17">
                  <c:v>4.1085619713394799</c:v>
                </c:pt>
                <c:pt idx="18">
                  <c:v>3.6102106169719135</c:v>
                </c:pt>
                <c:pt idx="19">
                  <c:v>3.1605106220908534</c:v>
                </c:pt>
                <c:pt idx="20">
                  <c:v>2.7588692058960498</c:v>
                </c:pt>
                <c:pt idx="21">
                  <c:v>2.4030881007884428</c:v>
                </c:pt>
                <c:pt idx="22">
                  <c:v>2.0895710433279153</c:v>
                </c:pt>
                <c:pt idx="23">
                  <c:v>1.8136765471557823</c:v>
                </c:pt>
                <c:pt idx="24">
                  <c:v>1.5701887355208493</c:v>
                </c:pt>
                <c:pt idx="25">
                  <c:v>1.3538465042442425</c:v>
                </c:pt>
                <c:pt idx="26">
                  <c:v>1.189838507172766</c:v>
                </c:pt>
                <c:pt idx="27">
                  <c:v>1.0520152567838106</c:v>
                </c:pt>
                <c:pt idx="28">
                  <c:v>0.93265729138758469</c:v>
                </c:pt>
                <c:pt idx="29">
                  <c:v>0.82666028963580718</c:v>
                </c:pt>
                <c:pt idx="30">
                  <c:v>0.73108940542880085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CDC!$Y$12:$Y$43</c:f>
              <c:numCache>
                <c:formatCode>#,##0.00</c:formatCode>
                <c:ptCount val="32"/>
                <c:pt idx="0">
                  <c:v>4.875</c:v>
                </c:pt>
                <c:pt idx="1">
                  <c:v>5.0212500000000002</c:v>
                </c:pt>
                <c:pt idx="2">
                  <c:v>5.1718875000000004</c:v>
                </c:pt>
                <c:pt idx="3">
                  <c:v>5.3270441250000005</c:v>
                </c:pt>
                <c:pt idx="4">
                  <c:v>5.2153105934760946</c:v>
                </c:pt>
                <c:pt idx="5">
                  <c:v>5.0925087860354026</c:v>
                </c:pt>
                <c:pt idx="6">
                  <c:v>4.9594375326484741</c:v>
                </c:pt>
                <c:pt idx="7">
                  <c:v>4.8168527110838442</c:v>
                </c:pt>
                <c:pt idx="8">
                  <c:v>4.6654497605870526</c:v>
                </c:pt>
                <c:pt idx="9">
                  <c:v>4.5058518302415518</c:v>
                </c:pt>
                <c:pt idx="10">
                  <c:v>4.3386052798493182</c:v>
                </c:pt>
                <c:pt idx="11">
                  <c:v>4.1641841700828115</c:v>
                </c:pt>
                <c:pt idx="12">
                  <c:v>3.9830051107749114</c:v>
                </c:pt>
                <c:pt idx="13">
                  <c:v>3.7954533107260624</c:v>
                </c:pt>
                <c:pt idx="14">
                  <c:v>3.6019198168055078</c:v>
                </c:pt>
                <c:pt idx="15">
                  <c:v>3.4028486868926473</c:v>
                </c:pt>
                <c:pt idx="16">
                  <c:v>3.1987911955326012</c:v>
                </c:pt>
                <c:pt idx="17">
                  <c:v>2.9904621908637883</c:v>
                </c:pt>
                <c:pt idx="18">
                  <c:v>2.7787916061480247</c:v>
                </c:pt>
                <c:pt idx="19">
                  <c:v>2.5649622590209438</c:v>
                </c:pt>
                <c:pt idx="20">
                  <c:v>2.3504240312119897</c:v>
                </c:pt>
                <c:pt idx="21">
                  <c:v>2.1368750647711243</c:v>
                </c:pt>
                <c:pt idx="22">
                  <c:v>1.9262035160303308</c:v>
                </c:pt>
                <c:pt idx="23">
                  <c:v>1.7203891836086458</c:v>
                </c:pt>
                <c:pt idx="24">
                  <c:v>1.5213727681924682</c:v>
                </c:pt>
                <c:pt idx="25">
                  <c:v>1.3309102348119344</c:v>
                </c:pt>
                <c:pt idx="26">
                  <c:v>1.1800466373037291</c:v>
                </c:pt>
                <c:pt idx="27">
                  <c:v>1.0484831689114029</c:v>
                </c:pt>
                <c:pt idx="28">
                  <c:v>0.93164668891757818</c:v>
                </c:pt>
                <c:pt idx="29">
                  <c:v>0.8264561385072674</c:v>
                </c:pt>
                <c:pt idx="30">
                  <c:v>0.73106753780467915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CDC!$AB$12:$AB$43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0.73663026078315552</c:v>
                </c:pt>
                <c:pt idx="2">
                  <c:v>0.75136286599881863</c:v>
                </c:pt>
                <c:pt idx="3">
                  <c:v>0.76639012331879508</c:v>
                </c:pt>
                <c:pt idx="4">
                  <c:v>0.78171792578517107</c:v>
                </c:pt>
                <c:pt idx="5">
                  <c:v>0.79735228430087446</c:v>
                </c:pt>
                <c:pt idx="6">
                  <c:v>0.81329932998689203</c:v>
                </c:pt>
                <c:pt idx="7">
                  <c:v>0.82956531658662991</c:v>
                </c:pt>
                <c:pt idx="8">
                  <c:v>0.84615662291836247</c:v>
                </c:pt>
                <c:pt idx="9">
                  <c:v>0.86307975537672965</c:v>
                </c:pt>
                <c:pt idx="10">
                  <c:v>0.88034135048426432</c:v>
                </c:pt>
                <c:pt idx="11">
                  <c:v>0.89794817749394962</c:v>
                </c:pt>
                <c:pt idx="12">
                  <c:v>0.91590714104382853</c:v>
                </c:pt>
                <c:pt idx="13">
                  <c:v>0.93422528386470516</c:v>
                </c:pt>
                <c:pt idx="14">
                  <c:v>0.95290978954199923</c:v>
                </c:pt>
                <c:pt idx="15">
                  <c:v>0.97196798533283923</c:v>
                </c:pt>
                <c:pt idx="16">
                  <c:v>0.99140734503949601</c:v>
                </c:pt>
                <c:pt idx="17">
                  <c:v>1.0112354919402859</c:v>
                </c:pt>
                <c:pt idx="18">
                  <c:v>1.0314602017790917</c:v>
                </c:pt>
                <c:pt idx="19">
                  <c:v>1.0520894058146737</c:v>
                </c:pt>
                <c:pt idx="20">
                  <c:v>1.0731311939309671</c:v>
                </c:pt>
                <c:pt idx="21">
                  <c:v>1.0945938178095864</c:v>
                </c:pt>
                <c:pt idx="22">
                  <c:v>1.1164856941657781</c:v>
                </c:pt>
                <c:pt idx="23">
                  <c:v>1.1388154080490938</c:v>
                </c:pt>
                <c:pt idx="24">
                  <c:v>1.1615917162100757</c:v>
                </c:pt>
                <c:pt idx="25">
                  <c:v>1.1848235505342772</c:v>
                </c:pt>
                <c:pt idx="26">
                  <c:v>1.1176798340941811</c:v>
                </c:pt>
                <c:pt idx="27">
                  <c:v>1.0259864412992599</c:v>
                </c:pt>
                <c:pt idx="28">
                  <c:v>0.92520991573605516</c:v>
                </c:pt>
                <c:pt idx="29">
                  <c:v>0.82515585026519067</c:v>
                </c:pt>
                <c:pt idx="30">
                  <c:v>0.73092825758256552</c:v>
                </c:pt>
                <c:pt idx="31">
                  <c:v>0.64445897432453092</c:v>
                </c:pt>
              </c:numCache>
            </c:numRef>
          </c:val>
          <c:smooth val="0"/>
        </c:ser>
        <c:ser>
          <c:idx val="3"/>
          <c:order val="3"/>
          <c:tx>
            <c:v>threshold</c:v>
          </c:tx>
          <c:marker>
            <c:symbol val="none"/>
          </c:marker>
          <c:val>
            <c:numRef>
              <c:f>CDC!$Q$12:$Q$43</c:f>
              <c:numCache>
                <c:formatCode>#,##0.00</c:formatCode>
                <c:ptCount val="32"/>
                <c:pt idx="0">
                  <c:v>5.7451204704695646</c:v>
                </c:pt>
                <c:pt idx="1">
                  <c:v>5.6302180610601722</c:v>
                </c:pt>
                <c:pt idx="2">
                  <c:v>5.4991406113465322</c:v>
                </c:pt>
                <c:pt idx="3">
                  <c:v>5.3530717683321436</c:v>
                </c:pt>
                <c:pt idx="4">
                  <c:v>5.193319069104855</c:v>
                </c:pt>
                <c:pt idx="5">
                  <c:v>5.0212943025997712</c:v>
                </c:pt>
                <c:pt idx="6">
                  <c:v>4.8384925538435981</c:v>
                </c:pt>
                <c:pt idx="7">
                  <c:v>4.6464703695734517</c:v>
                </c:pt>
                <c:pt idx="8">
                  <c:v>4.4468234955250736</c:v>
                </c:pt>
                <c:pt idx="9">
                  <c:v>4.2411646350397199</c:v>
                </c:pt>
                <c:pt idx="10">
                  <c:v>4.0311016662056769</c:v>
                </c:pt>
                <c:pt idx="11">
                  <c:v>3.818216731171137</c:v>
                </c:pt>
                <c:pt idx="12">
                  <c:v>3.6040465775321713</c:v>
                </c:pt>
                <c:pt idx="13">
                  <c:v>3.3900644891121354</c:v>
                </c:pt>
                <c:pt idx="14">
                  <c:v>3.1776640935577141</c:v>
                </c:pt>
                <c:pt idx="15">
                  <c:v>2.9681452787212739</c:v>
                </c:pt>
                <c:pt idx="16">
                  <c:v>2.7627023906375157</c:v>
                </c:pt>
                <c:pt idx="17">
                  <c:v>2.5624148249410088</c:v>
                </c:pt>
                <c:pt idx="18">
                  <c:v>2.3682400626932911</c:v>
                </c:pt>
                <c:pt idx="19">
                  <c:v>2.1810091425875155</c:v>
                </c:pt>
                <c:pt idx="20">
                  <c:v>2.0014245060181981</c:v>
                </c:pt>
                <c:pt idx="21">
                  <c:v>1.8300601009842867</c:v>
                </c:pt>
                <c:pt idx="22">
                  <c:v>1.6673635864328713</c:v>
                </c:pt>
                <c:pt idx="23">
                  <c:v>1.5136604413724251</c:v>
                </c:pt>
                <c:pt idx="24">
                  <c:v>1.3691597535223796</c:v>
                </c:pt>
                <c:pt idx="25">
                  <c:v>1.2339614407589339</c:v>
                </c:pt>
                <c:pt idx="26">
                  <c:v>1.1080646452164093</c:v>
                </c:pt>
                <c:pt idx="27">
                  <c:v>0.99137703439060587</c:v>
                </c:pt>
                <c:pt idx="28">
                  <c:v>0.88372474550469171</c:v>
                </c:pt>
                <c:pt idx="29">
                  <c:v>0.78486271807111863</c:v>
                </c:pt>
                <c:pt idx="30">
                  <c:v>0.69448517418006628</c:v>
                </c:pt>
                <c:pt idx="31">
                  <c:v>0.61223602560830426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05128"/>
        <c:axId val="526711008"/>
      </c:lineChart>
      <c:catAx>
        <c:axId val="52670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11008"/>
        <c:crosses val="autoZero"/>
        <c:auto val="1"/>
        <c:lblAlgn val="ctr"/>
        <c:lblOffset val="100"/>
        <c:tickLblSkip val="3"/>
        <c:noMultiLvlLbl val="0"/>
      </c:catAx>
      <c:valAx>
        <c:axId val="52671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5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de-DE" sz="1600"/>
              <a:t>Weighting "per</a:t>
            </a:r>
            <a:r>
              <a:rPr lang="de-DE" sz="1600" baseline="0"/>
              <a:t> capita"</a:t>
            </a:r>
            <a:endParaRPr lang="de-DE" sz="16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40622763063708"/>
          <c:y val="0.152572744603657"/>
          <c:w val="0.67035532490256899"/>
          <c:h val="0.69606144412051763"/>
        </c:manualLayout>
      </c:layout>
      <c:lineChart>
        <c:grouping val="standard"/>
        <c:varyColors val="0"/>
        <c:ser>
          <c:idx val="0"/>
          <c:order val="0"/>
          <c:tx>
            <c:strRef>
              <c:f>comparison!$B$42</c:f>
              <c:strCache>
                <c:ptCount val="1"/>
                <c:pt idx="0">
                  <c:v>GQWF</c:v>
                </c:pt>
              </c:strCache>
            </c:strRef>
          </c:tx>
          <c:marker>
            <c:symbol val="none"/>
          </c:marker>
          <c:cat>
            <c:numRef>
              <c:f>GQWF!$A$22:$A$52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GQWF!$N$22:$N$52</c:f>
              <c:numCache>
                <c:formatCode>0.0%</c:formatCode>
                <c:ptCount val="31"/>
                <c:pt idx="0">
                  <c:v>3.9999999999999994E-2</c:v>
                </c:pt>
                <c:pt idx="1">
                  <c:v>7.9483870967741926E-2</c:v>
                </c:pt>
                <c:pt idx="2">
                  <c:v>0.11845161290322578</c:v>
                </c:pt>
                <c:pt idx="3">
                  <c:v>0.15690322580645158</c:v>
                </c:pt>
                <c:pt idx="4">
                  <c:v>0.19483870967741931</c:v>
                </c:pt>
                <c:pt idx="5">
                  <c:v>0.23225806451612899</c:v>
                </c:pt>
                <c:pt idx="6">
                  <c:v>0.26916129032258063</c:v>
                </c:pt>
                <c:pt idx="7">
                  <c:v>0.30554838709677412</c:v>
                </c:pt>
                <c:pt idx="8">
                  <c:v>0.34141935483870961</c:v>
                </c:pt>
                <c:pt idx="9">
                  <c:v>0.37677419354838704</c:v>
                </c:pt>
                <c:pt idx="10">
                  <c:v>0.4116129032258064</c:v>
                </c:pt>
                <c:pt idx="11">
                  <c:v>0.44593548387096771</c:v>
                </c:pt>
                <c:pt idx="12">
                  <c:v>0.47974193548387095</c:v>
                </c:pt>
                <c:pt idx="13">
                  <c:v>0.51303225806451613</c:v>
                </c:pt>
                <c:pt idx="14">
                  <c:v>0.5458064516129032</c:v>
                </c:pt>
                <c:pt idx="15">
                  <c:v>0.5780645161290322</c:v>
                </c:pt>
                <c:pt idx="16">
                  <c:v>0.60980645161290314</c:v>
                </c:pt>
                <c:pt idx="17">
                  <c:v>0.64103225806451603</c:v>
                </c:pt>
                <c:pt idx="18">
                  <c:v>0.67174193548387084</c:v>
                </c:pt>
                <c:pt idx="19">
                  <c:v>0.7019354838709676</c:v>
                </c:pt>
                <c:pt idx="20">
                  <c:v>0.73161290322580641</c:v>
                </c:pt>
                <c:pt idx="21">
                  <c:v>0.76077419354838705</c:v>
                </c:pt>
                <c:pt idx="22">
                  <c:v>0.78941935483870962</c:v>
                </c:pt>
                <c:pt idx="23">
                  <c:v>0.81754838709677413</c:v>
                </c:pt>
                <c:pt idx="24">
                  <c:v>0.84516129032258069</c:v>
                </c:pt>
                <c:pt idx="25">
                  <c:v>0.87225806451612908</c:v>
                </c:pt>
                <c:pt idx="26">
                  <c:v>0.89883870967741941</c:v>
                </c:pt>
                <c:pt idx="27">
                  <c:v>0.92490322580645168</c:v>
                </c:pt>
                <c:pt idx="28">
                  <c:v>0.95045161290322588</c:v>
                </c:pt>
                <c:pt idx="29">
                  <c:v>0.97548387096774203</c:v>
                </c:pt>
                <c:pt idx="3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comparison!$B$43</c:f>
              <c:strCache>
                <c:ptCount val="1"/>
                <c:pt idx="0">
                  <c:v>C&amp;C-exp</c:v>
                </c:pt>
              </c:strCache>
            </c:strRef>
          </c:tx>
          <c:marker>
            <c:symbol val="none"/>
          </c:marker>
          <c:cat>
            <c:numRef>
              <c:f>GQWF!$A$22:$A$52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'C&amp;C-exp'!$N$12:$N$42</c:f>
              <c:numCache>
                <c:formatCode>0.0%</c:formatCode>
                <c:ptCount val="31"/>
                <c:pt idx="0">
                  <c:v>2.0838193670452695E-2</c:v>
                </c:pt>
                <c:pt idx="1">
                  <c:v>2.3708171911730948E-2</c:v>
                </c:pt>
                <c:pt idx="2">
                  <c:v>2.6973423142389763E-2</c:v>
                </c:pt>
                <c:pt idx="3">
                  <c:v>3.0688387056043043E-2</c:v>
                </c:pt>
                <c:pt idx="4">
                  <c:v>3.4915001152429612E-2</c:v>
                </c:pt>
                <c:pt idx="5">
                  <c:v>3.9723733386441029E-2</c:v>
                </c:pt>
                <c:pt idx="6">
                  <c:v>4.5194757040620724E-2</c:v>
                </c:pt>
                <c:pt idx="7">
                  <c:v>5.1419287409121751E-2</c:v>
                </c:pt>
                <c:pt idx="8">
                  <c:v>5.8501102578901121E-2</c:v>
                </c:pt>
                <c:pt idx="9">
                  <c:v>6.6558273663278794E-2</c:v>
                </c:pt>
                <c:pt idx="10">
                  <c:v>7.5725133335070319E-2</c:v>
                </c:pt>
                <c:pt idx="11">
                  <c:v>8.6154515479536453E-2</c:v>
                </c:pt>
                <c:pt idx="12">
                  <c:v>9.8020303307621723E-2</c:v>
                </c:pt>
                <c:pt idx="13">
                  <c:v>0.11152032841273718</c:v>
                </c:pt>
                <c:pt idx="14">
                  <c:v>0.12687966910542819</c:v>
                </c:pt>
                <c:pt idx="15">
                  <c:v>0.1443544030172017</c:v>
                </c:pt>
                <c:pt idx="16">
                  <c:v>0.16423587653856192</c:v>
                </c:pt>
                <c:pt idx="17">
                  <c:v>0.18685556227318903</c:v>
                </c:pt>
                <c:pt idx="18">
                  <c:v>0.21259058549385654</c:v>
                </c:pt>
                <c:pt idx="19">
                  <c:v>0.24187001173957287</c:v>
                </c:pt>
                <c:pt idx="20">
                  <c:v>0.27518200038351037</c:v>
                </c:pt>
                <c:pt idx="21">
                  <c:v>0.3130819434391286</c:v>
                </c:pt>
                <c:pt idx="22">
                  <c:v>0.35620172529821947</c:v>
                </c:pt>
                <c:pt idx="23">
                  <c:v>0.40526025778326935</c:v>
                </c:pt>
                <c:pt idx="24">
                  <c:v>0.4610754661591272</c:v>
                </c:pt>
                <c:pt idx="25">
                  <c:v>0.52457792593999841</c:v>
                </c:pt>
                <c:pt idx="26">
                  <c:v>0.59682637785056003</c:v>
                </c:pt>
                <c:pt idx="27">
                  <c:v>0.67902537961340381</c:v>
                </c:pt>
                <c:pt idx="28">
                  <c:v>0.77254538886110746</c:v>
                </c:pt>
                <c:pt idx="29">
                  <c:v>0.87894561200401233</c:v>
                </c:pt>
                <c:pt idx="3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comparison!$B$44</c:f>
              <c:strCache>
                <c:ptCount val="1"/>
                <c:pt idx="0">
                  <c:v>C&amp;C-lin</c:v>
                </c:pt>
              </c:strCache>
            </c:strRef>
          </c:tx>
          <c:marker>
            <c:symbol val="none"/>
          </c:marker>
          <c:val>
            <c:numRef>
              <c:f>'C&amp;C-lin'!$N$9:$N$39</c:f>
              <c:numCache>
                <c:formatCode>0.0%</c:formatCode>
                <c:ptCount val="31"/>
                <c:pt idx="0">
                  <c:v>3.2258064516129031E-2</c:v>
                </c:pt>
                <c:pt idx="1">
                  <c:v>6.4516129032258063E-2</c:v>
                </c:pt>
                <c:pt idx="2">
                  <c:v>9.6774193548387094E-2</c:v>
                </c:pt>
                <c:pt idx="3">
                  <c:v>0.12903225806451613</c:v>
                </c:pt>
                <c:pt idx="4">
                  <c:v>0.16129032258064516</c:v>
                </c:pt>
                <c:pt idx="5">
                  <c:v>0.19354838709677419</c:v>
                </c:pt>
                <c:pt idx="6">
                  <c:v>0.22580645161290322</c:v>
                </c:pt>
                <c:pt idx="7">
                  <c:v>0.25806451612903225</c:v>
                </c:pt>
                <c:pt idx="8">
                  <c:v>0.29032258064516131</c:v>
                </c:pt>
                <c:pt idx="9">
                  <c:v>0.32258064516129031</c:v>
                </c:pt>
                <c:pt idx="10">
                  <c:v>0.35483870967741937</c:v>
                </c:pt>
                <c:pt idx="11">
                  <c:v>0.38709677419354838</c:v>
                </c:pt>
                <c:pt idx="12">
                  <c:v>0.41935483870967744</c:v>
                </c:pt>
                <c:pt idx="13">
                  <c:v>0.45161290322580644</c:v>
                </c:pt>
                <c:pt idx="14">
                  <c:v>0.4838709677419355</c:v>
                </c:pt>
                <c:pt idx="15">
                  <c:v>0.5161290322580645</c:v>
                </c:pt>
                <c:pt idx="16">
                  <c:v>0.54838709677419351</c:v>
                </c:pt>
                <c:pt idx="17">
                  <c:v>0.58064516129032262</c:v>
                </c:pt>
                <c:pt idx="18">
                  <c:v>0.61290322580645162</c:v>
                </c:pt>
                <c:pt idx="19">
                  <c:v>0.64516129032258063</c:v>
                </c:pt>
                <c:pt idx="20">
                  <c:v>0.67741935483870963</c:v>
                </c:pt>
                <c:pt idx="21">
                  <c:v>0.70967741935483875</c:v>
                </c:pt>
                <c:pt idx="22">
                  <c:v>0.74193548387096775</c:v>
                </c:pt>
                <c:pt idx="23">
                  <c:v>0.77419354838709675</c:v>
                </c:pt>
                <c:pt idx="24">
                  <c:v>0.80645161290322576</c:v>
                </c:pt>
                <c:pt idx="25">
                  <c:v>0.83870967741935487</c:v>
                </c:pt>
                <c:pt idx="26">
                  <c:v>0.87096774193548387</c:v>
                </c:pt>
                <c:pt idx="27">
                  <c:v>0.90322580645161288</c:v>
                </c:pt>
                <c:pt idx="28">
                  <c:v>0.93548387096774188</c:v>
                </c:pt>
                <c:pt idx="29">
                  <c:v>0.967741935483871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11792"/>
        <c:axId val="526705520"/>
      </c:lineChart>
      <c:catAx>
        <c:axId val="52671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6705520"/>
        <c:crosses val="autoZero"/>
        <c:auto val="1"/>
        <c:lblAlgn val="ctr"/>
        <c:lblOffset val="100"/>
        <c:tickLblSkip val="3"/>
        <c:noMultiLvlLbl val="0"/>
      </c:catAx>
      <c:valAx>
        <c:axId val="526705520"/>
        <c:scaling>
          <c:orientation val="minMax"/>
          <c:max val="1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526711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SPM-in per capita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'SPM-in'!$D$11:$D$42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17.459131118019354</c:v>
                </c:pt>
                <c:pt idx="2">
                  <c:v>17.232924759106776</c:v>
                </c:pt>
                <c:pt idx="3">
                  <c:v>16.82832391513216</c:v>
                </c:pt>
                <c:pt idx="4">
                  <c:v>16.28929635974032</c:v>
                </c:pt>
                <c:pt idx="5">
                  <c:v>15.652062806545953</c:v>
                </c:pt>
                <c:pt idx="6">
                  <c:v>14.946296540390307</c:v>
                </c:pt>
                <c:pt idx="7">
                  <c:v>14.196149670789282</c:v>
                </c:pt>
                <c:pt idx="8">
                  <c:v>13.421130009873419</c:v>
                </c:pt>
                <c:pt idx="9">
                  <c:v>12.636849350599729</c:v>
                </c:pt>
                <c:pt idx="10">
                  <c:v>11.85566111903988</c:v>
                </c:pt>
                <c:pt idx="11">
                  <c:v>11.087202942157575</c:v>
                </c:pt>
                <c:pt idx="12">
                  <c:v>10.338857561744987</c:v>
                </c:pt>
                <c:pt idx="13">
                  <c:v>9.6161436942950598</c:v>
                </c:pt>
                <c:pt idx="14">
                  <c:v>8.9230468490989878</c:v>
                </c:pt>
                <c:pt idx="15">
                  <c:v>8.262298741023411</c:v>
                </c:pt>
                <c:pt idx="16">
                  <c:v>7.6356127425479183</c:v>
                </c:pt>
                <c:pt idx="17">
                  <c:v>7.0438817876406059</c:v>
                </c:pt>
                <c:pt idx="18">
                  <c:v>6.4873442468954563</c:v>
                </c:pt>
                <c:pt idx="19">
                  <c:v>5.9657225207872484</c:v>
                </c:pt>
                <c:pt idx="20">
                  <c:v>5.4783384299845164</c:v>
                </c:pt>
                <c:pt idx="21">
                  <c:v>5.0242089045612799</c:v>
                </c:pt>
                <c:pt idx="22">
                  <c:v>4.6021249756054594</c:v>
                </c:pt>
                <c:pt idx="23">
                  <c:v>4.2107166426626286</c:v>
                </c:pt>
                <c:pt idx="24">
                  <c:v>3.8485058195618533</c:v>
                </c:pt>
                <c:pt idx="25">
                  <c:v>3.5139492415329343</c:v>
                </c:pt>
                <c:pt idx="26">
                  <c:v>3.2054729412541803</c:v>
                </c:pt>
                <c:pt idx="27">
                  <c:v>2.9214996645964439</c:v>
                </c:pt>
                <c:pt idx="28">
                  <c:v>2.6604703931608173</c:v>
                </c:pt>
                <c:pt idx="29">
                  <c:v>2.4208609657426523</c:v>
                </c:pt>
                <c:pt idx="30">
                  <c:v>2.2011946406855349</c:v>
                </c:pt>
                <c:pt idx="31">
                  <c:v>2.0000513123284414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'SPM-in'!$G$11:$G$42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4.9278909534939572</c:v>
                </c:pt>
                <c:pt idx="2">
                  <c:v>4.9623183659694377</c:v>
                </c:pt>
                <c:pt idx="3">
                  <c:v>4.908862089699781</c:v>
                </c:pt>
                <c:pt idx="4">
                  <c:v>4.789245896423644</c:v>
                </c:pt>
                <c:pt idx="5">
                  <c:v>4.6210986914486156</c:v>
                </c:pt>
                <c:pt idx="6">
                  <c:v>4.4186435312151389</c:v>
                </c:pt>
                <c:pt idx="7">
                  <c:v>4.1932777645946686</c:v>
                </c:pt>
                <c:pt idx="8">
                  <c:v>3.9540608281752512</c:v>
                </c:pt>
                <c:pt idx="9">
                  <c:v>3.7081237845814456</c:v>
                </c:pt>
                <c:pt idx="10">
                  <c:v>3.4610126049395618</c:v>
                </c:pt>
                <c:pt idx="11">
                  <c:v>3.2169754116007567</c:v>
                </c:pt>
                <c:pt idx="12">
                  <c:v>2.9792023719236873</c:v>
                </c:pt>
                <c:pt idx="13">
                  <c:v>2.7500256311411952</c:v>
                </c:pt>
                <c:pt idx="14">
                  <c:v>2.5310855601863089</c:v>
                </c:pt>
                <c:pt idx="15">
                  <c:v>2.3234686454365026</c:v>
                </c:pt>
                <c:pt idx="16">
                  <c:v>2.1278215381418377</c:v>
                </c:pt>
                <c:pt idx="17">
                  <c:v>1.9444450916547069</c:v>
                </c:pt>
                <c:pt idx="18">
                  <c:v>1.7733716271761715</c:v>
                </c:pt>
                <c:pt idx="19">
                  <c:v>1.6144281687327737</c:v>
                </c:pt>
                <c:pt idx="20">
                  <c:v>1.4672879627829296</c:v>
                </c:pt>
                <c:pt idx="21">
                  <c:v>1.3315122363206857</c:v>
                </c:pt>
                <c:pt idx="22">
                  <c:v>1.2065838402625477</c:v>
                </c:pt>
                <c:pt idx="23">
                  <c:v>1.0919341642751288</c:v>
                </c:pt>
                <c:pt idx="24">
                  <c:v>0.98696448818466287</c:v>
                </c:pt>
                <c:pt idx="25">
                  <c:v>0.89106274785071804</c:v>
                </c:pt>
                <c:pt idx="26">
                  <c:v>0.80361653487790807</c:v>
                </c:pt>
                <c:pt idx="27">
                  <c:v>0.72402301550206172</c:v>
                </c:pt>
                <c:pt idx="28">
                  <c:v>0.65169634076423666</c:v>
                </c:pt>
                <c:pt idx="29">
                  <c:v>0.58607302455389476</c:v>
                </c:pt>
                <c:pt idx="30">
                  <c:v>0.52661568559625671</c:v>
                </c:pt>
                <c:pt idx="31">
                  <c:v>0.47281548170382726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'SPM-eq'!$J$11:$J$42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0.72925179763877701</c:v>
                </c:pt>
                <c:pt idx="2">
                  <c:v>0.74276705351992922</c:v>
                </c:pt>
                <c:pt idx="3">
                  <c:v>0.75538394785568497</c:v>
                </c:pt>
                <c:pt idx="4">
                  <c:v>0.76713444530027741</c:v>
                </c:pt>
                <c:pt idx="5">
                  <c:v>0.77804956005628434</c:v>
                </c:pt>
                <c:pt idx="6">
                  <c:v>0.78815938178491107</c:v>
                </c:pt>
                <c:pt idx="7">
                  <c:v>0.79749310084446934</c:v>
                </c:pt>
                <c:pt idx="8">
                  <c:v>0.80607903287570648</c:v>
                </c:pt>
                <c:pt idx="9">
                  <c:v>0.81394464274860157</c:v>
                </c:pt>
                <c:pt idx="10">
                  <c:v>0.82111656788786058</c:v>
                </c:pt>
                <c:pt idx="11">
                  <c:v>0.82762064099194466</c:v>
                </c:pt>
                <c:pt idx="12">
                  <c:v>0.83348191216149325</c:v>
                </c:pt>
                <c:pt idx="13">
                  <c:v>0.83872467045103882</c:v>
                </c:pt>
                <c:pt idx="14">
                  <c:v>0.843372464859793</c:v>
                </c:pt>
                <c:pt idx="15">
                  <c:v>0.8474481247742458</c:v>
                </c:pt>
                <c:pt idx="16">
                  <c:v>0.85097377987738909</c:v>
                </c:pt>
                <c:pt idx="17">
                  <c:v>0.8539708795373544</c:v>
                </c:pt>
                <c:pt idx="18">
                  <c:v>0.85646021168922526</c:v>
                </c:pt>
                <c:pt idx="19">
                  <c:v>0.85846192122191056</c:v>
                </c:pt>
                <c:pt idx="20">
                  <c:v>0.85999552788330336</c:v>
                </c:pt>
                <c:pt idx="21">
                  <c:v>0.86107994371572827</c:v>
                </c:pt>
                <c:pt idx="22">
                  <c:v>0.86173349003328259</c:v>
                </c:pt>
                <c:pt idx="23">
                  <c:v>0.86197391395278822</c:v>
                </c:pt>
                <c:pt idx="24">
                  <c:v>0.86181840448985836</c:v>
                </c:pt>
                <c:pt idx="25">
                  <c:v>0.86128360823062811</c:v>
                </c:pt>
                <c:pt idx="26">
                  <c:v>0.86038564459048439</c:v>
                </c:pt>
                <c:pt idx="27">
                  <c:v>0.8591401206695749</c:v>
                </c:pt>
                <c:pt idx="28">
                  <c:v>0.85756214571591372</c:v>
                </c:pt>
                <c:pt idx="29">
                  <c:v>0.85566634520582285</c:v>
                </c:pt>
                <c:pt idx="30">
                  <c:v>0.85346687455137915</c:v>
                </c:pt>
                <c:pt idx="31">
                  <c:v>0.85097743244408164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707480"/>
        <c:axId val="527926496"/>
      </c:lineChart>
      <c:catAx>
        <c:axId val="52670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926496"/>
        <c:crosses val="autoZero"/>
        <c:auto val="1"/>
        <c:lblAlgn val="ctr"/>
        <c:lblOffset val="100"/>
        <c:tickLblSkip val="3"/>
        <c:noMultiLvlLbl val="0"/>
      </c:catAx>
      <c:valAx>
        <c:axId val="52792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6707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kern="1200" spc="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SPM-input per capita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Country 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'SPM-spk'!$D$11:$D$42</c:f>
              <c:numCache>
                <c:formatCode>#,##0.00</c:formatCode>
                <c:ptCount val="32"/>
                <c:pt idx="0">
                  <c:v>17.5</c:v>
                </c:pt>
                <c:pt idx="1">
                  <c:v>17.412310318045765</c:v>
                </c:pt>
                <c:pt idx="2">
                  <c:v>16.945405511377086</c:v>
                </c:pt>
                <c:pt idx="3">
                  <c:v>16.154350562420468</c:v>
                </c:pt>
                <c:pt idx="4">
                  <c:v>15.15952139838215</c:v>
                </c:pt>
                <c:pt idx="5">
                  <c:v>14.050279317711846</c:v>
                </c:pt>
                <c:pt idx="6">
                  <c:v>12.891947800380379</c:v>
                </c:pt>
                <c:pt idx="7">
                  <c:v>11.73132814824894</c:v>
                </c:pt>
                <c:pt idx="8">
                  <c:v>10.601046729383253</c:v>
                </c:pt>
                <c:pt idx="9">
                  <c:v>9.5229696767695415</c:v>
                </c:pt>
                <c:pt idx="10">
                  <c:v>8.5108747971423195</c:v>
                </c:pt>
                <c:pt idx="11">
                  <c:v>7.5725331533740343</c:v>
                </c:pt>
                <c:pt idx="12">
                  <c:v>6.7113226421835099</c:v>
                </c:pt>
                <c:pt idx="13">
                  <c:v>5.9274715516792043</c:v>
                </c:pt>
                <c:pt idx="14">
                  <c:v>5.2190104541951854</c:v>
                </c:pt>
                <c:pt idx="15">
                  <c:v>4.5824949767003123</c:v>
                </c:pt>
                <c:pt idx="16">
                  <c:v>4.0135492679361242</c:v>
                </c:pt>
                <c:pt idx="17">
                  <c:v>3.5072697583516605</c:v>
                </c:pt>
                <c:pt idx="18">
                  <c:v>3.058520606532674</c:v>
                </c:pt>
                <c:pt idx="19">
                  <c:v>2.6621456550961753</c:v>
                </c:pt>
                <c:pt idx="20">
                  <c:v>2.3131164643217073</c:v>
                </c:pt>
                <c:pt idx="21">
                  <c:v>2.0066317973263104</c:v>
                </c:pt>
                <c:pt idx="22">
                  <c:v>1.7381805892093387</c:v>
                </c:pt>
                <c:pt idx="23">
                  <c:v>1.5035777766976925</c:v>
                </c:pt>
                <c:pt idx="24">
                  <c:v>1.2989802589416874</c:v>
                </c:pt>
                <c:pt idx="25">
                  <c:v>1.1208885948551088</c:v>
                </c:pt>
                <c:pt idx="26">
                  <c:v>0.96613872952950808</c:v>
                </c:pt>
                <c:pt idx="27">
                  <c:v>0.83188701069369486</c:v>
                </c:pt>
                <c:pt idx="28">
                  <c:v>0.7155909487380312</c:v>
                </c:pt>
                <c:pt idx="29">
                  <c:v>0.61498754451392967</c:v>
                </c:pt>
                <c:pt idx="30">
                  <c:v>0.52807052107233687</c:v>
                </c:pt>
                <c:pt idx="31">
                  <c:v>0.45306741917131654</c:v>
                </c:pt>
              </c:numCache>
            </c:numRef>
          </c:val>
          <c:smooth val="0"/>
        </c:ser>
        <c:ser>
          <c:idx val="1"/>
          <c:order val="1"/>
          <c:tx>
            <c:v>Country B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'SPM-spk'!$G$11:$G$42</c:f>
              <c:numCache>
                <c:formatCode>#,##0.00</c:formatCode>
                <c:ptCount val="32"/>
                <c:pt idx="0">
                  <c:v>4.875</c:v>
                </c:pt>
                <c:pt idx="1">
                  <c:v>4.9309959887230264</c:v>
                </c:pt>
                <c:pt idx="2">
                  <c:v>4.9817847924943521</c:v>
                </c:pt>
                <c:pt idx="3">
                  <c:v>4.955557063094389</c:v>
                </c:pt>
                <c:pt idx="4">
                  <c:v>4.8693690484198413</c:v>
                </c:pt>
                <c:pt idx="5">
                  <c:v>4.7373709762713361</c:v>
                </c:pt>
                <c:pt idx="6">
                  <c:v>4.5712500574137778</c:v>
                </c:pt>
                <c:pt idx="7">
                  <c:v>4.3806100084785555</c:v>
                </c:pt>
                <c:pt idx="8">
                  <c:v>4.1732958389132335</c:v>
                </c:pt>
                <c:pt idx="9">
                  <c:v>3.9556714742550412</c:v>
                </c:pt>
                <c:pt idx="10">
                  <c:v>3.7328567700103079</c:v>
                </c:pt>
                <c:pt idx="11">
                  <c:v>3.5089295864541228</c:v>
                </c:pt>
                <c:pt idx="12">
                  <c:v>3.2870978273521061</c:v>
                </c:pt>
                <c:pt idx="13">
                  <c:v>3.0698456798102072</c:v>
                </c:pt>
                <c:pt idx="14">
                  <c:v>2.8590577149735061</c:v>
                </c:pt>
                <c:pt idx="15">
                  <c:v>2.6561240086110551</c:v>
                </c:pt>
                <c:pt idx="16">
                  <c:v>2.4620290067150066</c:v>
                </c:pt>
                <c:pt idx="17">
                  <c:v>2.2774264853666359</c:v>
                </c:pt>
                <c:pt idx="18">
                  <c:v>2.1027026286713379</c:v>
                </c:pt>
                <c:pt idx="19">
                  <c:v>1.9380289669090338</c:v>
                </c:pt>
                <c:pt idx="20">
                  <c:v>1.7834066734167564</c:v>
                </c:pt>
                <c:pt idx="21">
                  <c:v>1.638703508094828</c:v>
                </c:pt>
                <c:pt idx="22">
                  <c:v>1.5036845134342656</c:v>
                </c:pt>
                <c:pt idx="23">
                  <c:v>1.3780374118044865</c:v>
                </c:pt>
                <c:pt idx="24">
                  <c:v>1.2613935171072175</c:v>
                </c:pt>
                <c:pt idx="25">
                  <c:v>1.1533448569234412</c:v>
                </c:pt>
                <c:pt idx="26">
                  <c:v>1.0534581004581547</c:v>
                </c:pt>
                <c:pt idx="27">
                  <c:v>0.96128580075206926</c:v>
                </c:pt>
                <c:pt idx="28">
                  <c:v>0.87637538489665268</c:v>
                </c:pt>
                <c:pt idx="29">
                  <c:v>0.79827626172397181</c:v>
                </c:pt>
                <c:pt idx="30">
                  <c:v>0.72654536122476632</c:v>
                </c:pt>
                <c:pt idx="31">
                  <c:v>0.66075137254706107</c:v>
                </c:pt>
              </c:numCache>
            </c:numRef>
          </c:val>
          <c:smooth val="0"/>
        </c:ser>
        <c:ser>
          <c:idx val="2"/>
          <c:order val="2"/>
          <c:tx>
            <c:v>Country C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'SPM-spk'!$J$11:$J$42</c:f>
              <c:numCache>
                <c:formatCode>#,##0.00</c:formatCode>
                <c:ptCount val="32"/>
                <c:pt idx="0">
                  <c:v>0.72218653017956425</c:v>
                </c:pt>
                <c:pt idx="1">
                  <c:v>0.72911316006496063</c:v>
                </c:pt>
                <c:pt idx="2">
                  <c:v>0.74181944371493835</c:v>
                </c:pt>
                <c:pt idx="3">
                  <c:v>0.7528795184517757</c:v>
                </c:pt>
                <c:pt idx="4">
                  <c:v>0.76238864915237381</c:v>
                </c:pt>
                <c:pt idx="5">
                  <c:v>0.77043759088446528</c:v>
                </c:pt>
                <c:pt idx="6">
                  <c:v>0.7771127833114585</c:v>
                </c:pt>
                <c:pt idx="7">
                  <c:v>0.78249653716085255</c:v>
                </c:pt>
                <c:pt idx="8">
                  <c:v>0.78666721306925724</c:v>
                </c:pt>
                <c:pt idx="9">
                  <c:v>0.78969939310447446</c:v>
                </c:pt>
                <c:pt idx="10">
                  <c:v>0.79166404525357614</c:v>
                </c:pt>
                <c:pt idx="11">
                  <c:v>0.79262868115521568</c:v>
                </c:pt>
                <c:pt idx="12">
                  <c:v>0.79265750734329687</c:v>
                </c:pt>
                <c:pt idx="13">
                  <c:v>0.79181157025871562</c:v>
                </c:pt>
                <c:pt idx="14">
                  <c:v>0.79014889527672594</c:v>
                </c:pt>
                <c:pt idx="15">
                  <c:v>0.78772461998686816</c:v>
                </c:pt>
                <c:pt idx="16">
                  <c:v>0.7845911219542373</c:v>
                </c:pt>
                <c:pt idx="17">
                  <c:v>0.78079814118133983</c:v>
                </c:pt>
                <c:pt idx="18">
                  <c:v>0.77639289748176166</c:v>
                </c:pt>
                <c:pt idx="19">
                  <c:v>0.77142020296822045</c:v>
                </c:pt>
                <c:pt idx="20">
                  <c:v>0.76592256985028251</c:v>
                </c:pt>
                <c:pt idx="21">
                  <c:v>0.75994031372892856</c:v>
                </c:pt>
                <c:pt idx="22">
                  <c:v>0.75351165256849362</c:v>
                </c:pt>
                <c:pt idx="23">
                  <c:v>0.74667280151848703</c:v>
                </c:pt>
                <c:pt idx="24">
                  <c:v>0.73945806375243517</c:v>
                </c:pt>
                <c:pt idx="25">
                  <c:v>0.73189991748321004</c:v>
                </c:pt>
                <c:pt idx="26">
                  <c:v>0.72402909930886472</c:v>
                </c:pt>
                <c:pt idx="27">
                  <c:v>0.71587468403632115</c:v>
                </c:pt>
                <c:pt idx="28">
                  <c:v>0.70746416112540655</c:v>
                </c:pt>
                <c:pt idx="29">
                  <c:v>0.6988235078891506</c:v>
                </c:pt>
                <c:pt idx="30">
                  <c:v>0.68997725958172884</c:v>
                </c:pt>
                <c:pt idx="31">
                  <c:v>0.6809485764999953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22576"/>
        <c:axId val="527922968"/>
      </c:lineChart>
      <c:catAx>
        <c:axId val="52792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922968"/>
        <c:crosses val="autoZero"/>
        <c:auto val="1"/>
        <c:lblAlgn val="ctr"/>
        <c:lblOffset val="100"/>
        <c:tickLblSkip val="3"/>
        <c:noMultiLvlLbl val="0"/>
      </c:catAx>
      <c:valAx>
        <c:axId val="52792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92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1</c:v>
          </c:tx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path'!$D$6:$D$87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39.410380048973629</c:v>
                </c:pt>
                <c:pt idx="2">
                  <c:v>37.221735659149076</c:v>
                </c:pt>
                <c:pt idx="3">
                  <c:v>35.154637020955384</c:v>
                </c:pt>
                <c:pt idx="4">
                  <c:v>33.202334125205049</c:v>
                </c:pt>
                <c:pt idx="5">
                  <c:v>31.358451822575418</c:v>
                </c:pt>
                <c:pt idx="6">
                  <c:v>29.616969005871383</c:v>
                </c:pt>
                <c:pt idx="7">
                  <c:v>27.972198948395214</c:v>
                </c:pt>
                <c:pt idx="8">
                  <c:v>26.418770734219546</c:v>
                </c:pt>
                <c:pt idx="9">
                  <c:v>24.951611719724923</c:v>
                </c:pt>
                <c:pt idx="10">
                  <c:v>23.565930969130925</c:v>
                </c:pt>
                <c:pt idx="11">
                  <c:v>22.257203609930432</c:v>
                </c:pt>
                <c:pt idx="12">
                  <c:v>21.021156057140448</c:v>
                </c:pt>
                <c:pt idx="13">
                  <c:v>19.853752058120016</c:v>
                </c:pt>
                <c:pt idx="14">
                  <c:v>18.751179512385235</c:v>
                </c:pt>
                <c:pt idx="15">
                  <c:v>17.709838023382169</c:v>
                </c:pt>
                <c:pt idx="16">
                  <c:v>16.726327141568525</c:v>
                </c:pt>
                <c:pt idx="17">
                  <c:v>15.797435260412524</c:v>
                </c:pt>
                <c:pt idx="18">
                  <c:v>14.920129129049325</c:v>
                </c:pt>
                <c:pt idx="19">
                  <c:v>14.091543947349152</c:v>
                </c:pt>
                <c:pt idx="20">
                  <c:v>13.308974011053015</c:v>
                </c:pt>
                <c:pt idx="21">
                  <c:v>12.569863876428203</c:v>
                </c:pt>
                <c:pt idx="22">
                  <c:v>11.871800015592145</c:v>
                </c:pt>
                <c:pt idx="23">
                  <c:v>11.212502935255529</c:v>
                </c:pt>
                <c:pt idx="24">
                  <c:v>10.589819733148792</c:v>
                </c:pt>
                <c:pt idx="25">
                  <c:v>10.001717067825394</c:v>
                </c:pt>
                <c:pt idx="26">
                  <c:v>9.4462745188850779</c:v>
                </c:pt>
                <c:pt idx="27">
                  <c:v>8.9216783159352691</c:v>
                </c:pt>
                <c:pt idx="28">
                  <c:v>8.4262154158128535</c:v>
                </c:pt>
                <c:pt idx="29">
                  <c:v>7.9582679087257651</c:v>
                </c:pt>
                <c:pt idx="30">
                  <c:v>7.5163077350479419</c:v>
                </c:pt>
                <c:pt idx="31">
                  <c:v>7.0988916955155856</c:v>
                </c:pt>
                <c:pt idx="32">
                  <c:v>6.7046567385307716</c:v>
                </c:pt>
                <c:pt idx="33">
                  <c:v>6.3323155091833296</c:v>
                </c:pt>
                <c:pt idx="34">
                  <c:v>5.9806521454565438</c:v>
                </c:pt>
                <c:pt idx="35">
                  <c:v>5.6485183078893897</c:v>
                </c:pt>
                <c:pt idx="36">
                  <c:v>5.3348294297303642</c:v>
                </c:pt>
                <c:pt idx="37">
                  <c:v>5.0385611753379695</c:v>
                </c:pt>
                <c:pt idx="38">
                  <c:v>4.7587460952629312</c:v>
                </c:pt>
                <c:pt idx="39">
                  <c:v>4.4944704670894859</c:v>
                </c:pt>
                <c:pt idx="40">
                  <c:v>4.2448713117196633</c:v>
                </c:pt>
                <c:pt idx="41">
                  <c:v>4.009133575357378</c:v>
                </c:pt>
                <c:pt idx="42">
                  <c:v>3.786487467990248</c:v>
                </c:pt>
                <c:pt idx="43">
                  <c:v>3.5762059496780783</c:v>
                </c:pt>
                <c:pt idx="44">
                  <c:v>3.3776023564396023</c:v>
                </c:pt>
                <c:pt idx="45">
                  <c:v>3.1900281579849432</c:v>
                </c:pt>
                <c:pt idx="46">
                  <c:v>3.0128708399717685</c:v>
                </c:pt>
                <c:pt idx="47">
                  <c:v>2.8455519038697572</c:v>
                </c:pt>
                <c:pt idx="48">
                  <c:v>2.6782329677677459</c:v>
                </c:pt>
                <c:pt idx="49">
                  <c:v>2.5109140316657346</c:v>
                </c:pt>
                <c:pt idx="50">
                  <c:v>2.3435950955637233</c:v>
                </c:pt>
                <c:pt idx="51">
                  <c:v>2.1762761594617119</c:v>
                </c:pt>
                <c:pt idx="52">
                  <c:v>2.0089572233597006</c:v>
                </c:pt>
                <c:pt idx="53">
                  <c:v>1.8416382872576893</c:v>
                </c:pt>
                <c:pt idx="54">
                  <c:v>1.674319351155678</c:v>
                </c:pt>
                <c:pt idx="55">
                  <c:v>1.5070004150536667</c:v>
                </c:pt>
                <c:pt idx="56">
                  <c:v>1.3396814789516553</c:v>
                </c:pt>
                <c:pt idx="57">
                  <c:v>1.172362542849644</c:v>
                </c:pt>
                <c:pt idx="58">
                  <c:v>1.0050436067476327</c:v>
                </c:pt>
                <c:pt idx="59">
                  <c:v>0.83772467064562139</c:v>
                </c:pt>
                <c:pt idx="60">
                  <c:v>0.67040573454361008</c:v>
                </c:pt>
                <c:pt idx="61">
                  <c:v>0.50308679844159876</c:v>
                </c:pt>
                <c:pt idx="62">
                  <c:v>0.33576786233958744</c:v>
                </c:pt>
                <c:pt idx="63">
                  <c:v>0.16844892623757612</c:v>
                </c:pt>
                <c:pt idx="64">
                  <c:v>1.1299901355648068E-3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2</c:v>
          </c:tx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path'!$F$6:$F$87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41.101801344785677</c:v>
                </c:pt>
                <c:pt idx="2">
                  <c:v>40.418771657066166</c:v>
                </c:pt>
                <c:pt idx="3">
                  <c:v>39.674640821439986</c:v>
                </c:pt>
                <c:pt idx="4">
                  <c:v>38.865420724687965</c:v>
                </c:pt>
                <c:pt idx="5">
                  <c:v>37.987198354860936</c:v>
                </c:pt>
                <c:pt idx="6">
                  <c:v>37.036230467146787</c:v>
                </c:pt>
                <c:pt idx="7">
                  <c:v>36.009059274309948</c:v>
                </c:pt>
                <c:pt idx="8">
                  <c:v>34.902651307009705</c:v>
                </c:pt>
                <c:pt idx="9">
                  <c:v>33.71456113618013</c:v>
                </c:pt>
                <c:pt idx="10">
                  <c:v>32.443120871035333</c:v>
                </c:pt>
                <c:pt idx="11">
                  <c:v>31.08765514567224</c:v>
                </c:pt>
                <c:pt idx="12">
                  <c:v>29.648719579604464</c:v>
                </c:pt>
                <c:pt idx="13">
                  <c:v>28.128358337969406</c:v>
                </c:pt>
                <c:pt idx="14">
                  <c:v>26.530373335940013</c:v>
                </c:pt>
                <c:pt idx="15">
                  <c:v>24.860593778095371</c:v>
                </c:pt>
                <c:pt idx="16">
                  <c:v>23.127130118845823</c:v>
                </c:pt>
                <c:pt idx="17">
                  <c:v>21.34059131447313</c:v>
                </c:pt>
                <c:pt idx="18">
                  <c:v>19.514238726316613</c:v>
                </c:pt>
                <c:pt idx="19">
                  <c:v>17.664044783569445</c:v>
                </c:pt>
                <c:pt idx="20">
                  <c:v>15.808620381643951</c:v>
                </c:pt>
                <c:pt idx="21">
                  <c:v>13.968973183840395</c:v>
                </c:pt>
                <c:pt idx="22">
                  <c:v>12.168061059629443</c:v>
                </c:pt>
                <c:pt idx="23">
                  <c:v>10.430112634684823</c:v>
                </c:pt>
                <c:pt idx="24">
                  <c:v>8.7797021727035975</c:v>
                </c:pt>
                <c:pt idx="25">
                  <c:v>7.2405901907582777</c:v>
                </c:pt>
                <c:pt idx="26">
                  <c:v>5.8343747299529163</c:v>
                </c:pt>
                <c:pt idx="27">
                  <c:v>4.579039589550832</c:v>
                </c:pt>
                <c:pt idx="28">
                  <c:v>3.4875308166618333</c:v>
                </c:pt>
                <c:pt idx="29">
                  <c:v>2.5665335277620818</c:v>
                </c:pt>
                <c:pt idx="30">
                  <c:v>1.8156463200580841</c:v>
                </c:pt>
                <c:pt idx="31">
                  <c:v>1.2271462985274244</c:v>
                </c:pt>
                <c:pt idx="32">
                  <c:v>0.78649095921862844</c:v>
                </c:pt>
                <c:pt idx="33">
                  <c:v>0.47360656998913847</c:v>
                </c:pt>
                <c:pt idx="34">
                  <c:v>0.26487153707374966</c:v>
                </c:pt>
                <c:pt idx="35">
                  <c:v>0.13554120764579405</c:v>
                </c:pt>
                <c:pt idx="36">
                  <c:v>6.2220962478481363E-2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3</c:v>
          </c:tx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path'!$H$6:$H$87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40.89316275927915</c:v>
                </c:pt>
                <c:pt idx="2">
                  <c:v>39.941126545569553</c:v>
                </c:pt>
                <c:pt idx="3">
                  <c:v>38.88020547525452</c:v>
                </c:pt>
                <c:pt idx="4">
                  <c:v>37.719896396656317</c:v>
                </c:pt>
                <c:pt idx="5">
                  <c:v>36.470453355724658</c:v>
                </c:pt>
                <c:pt idx="6">
                  <c:v>35.142735391074559</c:v>
                </c:pt>
                <c:pt idx="7">
                  <c:v>33.748047947428226</c:v>
                </c:pt>
                <c:pt idx="8">
                  <c:v>32.297981178024223</c:v>
                </c:pt>
                <c:pt idx="9">
                  <c:v>30.80424840186744</c:v>
                </c:pt>
                <c:pt idx="10">
                  <c:v>29.278527891388606</c:v>
                </c:pt>
                <c:pt idx="11">
                  <c:v>27.732310994821948</c:v>
                </c:pt>
                <c:pt idx="12">
                  <c:v>26.17675935260209</c:v>
                </c:pt>
                <c:pt idx="13">
                  <c:v>24.622573657761826</c:v>
                </c:pt>
                <c:pt idx="14">
                  <c:v>23.079876047945504</c:v>
                </c:pt>
                <c:pt idx="15">
                  <c:v>21.558107813870304</c:v>
                </c:pt>
                <c:pt idx="16">
                  <c:v>20.065943679367219</c:v>
                </c:pt>
                <c:pt idx="17">
                  <c:v>18.611223465361014</c:v>
                </c:pt>
                <c:pt idx="18">
                  <c:v>17.200901507982852</c:v>
                </c:pt>
                <c:pt idx="19">
                  <c:v>15.841013772477746</c:v>
                </c:pt>
                <c:pt idx="20">
                  <c:v>14.536662201605862</c:v>
                </c:pt>
                <c:pt idx="21">
                  <c:v>13.292015470306927</c:v>
                </c:pt>
                <c:pt idx="22">
                  <c:v>12.110324996196645</c:v>
                </c:pt>
                <c:pt idx="23">
                  <c:v>10.993954784704982</c:v>
                </c:pt>
                <c:pt idx="24">
                  <c:v>9.9444234729520211</c:v>
                </c:pt>
                <c:pt idx="25">
                  <c:v>8.9624567802491004</c:v>
                </c:pt>
                <c:pt idx="26">
                  <c:v>8.0480484757823429</c:v>
                </c:pt>
                <c:pt idx="27">
                  <c:v>7.2005279339949269</c:v>
                </c:pt>
                <c:pt idx="28">
                  <c:v>6.4186323620867087</c:v>
                </c:pt>
                <c:pt idx="29">
                  <c:v>5.7005818470428622</c:v>
                </c:pt>
                <c:pt idx="30">
                  <c:v>5.0441554756236391</c:v>
                </c:pt>
                <c:pt idx="31">
                  <c:v>4.446766922839263</c:v>
                </c:pt>
                <c:pt idx="32">
                  <c:v>3.9055380750762212</c:v>
                </c:pt>
                <c:pt idx="33">
                  <c:v>3.4173694454692951</c:v>
                </c:pt>
                <c:pt idx="34">
                  <c:v>2.9790063436222556</c:v>
                </c:pt>
                <c:pt idx="35">
                  <c:v>2.587099971995682</c:v>
                </c:pt>
                <c:pt idx="36">
                  <c:v>2.238262830394254</c:v>
                </c:pt>
                <c:pt idx="37">
                  <c:v>1.9291180119427023</c:v>
                </c:pt>
                <c:pt idx="38">
                  <c:v>1.6563421635763822</c:v>
                </c:pt>
                <c:pt idx="39">
                  <c:v>1.4167020572078848</c:v>
                </c:pt>
                <c:pt idx="40">
                  <c:v>1.2070848712069304</c:v>
                </c:pt>
                <c:pt idx="41">
                  <c:v>1.0245224135077378</c:v>
                </c:pt>
                <c:pt idx="42">
                  <c:v>0.86620962637249932</c:v>
                </c:pt>
                <c:pt idx="43">
                  <c:v>0.72951779832675423</c:v>
                </c:pt>
                <c:pt idx="44">
                  <c:v>0.61200297157361372</c:v>
                </c:pt>
                <c:pt idx="45">
                  <c:v>0.51141007449504461</c:v>
                </c:pt>
                <c:pt idx="46">
                  <c:v>0.42567333040828237</c:v>
                </c:pt>
                <c:pt idx="47">
                  <c:v>0.35291349771869307</c:v>
                </c:pt>
                <c:pt idx="48">
                  <c:v>0.2914324854241504</c:v>
                </c:pt>
                <c:pt idx="49">
                  <c:v>0.23970586415357217</c:v>
                </c:pt>
                <c:pt idx="50">
                  <c:v>0.19637375916923447</c:v>
                </c:pt>
                <c:pt idx="51">
                  <c:v>0.16023057056779202</c:v>
                </c:pt>
                <c:pt idx="52">
                  <c:v>0.13021391966937404</c:v>
                </c:pt>
                <c:pt idx="53">
                  <c:v>0.10539317146692628</c:v>
                </c:pt>
                <c:pt idx="54">
                  <c:v>8.4957832941543979E-2</c:v>
                </c:pt>
                <c:pt idx="55">
                  <c:v>6.4522494416161674E-2</c:v>
                </c:pt>
                <c:pt idx="56">
                  <c:v>4.408715589077937E-2</c:v>
                </c:pt>
                <c:pt idx="57">
                  <c:v>2.3651817365397065E-2</c:v>
                </c:pt>
                <c:pt idx="58">
                  <c:v>3.2164788400147609E-3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4</c:v>
          </c:tx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path'!$J$6:$J$87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40.475885588266102</c:v>
                </c:pt>
                <c:pt idx="2">
                  <c:v>39.256014653804691</c:v>
                </c:pt>
                <c:pt idx="3">
                  <c:v>38.056631163851819</c:v>
                </c:pt>
                <c:pt idx="4">
                  <c:v>36.867592318718692</c:v>
                </c:pt>
                <c:pt idx="5">
                  <c:v>35.680034193208648</c:v>
                </c:pt>
                <c:pt idx="6">
                  <c:v>34.486345439243244</c:v>
                </c:pt>
                <c:pt idx="7">
                  <c:v>33.280160224194063</c:v>
                </c:pt>
                <c:pt idx="8">
                  <c:v>32.056364678298571</c:v>
                </c:pt>
                <c:pt idx="9">
                  <c:v>30.811111220490719</c:v>
                </c:pt>
                <c:pt idx="10">
                  <c:v>29.541835182736321</c:v>
                </c:pt>
                <c:pt idx="11">
                  <c:v>28.247268215230314</c:v>
                </c:pt>
                <c:pt idx="12">
                  <c:v>26.92744308275746</c:v>
                </c:pt>
                <c:pt idx="13">
                  <c:v>25.583684706609255</c:v>
                </c:pt>
                <c:pt idx="14">
                  <c:v>24.218582711420385</c:v>
                </c:pt>
                <c:pt idx="15">
                  <c:v>22.835941338390203</c:v>
                </c:pt>
                <c:pt idx="16">
                  <c:v>21.440703410141865</c:v>
                </c:pt>
                <c:pt idx="17">
                  <c:v>20.038846087407382</c:v>
                </c:pt>
                <c:pt idx="18">
                  <c:v>18.637247435011588</c:v>
                </c:pt>
                <c:pt idx="19">
                  <c:v>17.243524284691524</c:v>
                </c:pt>
                <c:pt idx="20">
                  <c:v>15.86584349342861</c:v>
                </c:pt>
                <c:pt idx="21">
                  <c:v>14.51271037461699</c:v>
                </c:pt>
                <c:pt idx="22">
                  <c:v>13.1927397323809</c:v>
                </c:pt>
                <c:pt idx="23">
                  <c:v>11.914416448498786</c:v>
                </c:pt>
                <c:pt idx="24">
                  <c:v>10.685853840374069</c:v>
                </c:pt>
                <c:pt idx="25">
                  <c:v>9.5145589118768239</c:v>
                </c:pt>
                <c:pt idx="26">
                  <c:v>8.4072140527115167</c:v>
                </c:pt>
                <c:pt idx="27">
                  <c:v>7.369484625105347</c:v>
                </c:pt>
                <c:pt idx="28">
                  <c:v>6.4058611616896641</c:v>
                </c:pt>
                <c:pt idx="29">
                  <c:v>5.5195435811141467</c:v>
                </c:pt>
                <c:pt idx="30">
                  <c:v>4.712372953046466</c:v>
                </c:pt>
                <c:pt idx="31">
                  <c:v>3.984814007718366</c:v>
                </c:pt>
                <c:pt idx="32">
                  <c:v>3.3359889308032362</c:v>
                </c:pt>
                <c:pt idx="33">
                  <c:v>2.7637601947353168</c:v>
                </c:pt>
                <c:pt idx="34">
                  <c:v>2.2648574598550817</c:v>
                </c:pt>
                <c:pt idx="35">
                  <c:v>1.8350411464545531</c:v>
                </c:pt>
                <c:pt idx="36">
                  <c:v>1.4692933306593445</c:v>
                </c:pt>
                <c:pt idx="37">
                  <c:v>1.1620253161125544</c:v>
                </c:pt>
                <c:pt idx="38">
                  <c:v>0.90729068828513026</c:v>
                </c:pt>
                <c:pt idx="39">
                  <c:v>0.69899290979372708</c:v>
                </c:pt>
                <c:pt idx="40">
                  <c:v>0.53107753015279269</c:v>
                </c:pt>
                <c:pt idx="41">
                  <c:v>0.39770075684497069</c:v>
                </c:pt>
                <c:pt idx="42">
                  <c:v>0.2933683003463739</c:v>
                </c:pt>
                <c:pt idx="43">
                  <c:v>0.21304085500048223</c:v>
                </c:pt>
                <c:pt idx="44">
                  <c:v>0.15220508257519103</c:v>
                </c:pt>
                <c:pt idx="45">
                  <c:v>0.10691130490555283</c:v>
                </c:pt>
                <c:pt idx="46">
                  <c:v>7.3781096348889283E-2</c:v>
                </c:pt>
                <c:pt idx="47">
                  <c:v>4.065088779222574E-2</c:v>
                </c:pt>
                <c:pt idx="48">
                  <c:v>7.5206792355621971E-3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5</c:v>
          </c:tx>
          <c:marker>
            <c:symbol val="none"/>
          </c:marker>
          <c:val>
            <c:numRef>
              <c:f>'global path'!$L$6:$L$87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41.122665203336332</c:v>
                </c:pt>
                <c:pt idx="2">
                  <c:v>40.516802557319792</c:v>
                </c:pt>
                <c:pt idx="3">
                  <c:v>39.891537724543092</c:v>
                </c:pt>
                <c:pt idx="4">
                  <c:v>39.229436748680577</c:v>
                </c:pt>
                <c:pt idx="5">
                  <c:v>38.514325644713729</c:v>
                </c:pt>
                <c:pt idx="6">
                  <c:v>37.731465323327939</c:v>
                </c:pt>
                <c:pt idx="7">
                  <c:v>36.867787623411516</c:v>
                </c:pt>
                <c:pt idx="8">
                  <c:v>35.912178879439892</c:v>
                </c:pt>
                <c:pt idx="9">
                  <c:v>34.855794642164739</c:v>
                </c:pt>
                <c:pt idx="10">
                  <c:v>33.692386089078553</c:v>
                </c:pt>
                <c:pt idx="11">
                  <c:v>32.418615655616264</c:v>
                </c:pt>
                <c:pt idx="12">
                  <c:v>31.034336896364167</c:v>
                </c:pt>
                <c:pt idx="13">
                  <c:v>29.542811996017914</c:v>
                </c:pt>
                <c:pt idx="14">
                  <c:v>27.950840151502987</c:v>
                </c:pt>
                <c:pt idx="15">
                  <c:v>26.268771665191878</c:v>
                </c:pt>
                <c:pt idx="16">
                  <c:v>24.510386360992399</c:v>
                </c:pt>
                <c:pt idx="17">
                  <c:v>22.692621044653638</c:v>
                </c:pt>
                <c:pt idx="18">
                  <c:v>20.835139146698126</c:v>
                </c:pt>
                <c:pt idx="19">
                  <c:v>18.959746113615498</c:v>
                </c:pt>
                <c:pt idx="20">
                  <c:v>17.089665955216162</c:v>
                </c:pt>
                <c:pt idx="21">
                  <c:v>15.248706723064512</c:v>
                </c:pt>
                <c:pt idx="22">
                  <c:v>13.460354446895343</c:v>
                </c:pt>
                <c:pt idx="23">
                  <c:v>11.746844897182507</c:v>
                </c:pt>
                <c:pt idx="24">
                  <c:v>10.12826916052393</c:v>
                </c:pt>
                <c:pt idx="25">
                  <c:v>8.621771256132023</c:v>
                </c:pt>
                <c:pt idx="26">
                  <c:v>7.2408930788290125</c:v>
                </c:pt>
                <c:pt idx="27">
                  <c:v>5.9951135392617392</c:v>
                </c:pt>
                <c:pt idx="28">
                  <c:v>4.8896152446426333</c:v>
                </c:pt>
                <c:pt idx="29">
                  <c:v>3.9252944745649367</c:v>
                </c:pt>
                <c:pt idx="30">
                  <c:v>3.0990102420795904</c:v>
                </c:pt>
                <c:pt idx="31">
                  <c:v>2.4040480401691622</c:v>
                </c:pt>
                <c:pt idx="32">
                  <c:v>1.8307558018922769</c:v>
                </c:pt>
                <c:pt idx="33">
                  <c:v>1.3672958512188125</c:v>
                </c:pt>
                <c:pt idx="34">
                  <c:v>1.0004489050503345</c:v>
                </c:pt>
                <c:pt idx="35">
                  <c:v>0.7164054369769346</c:v>
                </c:pt>
                <c:pt idx="36">
                  <c:v>0.50148590025051154</c:v>
                </c:pt>
                <c:pt idx="37">
                  <c:v>0.34274342003359365</c:v>
                </c:pt>
                <c:pt idx="38">
                  <c:v>0.22841876483050727</c:v>
                </c:pt>
                <c:pt idx="39">
                  <c:v>0.14823533554085341</c:v>
                </c:pt>
                <c:pt idx="40">
                  <c:v>9.3539091939623092E-2</c:v>
                </c:pt>
                <c:pt idx="41">
                  <c:v>3.8842848338392771E-2</c:v>
                </c:pt>
                <c:pt idx="42">
                  <c:v>-1.585339526283755E-2</c:v>
                </c:pt>
                <c:pt idx="43">
                  <c:v>-7.0549638864067871E-2</c:v>
                </c:pt>
                <c:pt idx="44">
                  <c:v>-0.12524588246529819</c:v>
                </c:pt>
                <c:pt idx="45">
                  <c:v>-0.17994212606652851</c:v>
                </c:pt>
                <c:pt idx="46">
                  <c:v>-0.23463836966775883</c:v>
                </c:pt>
                <c:pt idx="47">
                  <c:v>-0.28933461326898913</c:v>
                </c:pt>
                <c:pt idx="48">
                  <c:v>-0.34403085687021939</c:v>
                </c:pt>
                <c:pt idx="49">
                  <c:v>-0.39872710047144966</c:v>
                </c:pt>
                <c:pt idx="50">
                  <c:v>-0.45342334407267992</c:v>
                </c:pt>
                <c:pt idx="51">
                  <c:v>-0.50811958767391019</c:v>
                </c:pt>
                <c:pt idx="52">
                  <c:v>-0.56281583127514045</c:v>
                </c:pt>
                <c:pt idx="53">
                  <c:v>-0.61751207487637072</c:v>
                </c:pt>
                <c:pt idx="54">
                  <c:v>-0.67220831847760099</c:v>
                </c:pt>
                <c:pt idx="55">
                  <c:v>-0.72690456207883125</c:v>
                </c:pt>
                <c:pt idx="56">
                  <c:v>-0.78160080568006152</c:v>
                </c:pt>
                <c:pt idx="57">
                  <c:v>-0.83629704928129178</c:v>
                </c:pt>
                <c:pt idx="58">
                  <c:v>-0.89099329288252205</c:v>
                </c:pt>
                <c:pt idx="59">
                  <c:v>-0.94568953648375231</c:v>
                </c:pt>
                <c:pt idx="60">
                  <c:v>-1.0003857800849825</c:v>
                </c:pt>
                <c:pt idx="61">
                  <c:v>-1.0550820236862126</c:v>
                </c:pt>
                <c:pt idx="62">
                  <c:v>-1.1097782672874428</c:v>
                </c:pt>
                <c:pt idx="63">
                  <c:v>-1.1644745108886729</c:v>
                </c:pt>
                <c:pt idx="64">
                  <c:v>-1.2191707544899031</c:v>
                </c:pt>
                <c:pt idx="65">
                  <c:v>-1.2738669980911332</c:v>
                </c:pt>
                <c:pt idx="66">
                  <c:v>-1.3285632416923634</c:v>
                </c:pt>
                <c:pt idx="67">
                  <c:v>-1.3832594852935935</c:v>
                </c:pt>
                <c:pt idx="68">
                  <c:v>-1.4379557288948237</c:v>
                </c:pt>
                <c:pt idx="69">
                  <c:v>-1.4926519724960539</c:v>
                </c:pt>
                <c:pt idx="70">
                  <c:v>-1.5</c:v>
                </c:pt>
                <c:pt idx="71">
                  <c:v>-1.5</c:v>
                </c:pt>
                <c:pt idx="72">
                  <c:v>-1.5</c:v>
                </c:pt>
                <c:pt idx="73">
                  <c:v>-1.5</c:v>
                </c:pt>
                <c:pt idx="74">
                  <c:v>-1.5</c:v>
                </c:pt>
                <c:pt idx="75">
                  <c:v>-1.5</c:v>
                </c:pt>
                <c:pt idx="76">
                  <c:v>-1.5</c:v>
                </c:pt>
                <c:pt idx="77">
                  <c:v>-1.5</c:v>
                </c:pt>
                <c:pt idx="78">
                  <c:v>-1.5</c:v>
                </c:pt>
                <c:pt idx="79">
                  <c:v>-1.5</c:v>
                </c:pt>
                <c:pt idx="80">
                  <c:v>-1.5</c:v>
                </c:pt>
                <c:pt idx="81">
                  <c:v>-1.5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'global path'!$N$4:$O$4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val>
            <c:numRef>
              <c:f>'global path'!$N$6:$N$87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41.722500253745011</c:v>
                </c:pt>
                <c:pt idx="2">
                  <c:v>41.324846841733802</c:v>
                </c:pt>
                <c:pt idx="3">
                  <c:v>40.44885506213086</c:v>
                </c:pt>
                <c:pt idx="4">
                  <c:v>39.211928826283724</c:v>
                </c:pt>
                <c:pt idx="5">
                  <c:v>37.710544080048294</c:v>
                </c:pt>
                <c:pt idx="6">
                  <c:v>36.023539206343401</c:v>
                </c:pt>
                <c:pt idx="7">
                  <c:v>34.214921909514317</c:v>
                </c:pt>
                <c:pt idx="8">
                  <c:v>32.336260687942115</c:v>
                </c:pt>
                <c:pt idx="9">
                  <c:v>30.428719682649842</c:v>
                </c:pt>
                <c:pt idx="10">
                  <c:v>28.524787619336962</c:v>
                </c:pt>
                <c:pt idx="11">
                  <c:v>26.649744574716294</c:v>
                </c:pt>
                <c:pt idx="12">
                  <c:v>24.822904252114256</c:v>
                </c:pt>
                <c:pt idx="13">
                  <c:v>23.058664221551226</c:v>
                </c:pt>
                <c:pt idx="14">
                  <c:v>21.367392057702119</c:v>
                </c:pt>
                <c:pt idx="15">
                  <c:v>19.75617140119482</c:v>
                </c:pt>
                <c:pt idx="16">
                  <c:v>18.229428592871983</c:v>
                </c:pt>
                <c:pt idx="17">
                  <c:v>16.789457615897675</c:v>
                </c:pt>
                <c:pt idx="18">
                  <c:v>15.436858565261133</c:v>
                </c:pt>
                <c:pt idx="19">
                  <c:v>14.170902694727374</c:v>
                </c:pt>
                <c:pt idx="20">
                  <c:v>12.98983522113852</c:v>
                </c:pt>
                <c:pt idx="21">
                  <c:v>11.891125454804225</c:v>
                </c:pt>
                <c:pt idx="22">
                  <c:v>10.87167243755033</c:v>
                </c:pt>
                <c:pt idx="23">
                  <c:v>9.9279730764472731</c:v>
                </c:pt>
                <c:pt idx="24">
                  <c:v>9.0562587349996022</c:v>
                </c:pt>
                <c:pt idx="25">
                  <c:v>8.2526053618284294</c:v>
                </c:pt>
                <c:pt idx="26">
                  <c:v>7.5130214798618482</c:v>
                </c:pt>
                <c:pt idx="27">
                  <c:v>6.8335177096385138</c:v>
                </c:pt>
                <c:pt idx="28">
                  <c:v>6.2101609437127152</c:v>
                </c:pt>
                <c:pt idx="29">
                  <c:v>5.6391158125016432</c:v>
                </c:pt>
                <c:pt idx="30">
                  <c:v>5.1166756741380013</c:v>
                </c:pt>
                <c:pt idx="31">
                  <c:v>4.639285012398922</c:v>
                </c:pt>
                <c:pt idx="32">
                  <c:v>4.2035548292778415</c:v>
                </c:pt>
                <c:pt idx="33">
                  <c:v>3.8062723650917434</c:v>
                </c:pt>
                <c:pt idx="34">
                  <c:v>3.4444062629878403</c:v>
                </c:pt>
                <c:pt idx="35">
                  <c:v>3.1151081109916525</c:v>
                </c:pt>
                <c:pt idx="36">
                  <c:v>2.8157111387236675</c:v>
                </c:pt>
                <c:pt idx="37">
                  <c:v>2.5437267136311341</c:v>
                </c:pt>
                <c:pt idx="38">
                  <c:v>2.2968391696203163</c:v>
                </c:pt>
                <c:pt idx="39">
                  <c:v>2.0728994063868385</c:v>
                </c:pt>
                <c:pt idx="40">
                  <c:v>1.8699176179930461</c:v>
                </c:pt>
                <c:pt idx="41">
                  <c:v>1.686055442158418</c:v>
                </c:pt>
                <c:pt idx="42">
                  <c:v>1.5196177654339209</c:v>
                </c:pt>
                <c:pt idx="43">
                  <c:v>1.3690443723224544</c:v>
                </c:pt>
                <c:pt idx="44">
                  <c:v>1.2329015871029192</c:v>
                </c:pt>
                <c:pt idx="45">
                  <c:v>1.109874024435479</c:v>
                </c:pt>
                <c:pt idx="46">
                  <c:v>0.99875653775676554</c:v>
                </c:pt>
                <c:pt idx="47">
                  <c:v>0.89844643215066444</c:v>
                </c:pt>
                <c:pt idx="48">
                  <c:v>0.80793599006393535</c:v>
                </c:pt>
                <c:pt idx="49">
                  <c:v>0.72630534329209517</c:v>
                </c:pt>
                <c:pt idx="50">
                  <c:v>0.65271571255333249</c:v>
                </c:pt>
                <c:pt idx="51">
                  <c:v>0.58640302623625207</c:v>
                </c:pt>
                <c:pt idx="52">
                  <c:v>0.52667192216117442</c:v>
                </c:pt>
                <c:pt idx="53">
                  <c:v>0.47289013010306835</c:v>
                </c:pt>
                <c:pt idx="54">
                  <c:v>0.42448322810567429</c:v>
                </c:pt>
                <c:pt idx="55">
                  <c:v>0.38092976203316153</c:v>
                </c:pt>
                <c:pt idx="56">
                  <c:v>0.34175671515642225</c:v>
                </c:pt>
                <c:pt idx="57">
                  <c:v>0.30653531268678424</c:v>
                </c:pt>
                <c:pt idx="58">
                  <c:v>0.27487714490706949</c:v>
                </c:pt>
                <c:pt idx="59">
                  <c:v>0.24643059178962146</c:v>
                </c:pt>
                <c:pt idx="60">
                  <c:v>0.22087753163225221</c:v>
                </c:pt>
                <c:pt idx="61">
                  <c:v>0.19793031620282409</c:v>
                </c:pt>
                <c:pt idx="62">
                  <c:v>0.17732899509155997</c:v>
                </c:pt>
                <c:pt idx="63">
                  <c:v>0.1588387723695095</c:v>
                </c:pt>
                <c:pt idx="64">
                  <c:v>0.14224767919457659</c:v>
                </c:pt>
                <c:pt idx="65">
                  <c:v>0.12736444665370228</c:v>
                </c:pt>
                <c:pt idx="66">
                  <c:v>0.11401656384966297</c:v>
                </c:pt>
                <c:pt idx="67">
                  <c:v>0.10204850700748014</c:v>
                </c:pt>
                <c:pt idx="68">
                  <c:v>9.1320126167777516E-2</c:v>
                </c:pt>
                <c:pt idx="69">
                  <c:v>8.1705176836352256E-2</c:v>
                </c:pt>
                <c:pt idx="70">
                  <c:v>7.3089984757111703E-2</c:v>
                </c:pt>
                <c:pt idx="71">
                  <c:v>6.5372232760000704E-2</c:v>
                </c:pt>
                <c:pt idx="72">
                  <c:v>5.8459859398122205E-2</c:v>
                </c:pt>
                <c:pt idx="73">
                  <c:v>5.2270059823966819E-2</c:v>
                </c:pt>
                <c:pt idx="74">
                  <c:v>4.6728380058784935E-2</c:v>
                </c:pt>
                <c:pt idx="75">
                  <c:v>4.1767896479465549E-2</c:v>
                </c:pt>
                <c:pt idx="76">
                  <c:v>3.7328472981704164E-2</c:v>
                </c:pt>
                <c:pt idx="77">
                  <c:v>3.335608887623559E-2</c:v>
                </c:pt>
                <c:pt idx="78">
                  <c:v>2.9802231136209362E-2</c:v>
                </c:pt>
                <c:pt idx="79">
                  <c:v>2.6623345138737514E-2</c:v>
                </c:pt>
                <c:pt idx="80">
                  <c:v>2.3780338533235384E-2</c:v>
                </c:pt>
                <c:pt idx="81">
                  <c:v>2.1238133324281011E-2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19440"/>
        <c:axId val="527925320"/>
      </c:lineChart>
      <c:catAx>
        <c:axId val="52791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5320"/>
        <c:crosses val="autoZero"/>
        <c:auto val="1"/>
        <c:lblAlgn val="ctr"/>
        <c:lblOffset val="100"/>
        <c:tickLblSkip val="8"/>
        <c:noMultiLvlLbl val="0"/>
      </c:catAx>
      <c:valAx>
        <c:axId val="527925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Gt CO2</a:t>
                </a:r>
              </a:p>
            </c:rich>
          </c:tx>
          <c:layout>
            <c:manualLayout>
              <c:xMode val="edge"/>
              <c:yMode val="edge"/>
              <c:x val="2.089045567306437E-2"/>
              <c:y val="0.453071050977782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19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Annual change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path'!$B$7:$B$37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'global path'!$E$7:$E$37</c:f>
              <c:numCache>
                <c:formatCode>0%</c:formatCode>
                <c:ptCount val="31"/>
                <c:pt idx="0" formatCode="0.0%">
                  <c:v>-5.5534719206077665E-2</c:v>
                </c:pt>
                <c:pt idx="1">
                  <c:v>-5.5534719206077554E-2</c:v>
                </c:pt>
                <c:pt idx="2">
                  <c:v>-5.5534719206077665E-2</c:v>
                </c:pt>
                <c:pt idx="3">
                  <c:v>-5.5534719206077554E-2</c:v>
                </c:pt>
                <c:pt idx="4">
                  <c:v>-5.5534719206077554E-2</c:v>
                </c:pt>
                <c:pt idx="5">
                  <c:v>-5.5534719206077554E-2</c:v>
                </c:pt>
                <c:pt idx="6">
                  <c:v>-5.5534719206077554E-2</c:v>
                </c:pt>
                <c:pt idx="7">
                  <c:v>-5.5534719206077665E-2</c:v>
                </c:pt>
                <c:pt idx="8">
                  <c:v>-5.5534719206077554E-2</c:v>
                </c:pt>
                <c:pt idx="9">
                  <c:v>-5.5534719206077554E-2</c:v>
                </c:pt>
                <c:pt idx="10">
                  <c:v>-5.5534719206077554E-2</c:v>
                </c:pt>
                <c:pt idx="11">
                  <c:v>-5.5534719206077665E-2</c:v>
                </c:pt>
                <c:pt idx="12">
                  <c:v>-5.5534719206077665E-2</c:v>
                </c:pt>
                <c:pt idx="13">
                  <c:v>-5.5534719206077554E-2</c:v>
                </c:pt>
                <c:pt idx="14">
                  <c:v>-5.5534719206077443E-2</c:v>
                </c:pt>
                <c:pt idx="15">
                  <c:v>-5.5534719206077554E-2</c:v>
                </c:pt>
                <c:pt idx="16">
                  <c:v>-5.5534719206077554E-2</c:v>
                </c:pt>
                <c:pt idx="17">
                  <c:v>-5.5534719206077554E-2</c:v>
                </c:pt>
                <c:pt idx="18">
                  <c:v>-5.5534719206077554E-2</c:v>
                </c:pt>
                <c:pt idx="19">
                  <c:v>-5.5534719206077554E-2</c:v>
                </c:pt>
                <c:pt idx="20">
                  <c:v>-5.5534719206077554E-2</c:v>
                </c:pt>
                <c:pt idx="21">
                  <c:v>-5.5534719206077554E-2</c:v>
                </c:pt>
                <c:pt idx="22">
                  <c:v>-5.5534719206077443E-2</c:v>
                </c:pt>
                <c:pt idx="23">
                  <c:v>-5.5534719206077665E-2</c:v>
                </c:pt>
                <c:pt idx="24">
                  <c:v>-5.5534719206077554E-2</c:v>
                </c:pt>
                <c:pt idx="25">
                  <c:v>-5.5534719206077554E-2</c:v>
                </c:pt>
                <c:pt idx="26">
                  <c:v>-5.5534719206077665E-2</c:v>
                </c:pt>
                <c:pt idx="27">
                  <c:v>-5.5534719206077554E-2</c:v>
                </c:pt>
                <c:pt idx="28">
                  <c:v>-5.5534719206077554E-2</c:v>
                </c:pt>
                <c:pt idx="29">
                  <c:v>-5.5534719206077554E-2</c:v>
                </c:pt>
                <c:pt idx="30">
                  <c:v>-5.5534719206077554E-2</c:v>
                </c:pt>
              </c:numCache>
            </c:numRef>
          </c:val>
          <c:smooth val="0"/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path'!$B$7:$B$37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'global path'!$G$7:$G$37</c:f>
              <c:numCache>
                <c:formatCode>0%</c:formatCode>
                <c:ptCount val="31"/>
                <c:pt idx="0" formatCode="0.00%">
                  <c:v>-1.5000000000000124E-2</c:v>
                </c:pt>
                <c:pt idx="1">
                  <c:v>-1.6617998855813276E-2</c:v>
                </c:pt>
                <c:pt idx="2">
                  <c:v>-1.8410525731453964E-2</c:v>
                </c:pt>
                <c:pt idx="3">
                  <c:v>-2.0396406369348252E-2</c:v>
                </c:pt>
                <c:pt idx="4">
                  <c:v>-2.2596497180568664E-2</c:v>
                </c:pt>
                <c:pt idx="5">
                  <c:v>-2.5033904286138609E-2</c:v>
                </c:pt>
                <c:pt idx="6">
                  <c:v>-2.7734226185572419E-2</c:v>
                </c:pt>
                <c:pt idx="7">
                  <c:v>-3.0725822601247232E-2</c:v>
                </c:pt>
                <c:pt idx="8">
                  <c:v>-3.4040112322096361E-2</c:v>
                </c:pt>
                <c:pt idx="9">
                  <c:v>-3.7711903174690198E-2</c:v>
                </c:pt>
                <c:pt idx="10">
                  <c:v>-4.1779757587169453E-2</c:v>
                </c:pt>
                <c:pt idx="11">
                  <c:v>-4.628639758531583E-2</c:v>
                </c:pt>
                <c:pt idx="12">
                  <c:v>-5.1279153474166339E-2</c:v>
                </c:pt>
                <c:pt idx="13">
                  <c:v>-5.6810460917384398E-2</c:v>
                </c:pt>
                <c:pt idx="14">
                  <c:v>-6.293841163488767E-2</c:v>
                </c:pt>
                <c:pt idx="15">
                  <c:v>-6.9727363502351203E-2</c:v>
                </c:pt>
                <c:pt idx="16">
                  <c:v>-7.7248616460063091E-2</c:v>
                </c:pt>
                <c:pt idx="17">
                  <c:v>-8.5581161329765454E-2</c:v>
                </c:pt>
                <c:pt idx="18">
                  <c:v>-9.4812509403814138E-2</c:v>
                </c:pt>
                <c:pt idx="19">
                  <c:v>-0.10503961151929098</c:v>
                </c:pt>
                <c:pt idx="20">
                  <c:v>-0.11636987626950968</c:v>
                </c:pt>
                <c:pt idx="21">
                  <c:v>-0.12892229804652255</c:v>
                </c:pt>
                <c:pt idx="22">
                  <c:v>-0.14282870676172832</c:v>
                </c:pt>
                <c:pt idx="23">
                  <c:v>-0.15823515236957919</c:v>
                </c:pt>
                <c:pt idx="24">
                  <c:v>-0.17530343873513987</c:v>
                </c:pt>
                <c:pt idx="25">
                  <c:v>-0.19421282295471198</c:v>
                </c:pt>
                <c:pt idx="26">
                  <c:v>-0.21516189797637753</c:v>
                </c:pt>
                <c:pt idx="27">
                  <c:v>-0.2383706782924031</c:v>
                </c:pt>
                <c:pt idx="28">
                  <c:v>-0.26408291060817191</c:v>
                </c:pt>
                <c:pt idx="29">
                  <c:v>-0.29256863375509545</c:v>
                </c:pt>
                <c:pt idx="30">
                  <c:v>-0.32412701473260119</c:v>
                </c:pt>
              </c:numCache>
            </c:numRef>
          </c:val>
          <c:smooth val="0"/>
        </c:ser>
        <c:ser>
          <c:idx val="2"/>
          <c:order val="2"/>
          <c:tx>
            <c:v>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'global path'!$I$7:$I$37</c:f>
              <c:numCache>
                <c:formatCode>0%</c:formatCode>
                <c:ptCount val="31"/>
                <c:pt idx="0" formatCode="0.0%">
                  <c:v>-2.0000000000000129E-2</c:v>
                </c:pt>
                <c:pt idx="1">
                  <c:v>-2.3281060927320185E-2</c:v>
                </c:pt>
                <c:pt idx="2">
                  <c:v>-2.6562121854640464E-2</c:v>
                </c:pt>
                <c:pt idx="3">
                  <c:v>-2.984318278196052E-2</c:v>
                </c:pt>
                <c:pt idx="4">
                  <c:v>-3.3124243709280576E-2</c:v>
                </c:pt>
                <c:pt idx="5">
                  <c:v>-3.6405304636600855E-2</c:v>
                </c:pt>
                <c:pt idx="6">
                  <c:v>-3.9686365563921133E-2</c:v>
                </c:pt>
                <c:pt idx="7">
                  <c:v>-4.2967426491241079E-2</c:v>
                </c:pt>
                <c:pt idx="8">
                  <c:v>-4.6248487418561246E-2</c:v>
                </c:pt>
                <c:pt idx="9">
                  <c:v>-4.9529548345881413E-2</c:v>
                </c:pt>
                <c:pt idx="10">
                  <c:v>-5.2810609273201581E-2</c:v>
                </c:pt>
                <c:pt idx="11">
                  <c:v>-5.6091670200521748E-2</c:v>
                </c:pt>
                <c:pt idx="12">
                  <c:v>-5.9372731127841916E-2</c:v>
                </c:pt>
                <c:pt idx="13">
                  <c:v>-6.2653792055162083E-2</c:v>
                </c:pt>
                <c:pt idx="14">
                  <c:v>-6.593485298248225E-2</c:v>
                </c:pt>
                <c:pt idx="15">
                  <c:v>-6.9215913909802418E-2</c:v>
                </c:pt>
                <c:pt idx="16">
                  <c:v>-7.2496974837122585E-2</c:v>
                </c:pt>
                <c:pt idx="17">
                  <c:v>-7.5778035764442753E-2</c:v>
                </c:pt>
                <c:pt idx="18">
                  <c:v>-7.905909669176292E-2</c:v>
                </c:pt>
                <c:pt idx="19">
                  <c:v>-8.2340157619083088E-2</c:v>
                </c:pt>
                <c:pt idx="20">
                  <c:v>-8.5621218546403255E-2</c:v>
                </c:pt>
                <c:pt idx="21">
                  <c:v>-8.8902279473723422E-2</c:v>
                </c:pt>
                <c:pt idx="22">
                  <c:v>-9.2183340401043701E-2</c:v>
                </c:pt>
                <c:pt idx="23">
                  <c:v>-9.5464401328363757E-2</c:v>
                </c:pt>
                <c:pt idx="24">
                  <c:v>-9.8745462255683925E-2</c:v>
                </c:pt>
                <c:pt idx="25">
                  <c:v>-0.10202652318300409</c:v>
                </c:pt>
                <c:pt idx="26">
                  <c:v>-0.10530758411032426</c:v>
                </c:pt>
                <c:pt idx="27">
                  <c:v>-0.10858864503764443</c:v>
                </c:pt>
                <c:pt idx="28">
                  <c:v>-0.11186970596496459</c:v>
                </c:pt>
                <c:pt idx="29">
                  <c:v>-0.11515076689228487</c:v>
                </c:pt>
                <c:pt idx="30">
                  <c:v>-0.11843182781960493</c:v>
                </c:pt>
              </c:numCache>
            </c:numRef>
          </c:val>
          <c:smooth val="0"/>
        </c:ser>
        <c:ser>
          <c:idx val="3"/>
          <c:order val="3"/>
          <c:tx>
            <c:v>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'global path'!$K$7:$K$37</c:f>
              <c:numCache>
                <c:formatCode>0%</c:formatCode>
                <c:ptCount val="31"/>
                <c:pt idx="0" formatCode="0.0%">
                  <c:v>-3.0000000000000027E-2</c:v>
                </c:pt>
                <c:pt idx="1">
                  <c:v>-3.0138214809438346E-2</c:v>
                </c:pt>
                <c:pt idx="2">
                  <c:v>-3.0552859237753194E-2</c:v>
                </c:pt>
                <c:pt idx="3">
                  <c:v>-3.1243933284944458E-2</c:v>
                </c:pt>
                <c:pt idx="4">
                  <c:v>-3.2211436951012584E-2</c:v>
                </c:pt>
                <c:pt idx="5">
                  <c:v>-3.3455370235957127E-2</c:v>
                </c:pt>
                <c:pt idx="6">
                  <c:v>-3.4975733139778309E-2</c:v>
                </c:pt>
                <c:pt idx="7">
                  <c:v>-3.6772525662476019E-2</c:v>
                </c:pt>
                <c:pt idx="8">
                  <c:v>-3.8845747804050257E-2</c:v>
                </c:pt>
                <c:pt idx="9">
                  <c:v>-4.1195399564501134E-2</c:v>
                </c:pt>
                <c:pt idx="10">
                  <c:v>-4.382148094382865E-2</c:v>
                </c:pt>
                <c:pt idx="11">
                  <c:v>-4.6723991942032583E-2</c:v>
                </c:pt>
                <c:pt idx="12">
                  <c:v>-4.9902932559113267E-2</c:v>
                </c:pt>
                <c:pt idx="13">
                  <c:v>-5.3358302795070478E-2</c:v>
                </c:pt>
                <c:pt idx="14">
                  <c:v>-5.7090102649904106E-2</c:v>
                </c:pt>
                <c:pt idx="15">
                  <c:v>-6.1098332123614374E-2</c:v>
                </c:pt>
                <c:pt idx="16">
                  <c:v>-6.5382991216201281E-2</c:v>
                </c:pt>
                <c:pt idx="17">
                  <c:v>-6.9944079927664715E-2</c:v>
                </c:pt>
                <c:pt idx="18">
                  <c:v>-7.4781598258004567E-2</c:v>
                </c:pt>
                <c:pt idx="19">
                  <c:v>-7.989554620722128E-2</c:v>
                </c:pt>
                <c:pt idx="20">
                  <c:v>-8.5285923775314409E-2</c:v>
                </c:pt>
                <c:pt idx="21">
                  <c:v>-9.0952730962284178E-2</c:v>
                </c:pt>
                <c:pt idx="22">
                  <c:v>-9.6895967768130475E-2</c:v>
                </c:pt>
                <c:pt idx="23">
                  <c:v>-0.10311563419285341</c:v>
                </c:pt>
                <c:pt idx="24">
                  <c:v>-0.10961173023645276</c:v>
                </c:pt>
                <c:pt idx="25">
                  <c:v>-0.11638425589892898</c:v>
                </c:pt>
                <c:pt idx="26">
                  <c:v>-0.12343321118028139</c:v>
                </c:pt>
                <c:pt idx="27">
                  <c:v>-0.13075859608051055</c:v>
                </c:pt>
                <c:pt idx="28">
                  <c:v>-0.13836041059961635</c:v>
                </c:pt>
                <c:pt idx="29">
                  <c:v>-0.14623865473759867</c:v>
                </c:pt>
                <c:pt idx="30">
                  <c:v>-0.15439332849445753</c:v>
                </c:pt>
              </c:numCache>
            </c:numRef>
          </c:val>
          <c:smooth val="0"/>
        </c:ser>
        <c:ser>
          <c:idx val="4"/>
          <c:order val="4"/>
          <c:tx>
            <c:v>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'global path'!$M$7:$M$37</c:f>
              <c:numCache>
                <c:formatCode>0%</c:formatCode>
                <c:ptCount val="31"/>
                <c:pt idx="0" formatCode="0.0%">
                  <c:v>-1.4500000000000068E-2</c:v>
                </c:pt>
                <c:pt idx="1">
                  <c:v>-1.4733058838010016E-2</c:v>
                </c:pt>
                <c:pt idx="2">
                  <c:v>-1.543223535204008E-2</c:v>
                </c:pt>
                <c:pt idx="3">
                  <c:v>-1.6597529542090372E-2</c:v>
                </c:pt>
                <c:pt idx="4">
                  <c:v>-1.8228941408160781E-2</c:v>
                </c:pt>
                <c:pt idx="5">
                  <c:v>-2.0326470950251196E-2</c:v>
                </c:pt>
                <c:pt idx="6">
                  <c:v>-2.2890118168361839E-2</c:v>
                </c:pt>
                <c:pt idx="7">
                  <c:v>-2.5919883062492155E-2</c:v>
                </c:pt>
                <c:pt idx="8">
                  <c:v>-2.9415765632642921E-2</c:v>
                </c:pt>
                <c:pt idx="9">
                  <c:v>-3.3377765878813803E-2</c:v>
                </c:pt>
                <c:pt idx="10">
                  <c:v>-3.7805883801004692E-2</c:v>
                </c:pt>
                <c:pt idx="11">
                  <c:v>-4.2700119399215697E-2</c:v>
                </c:pt>
                <c:pt idx="12">
                  <c:v>-4.8060472673446819E-2</c:v>
                </c:pt>
                <c:pt idx="13">
                  <c:v>-5.3886943623698058E-2</c:v>
                </c:pt>
                <c:pt idx="14">
                  <c:v>-6.0179532249969303E-2</c:v>
                </c:pt>
                <c:pt idx="15">
                  <c:v>-6.6938238552260665E-2</c:v>
                </c:pt>
                <c:pt idx="16">
                  <c:v>-7.4163062530572144E-2</c:v>
                </c:pt>
                <c:pt idx="17">
                  <c:v>-8.1854004184903739E-2</c:v>
                </c:pt>
                <c:pt idx="18">
                  <c:v>-9.0011063515255341E-2</c:v>
                </c:pt>
                <c:pt idx="19">
                  <c:v>-9.863424052162717E-2</c:v>
                </c:pt>
                <c:pt idx="20">
                  <c:v>-0.10772353520401889</c:v>
                </c:pt>
                <c:pt idx="21">
                  <c:v>-0.11727894756243085</c:v>
                </c:pt>
                <c:pt idx="22">
                  <c:v>-0.12730047759686292</c:v>
                </c:pt>
                <c:pt idx="23">
                  <c:v>-0.13778812530731499</c:v>
                </c:pt>
                <c:pt idx="24">
                  <c:v>-0.14874189069378729</c:v>
                </c:pt>
                <c:pt idx="25">
                  <c:v>-0.16016177375627949</c:v>
                </c:pt>
                <c:pt idx="26">
                  <c:v>-0.17204777449479192</c:v>
                </c:pt>
                <c:pt idx="27">
                  <c:v>-0.18439989290932446</c:v>
                </c:pt>
                <c:pt idx="28">
                  <c:v>-0.19721812899987712</c:v>
                </c:pt>
                <c:pt idx="29">
                  <c:v>-0.21050248276644978</c:v>
                </c:pt>
                <c:pt idx="30">
                  <c:v>-0.22425295420904257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'global path'!$N$4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'global path'!$O$7:$O$37</c:f>
              <c:numCache>
                <c:formatCode>0%</c:formatCode>
                <c:ptCount val="31"/>
                <c:pt idx="0" formatCode="0.0%">
                  <c:v>-1.2502115913948231E-4</c:v>
                </c:pt>
                <c:pt idx="1">
                  <c:v>-9.5309104102770936E-3</c:v>
                </c:pt>
                <c:pt idx="2">
                  <c:v>-2.1197701783573941E-2</c:v>
                </c:pt>
                <c:pt idx="3">
                  <c:v>-3.0580006132365778E-2</c:v>
                </c:pt>
                <c:pt idx="4">
                  <c:v>-3.8288979684902746E-2</c:v>
                </c:pt>
                <c:pt idx="5">
                  <c:v>-4.4735628054686338E-2</c:v>
                </c:pt>
                <c:pt idx="6">
                  <c:v>-5.0206540963931845E-2</c:v>
                </c:pt>
                <c:pt idx="7">
                  <c:v>-5.4907657733095472E-2</c:v>
                </c:pt>
                <c:pt idx="8">
                  <c:v>-5.8990772733458874E-2</c:v>
                </c:pt>
                <c:pt idx="9">
                  <c:v>-6.2570232437301088E-2</c:v>
                </c:pt>
                <c:pt idx="10">
                  <c:v>-6.5733812627918553E-2</c:v>
                </c:pt>
                <c:pt idx="11">
                  <c:v>-6.8550012458101994E-2</c:v>
                </c:pt>
                <c:pt idx="12">
                  <c:v>-7.1073070767404767E-2</c:v>
                </c:pt>
                <c:pt idx="13">
                  <c:v>-7.334649343080335E-2</c:v>
                </c:pt>
                <c:pt idx="14">
                  <c:v>-7.5405583056473935E-2</c:v>
                </c:pt>
                <c:pt idx="15">
                  <c:v>-7.7279285410051801E-2</c:v>
                </c:pt>
                <c:pt idx="16">
                  <c:v>-7.8991558601971823E-2</c:v>
                </c:pt>
                <c:pt idx="17">
                  <c:v>-8.0562403001975924E-2</c:v>
                </c:pt>
                <c:pt idx="18">
                  <c:v>-8.2008646071464741E-2</c:v>
                </c:pt>
                <c:pt idx="19">
                  <c:v>-8.3344547558589777E-2</c:v>
                </c:pt>
                <c:pt idx="20">
                  <c:v>-8.4582271262867992E-2</c:v>
                </c:pt>
                <c:pt idx="21">
                  <c:v>-8.5732256473840973E-2</c:v>
                </c:pt>
                <c:pt idx="22">
                  <c:v>-8.680351312311041E-2</c:v>
                </c:pt>
                <c:pt idx="23">
                  <c:v>-8.7803858323879935E-2</c:v>
                </c:pt>
                <c:pt idx="24">
                  <c:v>-8.8740107442525251E-2</c:v>
                </c:pt>
                <c:pt idx="25">
                  <c:v>-8.9618229582072328E-2</c:v>
                </c:pt>
                <c:pt idx="26">
                  <c:v>-9.0443474978036287E-2</c:v>
                </c:pt>
                <c:pt idx="27">
                  <c:v>-9.1220480053277542E-2</c:v>
                </c:pt>
                <c:pt idx="28">
                  <c:v>-9.1953354572752111E-2</c:v>
                </c:pt>
                <c:pt idx="29">
                  <c:v>-9.264575435840805E-2</c:v>
                </c:pt>
                <c:pt idx="30">
                  <c:v>-9.3300942280166055E-2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23360"/>
        <c:axId val="527924536"/>
      </c:lineChart>
      <c:catAx>
        <c:axId val="5279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924536"/>
        <c:crosses val="autoZero"/>
        <c:auto val="1"/>
        <c:lblAlgn val="ctr"/>
        <c:lblOffset val="100"/>
        <c:tickLblSkip val="5"/>
        <c:noMultiLvlLbl val="0"/>
      </c:catAx>
      <c:valAx>
        <c:axId val="527924536"/>
        <c:scaling>
          <c:orientation val="minMax"/>
          <c:min val="-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7923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2"/>
          <c:order val="2"/>
          <c:tx>
            <c:v>3</c:v>
          </c:tx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'global path'!$B$6:$B$87</c15:sqref>
                  </c15:fullRef>
                </c:ext>
              </c:extLst>
              <c:f>'global path'!$B$13:$B$87</c:f>
              <c:numCache>
                <c:formatCode>General</c:formatCode>
                <c:ptCount val="7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'global path'!$H$6:$H$87</c15:sqref>
                  </c15:fullRef>
                </c:ext>
              </c:extLst>
              <c:f>'global path'!$H$13:$H$87</c:f>
              <c:numCache>
                <c:formatCode>0.0</c:formatCode>
                <c:ptCount val="75"/>
                <c:pt idx="0">
                  <c:v>33.748047947428226</c:v>
                </c:pt>
                <c:pt idx="1">
                  <c:v>32.297981178024223</c:v>
                </c:pt>
                <c:pt idx="2">
                  <c:v>30.80424840186744</c:v>
                </c:pt>
                <c:pt idx="3">
                  <c:v>29.278527891388606</c:v>
                </c:pt>
                <c:pt idx="4">
                  <c:v>27.732310994821948</c:v>
                </c:pt>
                <c:pt idx="5">
                  <c:v>26.17675935260209</c:v>
                </c:pt>
                <c:pt idx="6">
                  <c:v>24.622573657761826</c:v>
                </c:pt>
                <c:pt idx="7">
                  <c:v>23.079876047945504</c:v>
                </c:pt>
                <c:pt idx="8">
                  <c:v>21.558107813870304</c:v>
                </c:pt>
                <c:pt idx="9">
                  <c:v>20.065943679367219</c:v>
                </c:pt>
                <c:pt idx="10">
                  <c:v>18.611223465361014</c:v>
                </c:pt>
                <c:pt idx="11">
                  <c:v>17.200901507982852</c:v>
                </c:pt>
                <c:pt idx="12">
                  <c:v>15.841013772477746</c:v>
                </c:pt>
                <c:pt idx="13">
                  <c:v>14.536662201605862</c:v>
                </c:pt>
                <c:pt idx="14">
                  <c:v>13.292015470306927</c:v>
                </c:pt>
                <c:pt idx="15">
                  <c:v>12.110324996196645</c:v>
                </c:pt>
                <c:pt idx="16">
                  <c:v>10.993954784704982</c:v>
                </c:pt>
                <c:pt idx="17">
                  <c:v>9.9444234729520211</c:v>
                </c:pt>
                <c:pt idx="18">
                  <c:v>8.9624567802491004</c:v>
                </c:pt>
                <c:pt idx="19">
                  <c:v>8.0480484757823429</c:v>
                </c:pt>
                <c:pt idx="20">
                  <c:v>7.2005279339949269</c:v>
                </c:pt>
                <c:pt idx="21">
                  <c:v>6.4186323620867087</c:v>
                </c:pt>
                <c:pt idx="22">
                  <c:v>5.7005818470428622</c:v>
                </c:pt>
                <c:pt idx="23">
                  <c:v>5.0441554756236391</c:v>
                </c:pt>
                <c:pt idx="24">
                  <c:v>4.446766922839263</c:v>
                </c:pt>
                <c:pt idx="25">
                  <c:v>3.9055380750762212</c:v>
                </c:pt>
                <c:pt idx="26">
                  <c:v>3.4173694454692951</c:v>
                </c:pt>
                <c:pt idx="27">
                  <c:v>2.9790063436222556</c:v>
                </c:pt>
                <c:pt idx="28">
                  <c:v>2.587099971995682</c:v>
                </c:pt>
                <c:pt idx="29">
                  <c:v>2.238262830394254</c:v>
                </c:pt>
                <c:pt idx="30">
                  <c:v>1.9291180119427023</c:v>
                </c:pt>
                <c:pt idx="31">
                  <c:v>1.6563421635763822</c:v>
                </c:pt>
                <c:pt idx="32">
                  <c:v>1.4167020572078848</c:v>
                </c:pt>
                <c:pt idx="33">
                  <c:v>1.2070848712069304</c:v>
                </c:pt>
                <c:pt idx="34">
                  <c:v>1.0245224135077378</c:v>
                </c:pt>
                <c:pt idx="35">
                  <c:v>0.86620962637249932</c:v>
                </c:pt>
                <c:pt idx="36">
                  <c:v>0.72951779832675423</c:v>
                </c:pt>
                <c:pt idx="37">
                  <c:v>0.61200297157361372</c:v>
                </c:pt>
                <c:pt idx="38">
                  <c:v>0.51141007449504461</c:v>
                </c:pt>
                <c:pt idx="39">
                  <c:v>0.42567333040828237</c:v>
                </c:pt>
                <c:pt idx="40">
                  <c:v>0.35291349771869307</c:v>
                </c:pt>
                <c:pt idx="41">
                  <c:v>0.2914324854241504</c:v>
                </c:pt>
                <c:pt idx="42">
                  <c:v>0.23970586415357217</c:v>
                </c:pt>
                <c:pt idx="43">
                  <c:v>0.19637375916923447</c:v>
                </c:pt>
                <c:pt idx="44">
                  <c:v>0.16023057056779202</c:v>
                </c:pt>
                <c:pt idx="45">
                  <c:v>0.13021391966937404</c:v>
                </c:pt>
                <c:pt idx="46">
                  <c:v>0.10539317146692628</c:v>
                </c:pt>
                <c:pt idx="47">
                  <c:v>8.4957832941543979E-2</c:v>
                </c:pt>
                <c:pt idx="48">
                  <c:v>6.4522494416161674E-2</c:v>
                </c:pt>
                <c:pt idx="49">
                  <c:v>4.408715589077937E-2</c:v>
                </c:pt>
                <c:pt idx="50">
                  <c:v>2.3651817365397065E-2</c:v>
                </c:pt>
                <c:pt idx="51">
                  <c:v>3.2164788400147609E-3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25712"/>
        <c:axId val="527920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1</c:v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'global path'!$B$6:$B$87</c15:sqref>
                        </c15:fullRef>
                        <c15:formulaRef>
                          <c15:sqref>'global path'!$B$13:$B$87</c15:sqref>
                        </c15:formulaRef>
                      </c:ext>
                    </c:extLst>
                    <c:numCache>
                      <c:formatCode>General</c:formatCode>
                      <c:ptCount val="75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'global path'!$D$6:$D$87</c15:sqref>
                        </c15:fullRef>
                        <c15:formulaRef>
                          <c15:sqref>'global path'!$D$13:$D$87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27.972198948395214</c:v>
                      </c:pt>
                      <c:pt idx="1">
                        <c:v>26.418770734219546</c:v>
                      </c:pt>
                      <c:pt idx="2">
                        <c:v>24.951611719724923</c:v>
                      </c:pt>
                      <c:pt idx="3">
                        <c:v>23.565930969130925</c:v>
                      </c:pt>
                      <c:pt idx="4">
                        <c:v>22.257203609930432</c:v>
                      </c:pt>
                      <c:pt idx="5">
                        <c:v>21.021156057140448</c:v>
                      </c:pt>
                      <c:pt idx="6">
                        <c:v>19.853752058120016</c:v>
                      </c:pt>
                      <c:pt idx="7">
                        <c:v>18.751179512385235</c:v>
                      </c:pt>
                      <c:pt idx="8">
                        <c:v>17.709838023382169</c:v>
                      </c:pt>
                      <c:pt idx="9">
                        <c:v>16.726327141568525</c:v>
                      </c:pt>
                      <c:pt idx="10">
                        <c:v>15.797435260412524</c:v>
                      </c:pt>
                      <c:pt idx="11">
                        <c:v>14.920129129049325</c:v>
                      </c:pt>
                      <c:pt idx="12">
                        <c:v>14.091543947349152</c:v>
                      </c:pt>
                      <c:pt idx="13">
                        <c:v>13.308974011053015</c:v>
                      </c:pt>
                      <c:pt idx="14">
                        <c:v>12.569863876428203</c:v>
                      </c:pt>
                      <c:pt idx="15">
                        <c:v>11.871800015592145</c:v>
                      </c:pt>
                      <c:pt idx="16">
                        <c:v>11.212502935255529</c:v>
                      </c:pt>
                      <c:pt idx="17">
                        <c:v>10.589819733148792</c:v>
                      </c:pt>
                      <c:pt idx="18">
                        <c:v>10.001717067825394</c:v>
                      </c:pt>
                      <c:pt idx="19">
                        <c:v>9.4462745188850779</c:v>
                      </c:pt>
                      <c:pt idx="20">
                        <c:v>8.9216783159352691</c:v>
                      </c:pt>
                      <c:pt idx="21">
                        <c:v>8.4262154158128535</c:v>
                      </c:pt>
                      <c:pt idx="22">
                        <c:v>7.9582679087257651</c:v>
                      </c:pt>
                      <c:pt idx="23">
                        <c:v>7.5163077350479419</c:v>
                      </c:pt>
                      <c:pt idx="24">
                        <c:v>7.0988916955155856</c:v>
                      </c:pt>
                      <c:pt idx="25">
                        <c:v>6.7046567385307716</c:v>
                      </c:pt>
                      <c:pt idx="26">
                        <c:v>6.3323155091833296</c:v>
                      </c:pt>
                      <c:pt idx="27">
                        <c:v>5.9806521454565438</c:v>
                      </c:pt>
                      <c:pt idx="28">
                        <c:v>5.6485183078893897</c:v>
                      </c:pt>
                      <c:pt idx="29">
                        <c:v>5.3348294297303642</c:v>
                      </c:pt>
                      <c:pt idx="30">
                        <c:v>5.0385611753379695</c:v>
                      </c:pt>
                      <c:pt idx="31">
                        <c:v>4.7587460952629312</c:v>
                      </c:pt>
                      <c:pt idx="32">
                        <c:v>4.4944704670894859</c:v>
                      </c:pt>
                      <c:pt idx="33">
                        <c:v>4.2448713117196633</c:v>
                      </c:pt>
                      <c:pt idx="34">
                        <c:v>4.009133575357378</c:v>
                      </c:pt>
                      <c:pt idx="35">
                        <c:v>3.786487467990248</c:v>
                      </c:pt>
                      <c:pt idx="36">
                        <c:v>3.5762059496780783</c:v>
                      </c:pt>
                      <c:pt idx="37">
                        <c:v>3.3776023564396023</c:v>
                      </c:pt>
                      <c:pt idx="38">
                        <c:v>3.1900281579849432</c:v>
                      </c:pt>
                      <c:pt idx="39">
                        <c:v>3.0128708399717685</c:v>
                      </c:pt>
                      <c:pt idx="40">
                        <c:v>2.8455519038697572</c:v>
                      </c:pt>
                      <c:pt idx="41">
                        <c:v>2.6782329677677459</c:v>
                      </c:pt>
                      <c:pt idx="42">
                        <c:v>2.5109140316657346</c:v>
                      </c:pt>
                      <c:pt idx="43">
                        <c:v>2.3435950955637233</c:v>
                      </c:pt>
                      <c:pt idx="44">
                        <c:v>2.1762761594617119</c:v>
                      </c:pt>
                      <c:pt idx="45">
                        <c:v>2.0089572233597006</c:v>
                      </c:pt>
                      <c:pt idx="46">
                        <c:v>1.8416382872576893</c:v>
                      </c:pt>
                      <c:pt idx="47">
                        <c:v>1.674319351155678</c:v>
                      </c:pt>
                      <c:pt idx="48">
                        <c:v>1.5070004150536667</c:v>
                      </c:pt>
                      <c:pt idx="49">
                        <c:v>1.3396814789516553</c:v>
                      </c:pt>
                      <c:pt idx="50">
                        <c:v>1.172362542849644</c:v>
                      </c:pt>
                      <c:pt idx="51">
                        <c:v>1.0050436067476327</c:v>
                      </c:pt>
                      <c:pt idx="52">
                        <c:v>0.83772467064562139</c:v>
                      </c:pt>
                      <c:pt idx="53">
                        <c:v>0.67040573454361008</c:v>
                      </c:pt>
                      <c:pt idx="54">
                        <c:v>0.50308679844159876</c:v>
                      </c:pt>
                      <c:pt idx="55">
                        <c:v>0.33576786233958744</c:v>
                      </c:pt>
                      <c:pt idx="56">
                        <c:v>0.16844892623757612</c:v>
                      </c:pt>
                      <c:pt idx="57">
                        <c:v>1.1299901355648068E-3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 formatCode="0.0000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1"/>
                <c:order val="1"/>
                <c:tx>
                  <c:v>2</c:v>
                </c:tx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'global path'!$B$6:$B$87</c15:sqref>
                        </c15:fullRef>
                        <c15:formulaRef>
                          <c15:sqref>'global path'!$B$13:$B$87</c15:sqref>
                        </c15:formulaRef>
                      </c:ext>
                    </c:extLst>
                    <c:numCache>
                      <c:formatCode>General</c:formatCode>
                      <c:ptCount val="75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'global path'!$F$6:$F$87</c15:sqref>
                        </c15:fullRef>
                        <c15:formulaRef>
                          <c15:sqref>'global path'!$F$13:$F$87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36.009059274309948</c:v>
                      </c:pt>
                      <c:pt idx="1">
                        <c:v>34.902651307009705</c:v>
                      </c:pt>
                      <c:pt idx="2">
                        <c:v>33.71456113618013</c:v>
                      </c:pt>
                      <c:pt idx="3">
                        <c:v>32.443120871035333</c:v>
                      </c:pt>
                      <c:pt idx="4">
                        <c:v>31.08765514567224</c:v>
                      </c:pt>
                      <c:pt idx="5">
                        <c:v>29.648719579604464</c:v>
                      </c:pt>
                      <c:pt idx="6">
                        <c:v>28.128358337969406</c:v>
                      </c:pt>
                      <c:pt idx="7">
                        <c:v>26.530373335940013</c:v>
                      </c:pt>
                      <c:pt idx="8">
                        <c:v>24.860593778095371</c:v>
                      </c:pt>
                      <c:pt idx="9">
                        <c:v>23.127130118845823</c:v>
                      </c:pt>
                      <c:pt idx="10">
                        <c:v>21.34059131447313</c:v>
                      </c:pt>
                      <c:pt idx="11">
                        <c:v>19.514238726316613</c:v>
                      </c:pt>
                      <c:pt idx="12">
                        <c:v>17.664044783569445</c:v>
                      </c:pt>
                      <c:pt idx="13">
                        <c:v>15.808620381643951</c:v>
                      </c:pt>
                      <c:pt idx="14">
                        <c:v>13.968973183840395</c:v>
                      </c:pt>
                      <c:pt idx="15">
                        <c:v>12.168061059629443</c:v>
                      </c:pt>
                      <c:pt idx="16">
                        <c:v>10.430112634684823</c:v>
                      </c:pt>
                      <c:pt idx="17">
                        <c:v>8.7797021727035975</c:v>
                      </c:pt>
                      <c:pt idx="18">
                        <c:v>7.2405901907582777</c:v>
                      </c:pt>
                      <c:pt idx="19">
                        <c:v>5.8343747299529163</c:v>
                      </c:pt>
                      <c:pt idx="20">
                        <c:v>4.579039589550832</c:v>
                      </c:pt>
                      <c:pt idx="21">
                        <c:v>3.4875308166618333</c:v>
                      </c:pt>
                      <c:pt idx="22">
                        <c:v>2.5665335277620818</c:v>
                      </c:pt>
                      <c:pt idx="23">
                        <c:v>1.8156463200580841</c:v>
                      </c:pt>
                      <c:pt idx="24">
                        <c:v>1.2271462985274244</c:v>
                      </c:pt>
                      <c:pt idx="25">
                        <c:v>0.78649095921862844</c:v>
                      </c:pt>
                      <c:pt idx="26">
                        <c:v>0.47360656998913847</c:v>
                      </c:pt>
                      <c:pt idx="27">
                        <c:v>0.26487153707374966</c:v>
                      </c:pt>
                      <c:pt idx="28">
                        <c:v>0.13554120764579405</c:v>
                      </c:pt>
                      <c:pt idx="29">
                        <c:v>6.2220962478481363E-2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v>4</c:v>
                </c:tx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'global path'!$B$6:$B$87</c15:sqref>
                        </c15:fullRef>
                        <c15:formulaRef>
                          <c15:sqref>'global path'!$B$13:$B$87</c15:sqref>
                        </c15:formulaRef>
                      </c:ext>
                    </c:extLst>
                    <c:numCache>
                      <c:formatCode>General</c:formatCode>
                      <c:ptCount val="75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'global path'!$J$6:$J$87</c15:sqref>
                        </c15:fullRef>
                        <c15:formulaRef>
                          <c15:sqref>'global path'!$J$13:$J$87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33.280160224194063</c:v>
                      </c:pt>
                      <c:pt idx="1">
                        <c:v>32.056364678298571</c:v>
                      </c:pt>
                      <c:pt idx="2">
                        <c:v>30.811111220490719</c:v>
                      </c:pt>
                      <c:pt idx="3">
                        <c:v>29.541835182736321</c:v>
                      </c:pt>
                      <c:pt idx="4">
                        <c:v>28.247268215230314</c:v>
                      </c:pt>
                      <c:pt idx="5">
                        <c:v>26.92744308275746</c:v>
                      </c:pt>
                      <c:pt idx="6">
                        <c:v>25.583684706609255</c:v>
                      </c:pt>
                      <c:pt idx="7">
                        <c:v>24.218582711420385</c:v>
                      </c:pt>
                      <c:pt idx="8">
                        <c:v>22.835941338390203</c:v>
                      </c:pt>
                      <c:pt idx="9">
                        <c:v>21.440703410141865</c:v>
                      </c:pt>
                      <c:pt idx="10">
                        <c:v>20.038846087407382</c:v>
                      </c:pt>
                      <c:pt idx="11">
                        <c:v>18.637247435011588</c:v>
                      </c:pt>
                      <c:pt idx="12">
                        <c:v>17.243524284691524</c:v>
                      </c:pt>
                      <c:pt idx="13">
                        <c:v>15.86584349342861</c:v>
                      </c:pt>
                      <c:pt idx="14">
                        <c:v>14.51271037461699</c:v>
                      </c:pt>
                      <c:pt idx="15">
                        <c:v>13.1927397323809</c:v>
                      </c:pt>
                      <c:pt idx="16">
                        <c:v>11.914416448498786</c:v>
                      </c:pt>
                      <c:pt idx="17">
                        <c:v>10.685853840374069</c:v>
                      </c:pt>
                      <c:pt idx="18">
                        <c:v>9.5145589118768239</c:v>
                      </c:pt>
                      <c:pt idx="19">
                        <c:v>8.4072140527115167</c:v>
                      </c:pt>
                      <c:pt idx="20">
                        <c:v>7.369484625105347</c:v>
                      </c:pt>
                      <c:pt idx="21">
                        <c:v>6.4058611616896641</c:v>
                      </c:pt>
                      <c:pt idx="22">
                        <c:v>5.5195435811141467</c:v>
                      </c:pt>
                      <c:pt idx="23">
                        <c:v>4.712372953046466</c:v>
                      </c:pt>
                      <c:pt idx="24">
                        <c:v>3.984814007718366</c:v>
                      </c:pt>
                      <c:pt idx="25">
                        <c:v>3.3359889308032362</c:v>
                      </c:pt>
                      <c:pt idx="26">
                        <c:v>2.7637601947353168</c:v>
                      </c:pt>
                      <c:pt idx="27">
                        <c:v>2.2648574598550817</c:v>
                      </c:pt>
                      <c:pt idx="28">
                        <c:v>1.8350411464545531</c:v>
                      </c:pt>
                      <c:pt idx="29">
                        <c:v>1.4692933306593445</c:v>
                      </c:pt>
                      <c:pt idx="30">
                        <c:v>1.1620253161125544</c:v>
                      </c:pt>
                      <c:pt idx="31">
                        <c:v>0.90729068828513026</c:v>
                      </c:pt>
                      <c:pt idx="32">
                        <c:v>0.69899290979372708</c:v>
                      </c:pt>
                      <c:pt idx="33">
                        <c:v>0.53107753015279269</c:v>
                      </c:pt>
                      <c:pt idx="34">
                        <c:v>0.39770075684497069</c:v>
                      </c:pt>
                      <c:pt idx="35">
                        <c:v>0.2933683003463739</c:v>
                      </c:pt>
                      <c:pt idx="36">
                        <c:v>0.21304085500048223</c:v>
                      </c:pt>
                      <c:pt idx="37">
                        <c:v>0.15220508257519103</c:v>
                      </c:pt>
                      <c:pt idx="38">
                        <c:v>0.10691130490555283</c:v>
                      </c:pt>
                      <c:pt idx="39">
                        <c:v>7.3781096348889283E-2</c:v>
                      </c:pt>
                      <c:pt idx="40">
                        <c:v>4.065088779222574E-2</c:v>
                      </c:pt>
                      <c:pt idx="41">
                        <c:v>7.5206792355621971E-3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v>5</c:v>
                </c:tx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'global path'!$L$6:$L$87</c15:sqref>
                        </c15:fullRef>
                        <c15:formulaRef>
                          <c15:sqref>'global path'!$L$13:$L$87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36.867787623411516</c:v>
                      </c:pt>
                      <c:pt idx="1">
                        <c:v>35.912178879439892</c:v>
                      </c:pt>
                      <c:pt idx="2">
                        <c:v>34.855794642164739</c:v>
                      </c:pt>
                      <c:pt idx="3">
                        <c:v>33.692386089078553</c:v>
                      </c:pt>
                      <c:pt idx="4">
                        <c:v>32.418615655616264</c:v>
                      </c:pt>
                      <c:pt idx="5">
                        <c:v>31.034336896364167</c:v>
                      </c:pt>
                      <c:pt idx="6">
                        <c:v>29.542811996017914</c:v>
                      </c:pt>
                      <c:pt idx="7">
                        <c:v>27.950840151502987</c:v>
                      </c:pt>
                      <c:pt idx="8">
                        <c:v>26.268771665191878</c:v>
                      </c:pt>
                      <c:pt idx="9">
                        <c:v>24.510386360992399</c:v>
                      </c:pt>
                      <c:pt idx="10">
                        <c:v>22.692621044653638</c:v>
                      </c:pt>
                      <c:pt idx="11">
                        <c:v>20.835139146698126</c:v>
                      </c:pt>
                      <c:pt idx="12">
                        <c:v>18.959746113615498</c:v>
                      </c:pt>
                      <c:pt idx="13">
                        <c:v>17.089665955216162</c:v>
                      </c:pt>
                      <c:pt idx="14">
                        <c:v>15.248706723064512</c:v>
                      </c:pt>
                      <c:pt idx="15">
                        <c:v>13.460354446895343</c:v>
                      </c:pt>
                      <c:pt idx="16">
                        <c:v>11.746844897182507</c:v>
                      </c:pt>
                      <c:pt idx="17">
                        <c:v>10.12826916052393</c:v>
                      </c:pt>
                      <c:pt idx="18">
                        <c:v>8.621771256132023</c:v>
                      </c:pt>
                      <c:pt idx="19">
                        <c:v>7.2408930788290125</c:v>
                      </c:pt>
                      <c:pt idx="20">
                        <c:v>5.9951135392617392</c:v>
                      </c:pt>
                      <c:pt idx="21">
                        <c:v>4.8896152446426333</c:v>
                      </c:pt>
                      <c:pt idx="22">
                        <c:v>3.9252944745649367</c:v>
                      </c:pt>
                      <c:pt idx="23">
                        <c:v>3.0990102420795904</c:v>
                      </c:pt>
                      <c:pt idx="24">
                        <c:v>2.4040480401691622</c:v>
                      </c:pt>
                      <c:pt idx="25">
                        <c:v>1.8307558018922769</c:v>
                      </c:pt>
                      <c:pt idx="26">
                        <c:v>1.3672958512188125</c:v>
                      </c:pt>
                      <c:pt idx="27">
                        <c:v>1.0004489050503345</c:v>
                      </c:pt>
                      <c:pt idx="28">
                        <c:v>0.7164054369769346</c:v>
                      </c:pt>
                      <c:pt idx="29">
                        <c:v>0.50148590025051154</c:v>
                      </c:pt>
                      <c:pt idx="30">
                        <c:v>0.34274342003359365</c:v>
                      </c:pt>
                      <c:pt idx="31">
                        <c:v>0.22841876483050727</c:v>
                      </c:pt>
                      <c:pt idx="32">
                        <c:v>0.14823533554085341</c:v>
                      </c:pt>
                      <c:pt idx="33">
                        <c:v>9.3539091939623092E-2</c:v>
                      </c:pt>
                      <c:pt idx="34">
                        <c:v>3.8842848338392771E-2</c:v>
                      </c:pt>
                      <c:pt idx="35">
                        <c:v>-1.585339526283755E-2</c:v>
                      </c:pt>
                      <c:pt idx="36">
                        <c:v>-7.0549638864067871E-2</c:v>
                      </c:pt>
                      <c:pt idx="37">
                        <c:v>-0.12524588246529819</c:v>
                      </c:pt>
                      <c:pt idx="38">
                        <c:v>-0.17994212606652851</c:v>
                      </c:pt>
                      <c:pt idx="39">
                        <c:v>-0.23463836966775883</c:v>
                      </c:pt>
                      <c:pt idx="40">
                        <c:v>-0.28933461326898913</c:v>
                      </c:pt>
                      <c:pt idx="41">
                        <c:v>-0.34403085687021939</c:v>
                      </c:pt>
                      <c:pt idx="42">
                        <c:v>-0.39872710047144966</c:v>
                      </c:pt>
                      <c:pt idx="43">
                        <c:v>-0.45342334407267992</c:v>
                      </c:pt>
                      <c:pt idx="44">
                        <c:v>-0.50811958767391019</c:v>
                      </c:pt>
                      <c:pt idx="45">
                        <c:v>-0.56281583127514045</c:v>
                      </c:pt>
                      <c:pt idx="46">
                        <c:v>-0.61751207487637072</c:v>
                      </c:pt>
                      <c:pt idx="47">
                        <c:v>-0.67220831847760099</c:v>
                      </c:pt>
                      <c:pt idx="48">
                        <c:v>-0.72690456207883125</c:v>
                      </c:pt>
                      <c:pt idx="49">
                        <c:v>-0.78160080568006152</c:v>
                      </c:pt>
                      <c:pt idx="50">
                        <c:v>-0.83629704928129178</c:v>
                      </c:pt>
                      <c:pt idx="51">
                        <c:v>-0.89099329288252205</c:v>
                      </c:pt>
                      <c:pt idx="52">
                        <c:v>-0.94568953648375231</c:v>
                      </c:pt>
                      <c:pt idx="53">
                        <c:v>-1.0003857800849825</c:v>
                      </c:pt>
                      <c:pt idx="54">
                        <c:v>-1.0550820236862126</c:v>
                      </c:pt>
                      <c:pt idx="55">
                        <c:v>-1.1097782672874428</c:v>
                      </c:pt>
                      <c:pt idx="56">
                        <c:v>-1.1644745108886729</c:v>
                      </c:pt>
                      <c:pt idx="57">
                        <c:v>-1.2191707544899031</c:v>
                      </c:pt>
                      <c:pt idx="58">
                        <c:v>-1.2738669980911332</c:v>
                      </c:pt>
                      <c:pt idx="59">
                        <c:v>-1.3285632416923634</c:v>
                      </c:pt>
                      <c:pt idx="60">
                        <c:v>-1.3832594852935935</c:v>
                      </c:pt>
                      <c:pt idx="61">
                        <c:v>-1.4379557288948237</c:v>
                      </c:pt>
                      <c:pt idx="62">
                        <c:v>-1.4926519724960539</c:v>
                      </c:pt>
                      <c:pt idx="63">
                        <c:v>-1.5</c:v>
                      </c:pt>
                      <c:pt idx="64">
                        <c:v>-1.5</c:v>
                      </c:pt>
                      <c:pt idx="65">
                        <c:v>-1.5</c:v>
                      </c:pt>
                      <c:pt idx="66">
                        <c:v>-1.5</c:v>
                      </c:pt>
                      <c:pt idx="67">
                        <c:v>-1.5</c:v>
                      </c:pt>
                      <c:pt idx="68">
                        <c:v>-1.5</c:v>
                      </c:pt>
                      <c:pt idx="69">
                        <c:v>-1.5</c:v>
                      </c:pt>
                      <c:pt idx="70">
                        <c:v>-1.5</c:v>
                      </c:pt>
                      <c:pt idx="71">
                        <c:v>-1.5</c:v>
                      </c:pt>
                      <c:pt idx="72">
                        <c:v>-1.5</c:v>
                      </c:pt>
                      <c:pt idx="73">
                        <c:v>-1.5</c:v>
                      </c:pt>
                      <c:pt idx="74">
                        <c:v>-1.5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2792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0616"/>
        <c:crosses val="autoZero"/>
        <c:auto val="1"/>
        <c:lblAlgn val="ctr"/>
        <c:lblOffset val="100"/>
        <c:tickLblSkip val="8"/>
        <c:noMultiLvlLbl val="0"/>
      </c:catAx>
      <c:valAx>
        <c:axId val="52792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Gt CO2</a:t>
                </a:r>
              </a:p>
            </c:rich>
          </c:tx>
          <c:layout>
            <c:manualLayout>
              <c:xMode val="edge"/>
              <c:yMode val="edge"/>
              <c:x val="2.089045567306437E-2"/>
              <c:y val="0.453071050977782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5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v>1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path'!$D$6:$D$87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39.410380048973629</c:v>
                </c:pt>
                <c:pt idx="2">
                  <c:v>37.221735659149076</c:v>
                </c:pt>
                <c:pt idx="3">
                  <c:v>35.154637020955384</c:v>
                </c:pt>
                <c:pt idx="4">
                  <c:v>33.202334125205049</c:v>
                </c:pt>
                <c:pt idx="5">
                  <c:v>31.358451822575418</c:v>
                </c:pt>
                <c:pt idx="6">
                  <c:v>29.616969005871383</c:v>
                </c:pt>
                <c:pt idx="7">
                  <c:v>27.972198948395214</c:v>
                </c:pt>
                <c:pt idx="8">
                  <c:v>26.418770734219546</c:v>
                </c:pt>
                <c:pt idx="9">
                  <c:v>24.951611719724923</c:v>
                </c:pt>
                <c:pt idx="10">
                  <c:v>23.565930969130925</c:v>
                </c:pt>
                <c:pt idx="11">
                  <c:v>22.257203609930432</c:v>
                </c:pt>
                <c:pt idx="12">
                  <c:v>21.021156057140448</c:v>
                </c:pt>
                <c:pt idx="13">
                  <c:v>19.853752058120016</c:v>
                </c:pt>
                <c:pt idx="14">
                  <c:v>18.751179512385235</c:v>
                </c:pt>
                <c:pt idx="15">
                  <c:v>17.709838023382169</c:v>
                </c:pt>
                <c:pt idx="16">
                  <c:v>16.726327141568525</c:v>
                </c:pt>
                <c:pt idx="17">
                  <c:v>15.797435260412524</c:v>
                </c:pt>
                <c:pt idx="18">
                  <c:v>14.920129129049325</c:v>
                </c:pt>
                <c:pt idx="19">
                  <c:v>14.091543947349152</c:v>
                </c:pt>
                <c:pt idx="20">
                  <c:v>13.308974011053015</c:v>
                </c:pt>
                <c:pt idx="21">
                  <c:v>12.569863876428203</c:v>
                </c:pt>
                <c:pt idx="22">
                  <c:v>11.871800015592145</c:v>
                </c:pt>
                <c:pt idx="23">
                  <c:v>11.212502935255529</c:v>
                </c:pt>
                <c:pt idx="24">
                  <c:v>10.589819733148792</c:v>
                </c:pt>
                <c:pt idx="25">
                  <c:v>10.001717067825394</c:v>
                </c:pt>
                <c:pt idx="26">
                  <c:v>9.4462745188850779</c:v>
                </c:pt>
                <c:pt idx="27">
                  <c:v>8.9216783159352691</c:v>
                </c:pt>
                <c:pt idx="28">
                  <c:v>8.4262154158128535</c:v>
                </c:pt>
                <c:pt idx="29">
                  <c:v>7.9582679087257651</c:v>
                </c:pt>
                <c:pt idx="30">
                  <c:v>7.5163077350479419</c:v>
                </c:pt>
                <c:pt idx="31">
                  <c:v>7.0988916955155856</c:v>
                </c:pt>
                <c:pt idx="32">
                  <c:v>6.7046567385307716</c:v>
                </c:pt>
                <c:pt idx="33">
                  <c:v>6.3323155091833296</c:v>
                </c:pt>
                <c:pt idx="34">
                  <c:v>5.9806521454565438</c:v>
                </c:pt>
                <c:pt idx="35">
                  <c:v>5.6485183078893897</c:v>
                </c:pt>
                <c:pt idx="36">
                  <c:v>5.3348294297303642</c:v>
                </c:pt>
                <c:pt idx="37">
                  <c:v>5.0385611753379695</c:v>
                </c:pt>
                <c:pt idx="38">
                  <c:v>4.7587460952629312</c:v>
                </c:pt>
                <c:pt idx="39">
                  <c:v>4.4944704670894859</c:v>
                </c:pt>
                <c:pt idx="40">
                  <c:v>4.2448713117196633</c:v>
                </c:pt>
                <c:pt idx="41">
                  <c:v>4.009133575357378</c:v>
                </c:pt>
                <c:pt idx="42">
                  <c:v>3.786487467990248</c:v>
                </c:pt>
                <c:pt idx="43">
                  <c:v>3.5762059496780783</c:v>
                </c:pt>
                <c:pt idx="44">
                  <c:v>3.3776023564396023</c:v>
                </c:pt>
                <c:pt idx="45">
                  <c:v>3.1900281579849432</c:v>
                </c:pt>
                <c:pt idx="46">
                  <c:v>3.0128708399717685</c:v>
                </c:pt>
                <c:pt idx="47">
                  <c:v>2.8455519038697572</c:v>
                </c:pt>
                <c:pt idx="48">
                  <c:v>2.6782329677677459</c:v>
                </c:pt>
                <c:pt idx="49">
                  <c:v>2.5109140316657346</c:v>
                </c:pt>
                <c:pt idx="50">
                  <c:v>2.3435950955637233</c:v>
                </c:pt>
                <c:pt idx="51">
                  <c:v>2.1762761594617119</c:v>
                </c:pt>
                <c:pt idx="52">
                  <c:v>2.0089572233597006</c:v>
                </c:pt>
                <c:pt idx="53">
                  <c:v>1.8416382872576893</c:v>
                </c:pt>
                <c:pt idx="54">
                  <c:v>1.674319351155678</c:v>
                </c:pt>
                <c:pt idx="55">
                  <c:v>1.5070004150536667</c:v>
                </c:pt>
                <c:pt idx="56">
                  <c:v>1.3396814789516553</c:v>
                </c:pt>
                <c:pt idx="57">
                  <c:v>1.172362542849644</c:v>
                </c:pt>
                <c:pt idx="58">
                  <c:v>1.0050436067476327</c:v>
                </c:pt>
                <c:pt idx="59">
                  <c:v>0.83772467064562139</c:v>
                </c:pt>
                <c:pt idx="60">
                  <c:v>0.67040573454361008</c:v>
                </c:pt>
                <c:pt idx="61">
                  <c:v>0.50308679844159876</c:v>
                </c:pt>
                <c:pt idx="62">
                  <c:v>0.33576786233958744</c:v>
                </c:pt>
                <c:pt idx="63">
                  <c:v>0.16844892623757612</c:v>
                </c:pt>
                <c:pt idx="64">
                  <c:v>1.1299901355648068E-3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 formatCode="0.00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2</c:v>
          </c:tx>
          <c:spPr>
            <a:ln>
              <a:solidFill>
                <a:sysClr val="windowText" lastClr="000000">
                  <a:lumMod val="50000"/>
                  <a:lumOff val="50000"/>
                </a:sysClr>
              </a:solidFill>
            </a:ln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path'!$F$6:$F$87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41.101801344785677</c:v>
                </c:pt>
                <c:pt idx="2">
                  <c:v>40.418771657066166</c:v>
                </c:pt>
                <c:pt idx="3">
                  <c:v>39.674640821439986</c:v>
                </c:pt>
                <c:pt idx="4">
                  <c:v>38.865420724687965</c:v>
                </c:pt>
                <c:pt idx="5">
                  <c:v>37.987198354860936</c:v>
                </c:pt>
                <c:pt idx="6">
                  <c:v>37.036230467146787</c:v>
                </c:pt>
                <c:pt idx="7">
                  <c:v>36.009059274309948</c:v>
                </c:pt>
                <c:pt idx="8">
                  <c:v>34.902651307009705</c:v>
                </c:pt>
                <c:pt idx="9">
                  <c:v>33.71456113618013</c:v>
                </c:pt>
                <c:pt idx="10">
                  <c:v>32.443120871035333</c:v>
                </c:pt>
                <c:pt idx="11">
                  <c:v>31.08765514567224</c:v>
                </c:pt>
                <c:pt idx="12">
                  <c:v>29.648719579604464</c:v>
                </c:pt>
                <c:pt idx="13">
                  <c:v>28.128358337969406</c:v>
                </c:pt>
                <c:pt idx="14">
                  <c:v>26.530373335940013</c:v>
                </c:pt>
                <c:pt idx="15">
                  <c:v>24.860593778095371</c:v>
                </c:pt>
                <c:pt idx="16">
                  <c:v>23.127130118845823</c:v>
                </c:pt>
                <c:pt idx="17">
                  <c:v>21.34059131447313</c:v>
                </c:pt>
                <c:pt idx="18">
                  <c:v>19.514238726316613</c:v>
                </c:pt>
                <c:pt idx="19">
                  <c:v>17.664044783569445</c:v>
                </c:pt>
                <c:pt idx="20">
                  <c:v>15.808620381643951</c:v>
                </c:pt>
                <c:pt idx="21">
                  <c:v>13.968973183840395</c:v>
                </c:pt>
                <c:pt idx="22">
                  <c:v>12.168061059629443</c:v>
                </c:pt>
                <c:pt idx="23">
                  <c:v>10.430112634684823</c:v>
                </c:pt>
                <c:pt idx="24">
                  <c:v>8.7797021727035975</c:v>
                </c:pt>
                <c:pt idx="25">
                  <c:v>7.2405901907582777</c:v>
                </c:pt>
                <c:pt idx="26">
                  <c:v>5.8343747299529163</c:v>
                </c:pt>
                <c:pt idx="27">
                  <c:v>4.579039589550832</c:v>
                </c:pt>
                <c:pt idx="28">
                  <c:v>3.4875308166618333</c:v>
                </c:pt>
                <c:pt idx="29">
                  <c:v>2.5665335277620818</c:v>
                </c:pt>
                <c:pt idx="30">
                  <c:v>1.8156463200580841</c:v>
                </c:pt>
                <c:pt idx="31">
                  <c:v>1.2271462985274244</c:v>
                </c:pt>
                <c:pt idx="32">
                  <c:v>0.78649095921862844</c:v>
                </c:pt>
                <c:pt idx="33">
                  <c:v>0.47360656998913847</c:v>
                </c:pt>
                <c:pt idx="34">
                  <c:v>0.26487153707374966</c:v>
                </c:pt>
                <c:pt idx="35">
                  <c:v>0.13554120764579405</c:v>
                </c:pt>
                <c:pt idx="36">
                  <c:v>6.2220962478481363E-2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3</c:v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'global path'!$H$6:$H$87</c:f>
              <c:numCache>
                <c:formatCode>0.0</c:formatCode>
                <c:ptCount val="82"/>
                <c:pt idx="0">
                  <c:v>41.727717101305259</c:v>
                </c:pt>
                <c:pt idx="1">
                  <c:v>40.89316275927915</c:v>
                </c:pt>
                <c:pt idx="2">
                  <c:v>39.941126545569553</c:v>
                </c:pt>
                <c:pt idx="3">
                  <c:v>38.88020547525452</c:v>
                </c:pt>
                <c:pt idx="4">
                  <c:v>37.719896396656317</c:v>
                </c:pt>
                <c:pt idx="5">
                  <c:v>36.470453355724658</c:v>
                </c:pt>
                <c:pt idx="6">
                  <c:v>35.142735391074559</c:v>
                </c:pt>
                <c:pt idx="7">
                  <c:v>33.748047947428226</c:v>
                </c:pt>
                <c:pt idx="8">
                  <c:v>32.297981178024223</c:v>
                </c:pt>
                <c:pt idx="9">
                  <c:v>30.80424840186744</c:v>
                </c:pt>
                <c:pt idx="10">
                  <c:v>29.278527891388606</c:v>
                </c:pt>
                <c:pt idx="11">
                  <c:v>27.732310994821948</c:v>
                </c:pt>
                <c:pt idx="12">
                  <c:v>26.17675935260209</c:v>
                </c:pt>
                <c:pt idx="13">
                  <c:v>24.622573657761826</c:v>
                </c:pt>
                <c:pt idx="14">
                  <c:v>23.079876047945504</c:v>
                </c:pt>
                <c:pt idx="15">
                  <c:v>21.558107813870304</c:v>
                </c:pt>
                <c:pt idx="16">
                  <c:v>20.065943679367219</c:v>
                </c:pt>
                <c:pt idx="17">
                  <c:v>18.611223465361014</c:v>
                </c:pt>
                <c:pt idx="18">
                  <c:v>17.200901507982852</c:v>
                </c:pt>
                <c:pt idx="19">
                  <c:v>15.841013772477746</c:v>
                </c:pt>
                <c:pt idx="20">
                  <c:v>14.536662201605862</c:v>
                </c:pt>
                <c:pt idx="21">
                  <c:v>13.292015470306927</c:v>
                </c:pt>
                <c:pt idx="22">
                  <c:v>12.110324996196645</c:v>
                </c:pt>
                <c:pt idx="23">
                  <c:v>10.993954784704982</c:v>
                </c:pt>
                <c:pt idx="24">
                  <c:v>9.9444234729520211</c:v>
                </c:pt>
                <c:pt idx="25">
                  <c:v>8.9624567802491004</c:v>
                </c:pt>
                <c:pt idx="26">
                  <c:v>8.0480484757823429</c:v>
                </c:pt>
                <c:pt idx="27">
                  <c:v>7.2005279339949269</c:v>
                </c:pt>
                <c:pt idx="28">
                  <c:v>6.4186323620867087</c:v>
                </c:pt>
                <c:pt idx="29">
                  <c:v>5.7005818470428622</c:v>
                </c:pt>
                <c:pt idx="30">
                  <c:v>5.0441554756236391</c:v>
                </c:pt>
                <c:pt idx="31">
                  <c:v>4.446766922839263</c:v>
                </c:pt>
                <c:pt idx="32">
                  <c:v>3.9055380750762212</c:v>
                </c:pt>
                <c:pt idx="33">
                  <c:v>3.4173694454692951</c:v>
                </c:pt>
                <c:pt idx="34">
                  <c:v>2.9790063436222556</c:v>
                </c:pt>
                <c:pt idx="35">
                  <c:v>2.587099971995682</c:v>
                </c:pt>
                <c:pt idx="36">
                  <c:v>2.238262830394254</c:v>
                </c:pt>
                <c:pt idx="37">
                  <c:v>1.9291180119427023</c:v>
                </c:pt>
                <c:pt idx="38">
                  <c:v>1.6563421635763822</c:v>
                </c:pt>
                <c:pt idx="39">
                  <c:v>1.4167020572078848</c:v>
                </c:pt>
                <c:pt idx="40">
                  <c:v>1.2070848712069304</c:v>
                </c:pt>
                <c:pt idx="41">
                  <c:v>1.0245224135077378</c:v>
                </c:pt>
                <c:pt idx="42">
                  <c:v>0.86620962637249932</c:v>
                </c:pt>
                <c:pt idx="43">
                  <c:v>0.72951779832675423</c:v>
                </c:pt>
                <c:pt idx="44">
                  <c:v>0.61200297157361372</c:v>
                </c:pt>
                <c:pt idx="45">
                  <c:v>0.51141007449504461</c:v>
                </c:pt>
                <c:pt idx="46">
                  <c:v>0.42567333040828237</c:v>
                </c:pt>
                <c:pt idx="47">
                  <c:v>0.35291349771869307</c:v>
                </c:pt>
                <c:pt idx="48">
                  <c:v>0.2914324854241504</c:v>
                </c:pt>
                <c:pt idx="49">
                  <c:v>0.23970586415357217</c:v>
                </c:pt>
                <c:pt idx="50">
                  <c:v>0.19637375916923447</c:v>
                </c:pt>
                <c:pt idx="51">
                  <c:v>0.16023057056779202</c:v>
                </c:pt>
                <c:pt idx="52">
                  <c:v>0.13021391966937404</c:v>
                </c:pt>
                <c:pt idx="53">
                  <c:v>0.10539317146692628</c:v>
                </c:pt>
                <c:pt idx="54">
                  <c:v>8.4957832941543979E-2</c:v>
                </c:pt>
                <c:pt idx="55">
                  <c:v>6.4522494416161674E-2</c:v>
                </c:pt>
                <c:pt idx="56">
                  <c:v>4.408715589077937E-2</c:v>
                </c:pt>
                <c:pt idx="57">
                  <c:v>2.3651817365397065E-2</c:v>
                </c:pt>
                <c:pt idx="58">
                  <c:v>3.2164788400147609E-3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24928"/>
        <c:axId val="52792610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v>4</c:v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'global path'!$B$6:$B$87</c15:sqref>
                        </c15:formulaRef>
                      </c:ext>
                    </c:extLst>
                    <c:numCache>
                      <c:formatCode>General</c:formatCode>
                      <c:ptCount val="82"/>
                      <c:pt idx="0">
                        <c:v>2019</c:v>
                      </c:pt>
                      <c:pt idx="1">
                        <c:v>2020</c:v>
                      </c:pt>
                      <c:pt idx="2">
                        <c:v>2021</c:v>
                      </c:pt>
                      <c:pt idx="3">
                        <c:v>2022</c:v>
                      </c:pt>
                      <c:pt idx="4">
                        <c:v>2023</c:v>
                      </c:pt>
                      <c:pt idx="5">
                        <c:v>2024</c:v>
                      </c:pt>
                      <c:pt idx="6">
                        <c:v>2025</c:v>
                      </c:pt>
                      <c:pt idx="7">
                        <c:v>2026</c:v>
                      </c:pt>
                      <c:pt idx="8">
                        <c:v>2027</c:v>
                      </c:pt>
                      <c:pt idx="9">
                        <c:v>2028</c:v>
                      </c:pt>
                      <c:pt idx="10">
                        <c:v>2029</c:v>
                      </c:pt>
                      <c:pt idx="11">
                        <c:v>2030</c:v>
                      </c:pt>
                      <c:pt idx="12">
                        <c:v>2031</c:v>
                      </c:pt>
                      <c:pt idx="13">
                        <c:v>2032</c:v>
                      </c:pt>
                      <c:pt idx="14">
                        <c:v>2033</c:v>
                      </c:pt>
                      <c:pt idx="15">
                        <c:v>2034</c:v>
                      </c:pt>
                      <c:pt idx="16">
                        <c:v>2035</c:v>
                      </c:pt>
                      <c:pt idx="17">
                        <c:v>2036</c:v>
                      </c:pt>
                      <c:pt idx="18">
                        <c:v>2037</c:v>
                      </c:pt>
                      <c:pt idx="19">
                        <c:v>2038</c:v>
                      </c:pt>
                      <c:pt idx="20">
                        <c:v>2039</c:v>
                      </c:pt>
                      <c:pt idx="21">
                        <c:v>2040</c:v>
                      </c:pt>
                      <c:pt idx="22">
                        <c:v>2041</c:v>
                      </c:pt>
                      <c:pt idx="23">
                        <c:v>2042</c:v>
                      </c:pt>
                      <c:pt idx="24">
                        <c:v>2043</c:v>
                      </c:pt>
                      <c:pt idx="25">
                        <c:v>2044</c:v>
                      </c:pt>
                      <c:pt idx="26">
                        <c:v>2045</c:v>
                      </c:pt>
                      <c:pt idx="27">
                        <c:v>2046</c:v>
                      </c:pt>
                      <c:pt idx="28">
                        <c:v>2047</c:v>
                      </c:pt>
                      <c:pt idx="29">
                        <c:v>2048</c:v>
                      </c:pt>
                      <c:pt idx="30">
                        <c:v>2049</c:v>
                      </c:pt>
                      <c:pt idx="31">
                        <c:v>2050</c:v>
                      </c:pt>
                      <c:pt idx="32">
                        <c:v>2051</c:v>
                      </c:pt>
                      <c:pt idx="33">
                        <c:v>2052</c:v>
                      </c:pt>
                      <c:pt idx="34">
                        <c:v>2053</c:v>
                      </c:pt>
                      <c:pt idx="35">
                        <c:v>2054</c:v>
                      </c:pt>
                      <c:pt idx="36">
                        <c:v>2055</c:v>
                      </c:pt>
                      <c:pt idx="37">
                        <c:v>2056</c:v>
                      </c:pt>
                      <c:pt idx="38">
                        <c:v>2057</c:v>
                      </c:pt>
                      <c:pt idx="39">
                        <c:v>2058</c:v>
                      </c:pt>
                      <c:pt idx="40">
                        <c:v>2059</c:v>
                      </c:pt>
                      <c:pt idx="41">
                        <c:v>2060</c:v>
                      </c:pt>
                      <c:pt idx="42">
                        <c:v>2061</c:v>
                      </c:pt>
                      <c:pt idx="43">
                        <c:v>2062</c:v>
                      </c:pt>
                      <c:pt idx="44">
                        <c:v>2063</c:v>
                      </c:pt>
                      <c:pt idx="45">
                        <c:v>2064</c:v>
                      </c:pt>
                      <c:pt idx="46">
                        <c:v>2065</c:v>
                      </c:pt>
                      <c:pt idx="47">
                        <c:v>2066</c:v>
                      </c:pt>
                      <c:pt idx="48">
                        <c:v>2067</c:v>
                      </c:pt>
                      <c:pt idx="49">
                        <c:v>2068</c:v>
                      </c:pt>
                      <c:pt idx="50">
                        <c:v>2069</c:v>
                      </c:pt>
                      <c:pt idx="51">
                        <c:v>2070</c:v>
                      </c:pt>
                      <c:pt idx="52">
                        <c:v>2071</c:v>
                      </c:pt>
                      <c:pt idx="53">
                        <c:v>2072</c:v>
                      </c:pt>
                      <c:pt idx="54">
                        <c:v>2073</c:v>
                      </c:pt>
                      <c:pt idx="55">
                        <c:v>2074</c:v>
                      </c:pt>
                      <c:pt idx="56">
                        <c:v>2075</c:v>
                      </c:pt>
                      <c:pt idx="57">
                        <c:v>2076</c:v>
                      </c:pt>
                      <c:pt idx="58">
                        <c:v>2077</c:v>
                      </c:pt>
                      <c:pt idx="59">
                        <c:v>2078</c:v>
                      </c:pt>
                      <c:pt idx="60">
                        <c:v>2079</c:v>
                      </c:pt>
                      <c:pt idx="61">
                        <c:v>2080</c:v>
                      </c:pt>
                      <c:pt idx="62">
                        <c:v>2081</c:v>
                      </c:pt>
                      <c:pt idx="63">
                        <c:v>2082</c:v>
                      </c:pt>
                      <c:pt idx="64">
                        <c:v>2083</c:v>
                      </c:pt>
                      <c:pt idx="65">
                        <c:v>2084</c:v>
                      </c:pt>
                      <c:pt idx="66">
                        <c:v>2085</c:v>
                      </c:pt>
                      <c:pt idx="67">
                        <c:v>2086</c:v>
                      </c:pt>
                      <c:pt idx="68">
                        <c:v>2087</c:v>
                      </c:pt>
                      <c:pt idx="69">
                        <c:v>2088</c:v>
                      </c:pt>
                      <c:pt idx="70">
                        <c:v>2089</c:v>
                      </c:pt>
                      <c:pt idx="71">
                        <c:v>2090</c:v>
                      </c:pt>
                      <c:pt idx="72">
                        <c:v>2091</c:v>
                      </c:pt>
                      <c:pt idx="73">
                        <c:v>2092</c:v>
                      </c:pt>
                      <c:pt idx="74">
                        <c:v>2093</c:v>
                      </c:pt>
                      <c:pt idx="75">
                        <c:v>2094</c:v>
                      </c:pt>
                      <c:pt idx="76">
                        <c:v>2095</c:v>
                      </c:pt>
                      <c:pt idx="77">
                        <c:v>2096</c:v>
                      </c:pt>
                      <c:pt idx="78">
                        <c:v>2097</c:v>
                      </c:pt>
                      <c:pt idx="79">
                        <c:v>2098</c:v>
                      </c:pt>
                      <c:pt idx="80">
                        <c:v>2099</c:v>
                      </c:pt>
                      <c:pt idx="81">
                        <c:v>2100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'global path'!$J$6:$J$87</c15:sqref>
                        </c15:formulaRef>
                      </c:ext>
                    </c:extLst>
                    <c:numCache>
                      <c:formatCode>0.0</c:formatCode>
                      <c:ptCount val="82"/>
                      <c:pt idx="0">
                        <c:v>41.727717101305259</c:v>
                      </c:pt>
                      <c:pt idx="1">
                        <c:v>40.475885588266102</c:v>
                      </c:pt>
                      <c:pt idx="2">
                        <c:v>39.256014653804691</c:v>
                      </c:pt>
                      <c:pt idx="3">
                        <c:v>38.056631163851819</c:v>
                      </c:pt>
                      <c:pt idx="4">
                        <c:v>36.867592318718692</c:v>
                      </c:pt>
                      <c:pt idx="5">
                        <c:v>35.680034193208648</c:v>
                      </c:pt>
                      <c:pt idx="6">
                        <c:v>34.486345439243244</c:v>
                      </c:pt>
                      <c:pt idx="7">
                        <c:v>33.280160224194063</c:v>
                      </c:pt>
                      <c:pt idx="8">
                        <c:v>32.056364678298571</c:v>
                      </c:pt>
                      <c:pt idx="9">
                        <c:v>30.811111220490719</c:v>
                      </c:pt>
                      <c:pt idx="10">
                        <c:v>29.541835182736321</c:v>
                      </c:pt>
                      <c:pt idx="11">
                        <c:v>28.247268215230314</c:v>
                      </c:pt>
                      <c:pt idx="12">
                        <c:v>26.92744308275746</c:v>
                      </c:pt>
                      <c:pt idx="13">
                        <c:v>25.583684706609255</c:v>
                      </c:pt>
                      <c:pt idx="14">
                        <c:v>24.218582711420385</c:v>
                      </c:pt>
                      <c:pt idx="15">
                        <c:v>22.835941338390203</c:v>
                      </c:pt>
                      <c:pt idx="16">
                        <c:v>21.440703410141865</c:v>
                      </c:pt>
                      <c:pt idx="17">
                        <c:v>20.038846087407382</c:v>
                      </c:pt>
                      <c:pt idx="18">
                        <c:v>18.637247435011588</c:v>
                      </c:pt>
                      <c:pt idx="19">
                        <c:v>17.243524284691524</c:v>
                      </c:pt>
                      <c:pt idx="20">
                        <c:v>15.86584349342861</c:v>
                      </c:pt>
                      <c:pt idx="21">
                        <c:v>14.51271037461699</c:v>
                      </c:pt>
                      <c:pt idx="22">
                        <c:v>13.1927397323809</c:v>
                      </c:pt>
                      <c:pt idx="23">
                        <c:v>11.914416448498786</c:v>
                      </c:pt>
                      <c:pt idx="24">
                        <c:v>10.685853840374069</c:v>
                      </c:pt>
                      <c:pt idx="25">
                        <c:v>9.5145589118768239</c:v>
                      </c:pt>
                      <c:pt idx="26">
                        <c:v>8.4072140527115167</c:v>
                      </c:pt>
                      <c:pt idx="27">
                        <c:v>7.369484625105347</c:v>
                      </c:pt>
                      <c:pt idx="28">
                        <c:v>6.4058611616896641</c:v>
                      </c:pt>
                      <c:pt idx="29">
                        <c:v>5.5195435811141467</c:v>
                      </c:pt>
                      <c:pt idx="30">
                        <c:v>4.712372953046466</c:v>
                      </c:pt>
                      <c:pt idx="31">
                        <c:v>3.984814007718366</c:v>
                      </c:pt>
                      <c:pt idx="32">
                        <c:v>3.3359889308032362</c:v>
                      </c:pt>
                      <c:pt idx="33">
                        <c:v>2.7637601947353168</c:v>
                      </c:pt>
                      <c:pt idx="34">
                        <c:v>2.2648574598550817</c:v>
                      </c:pt>
                      <c:pt idx="35">
                        <c:v>1.8350411464545531</c:v>
                      </c:pt>
                      <c:pt idx="36">
                        <c:v>1.4692933306593445</c:v>
                      </c:pt>
                      <c:pt idx="37">
                        <c:v>1.1620253161125544</c:v>
                      </c:pt>
                      <c:pt idx="38">
                        <c:v>0.90729068828513026</c:v>
                      </c:pt>
                      <c:pt idx="39">
                        <c:v>0.69899290979372708</c:v>
                      </c:pt>
                      <c:pt idx="40">
                        <c:v>0.53107753015279269</c:v>
                      </c:pt>
                      <c:pt idx="41">
                        <c:v>0.39770075684497069</c:v>
                      </c:pt>
                      <c:pt idx="42">
                        <c:v>0.2933683003463739</c:v>
                      </c:pt>
                      <c:pt idx="43">
                        <c:v>0.21304085500048223</c:v>
                      </c:pt>
                      <c:pt idx="44">
                        <c:v>0.15220508257519103</c:v>
                      </c:pt>
                      <c:pt idx="45">
                        <c:v>0.10691130490555283</c:v>
                      </c:pt>
                      <c:pt idx="46">
                        <c:v>7.3781096348889283E-2</c:v>
                      </c:pt>
                      <c:pt idx="47">
                        <c:v>4.065088779222574E-2</c:v>
                      </c:pt>
                      <c:pt idx="48">
                        <c:v>7.5206792355621971E-3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4"/>
                <c:order val="4"/>
                <c:tx>
                  <c:v>5</c:v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path'!$L$6:$L$87</c15:sqref>
                        </c15:formulaRef>
                      </c:ext>
                    </c:extLst>
                    <c:numCache>
                      <c:formatCode>0.0</c:formatCode>
                      <c:ptCount val="82"/>
                      <c:pt idx="0">
                        <c:v>41.727717101305259</c:v>
                      </c:pt>
                      <c:pt idx="1">
                        <c:v>41.122665203336332</c:v>
                      </c:pt>
                      <c:pt idx="2">
                        <c:v>40.516802557319792</c:v>
                      </c:pt>
                      <c:pt idx="3">
                        <c:v>39.891537724543092</c:v>
                      </c:pt>
                      <c:pt idx="4">
                        <c:v>39.229436748680577</c:v>
                      </c:pt>
                      <c:pt idx="5">
                        <c:v>38.514325644713729</c:v>
                      </c:pt>
                      <c:pt idx="6">
                        <c:v>37.731465323327939</c:v>
                      </c:pt>
                      <c:pt idx="7">
                        <c:v>36.867787623411516</c:v>
                      </c:pt>
                      <c:pt idx="8">
                        <c:v>35.912178879439892</c:v>
                      </c:pt>
                      <c:pt idx="9">
                        <c:v>34.855794642164739</c:v>
                      </c:pt>
                      <c:pt idx="10">
                        <c:v>33.692386089078553</c:v>
                      </c:pt>
                      <c:pt idx="11">
                        <c:v>32.418615655616264</c:v>
                      </c:pt>
                      <c:pt idx="12">
                        <c:v>31.034336896364167</c:v>
                      </c:pt>
                      <c:pt idx="13">
                        <c:v>29.542811996017914</c:v>
                      </c:pt>
                      <c:pt idx="14">
                        <c:v>27.950840151502987</c:v>
                      </c:pt>
                      <c:pt idx="15">
                        <c:v>26.268771665191878</c:v>
                      </c:pt>
                      <c:pt idx="16">
                        <c:v>24.510386360992399</c:v>
                      </c:pt>
                      <c:pt idx="17">
                        <c:v>22.692621044653638</c:v>
                      </c:pt>
                      <c:pt idx="18">
                        <c:v>20.835139146698126</c:v>
                      </c:pt>
                      <c:pt idx="19">
                        <c:v>18.959746113615498</c:v>
                      </c:pt>
                      <c:pt idx="20">
                        <c:v>17.089665955216162</c:v>
                      </c:pt>
                      <c:pt idx="21">
                        <c:v>15.248706723064512</c:v>
                      </c:pt>
                      <c:pt idx="22">
                        <c:v>13.460354446895343</c:v>
                      </c:pt>
                      <c:pt idx="23">
                        <c:v>11.746844897182507</c:v>
                      </c:pt>
                      <c:pt idx="24">
                        <c:v>10.12826916052393</c:v>
                      </c:pt>
                      <c:pt idx="25">
                        <c:v>8.621771256132023</c:v>
                      </c:pt>
                      <c:pt idx="26">
                        <c:v>7.2408930788290125</c:v>
                      </c:pt>
                      <c:pt idx="27">
                        <c:v>5.9951135392617392</c:v>
                      </c:pt>
                      <c:pt idx="28">
                        <c:v>4.8896152446426333</c:v>
                      </c:pt>
                      <c:pt idx="29">
                        <c:v>3.9252944745649367</c:v>
                      </c:pt>
                      <c:pt idx="30">
                        <c:v>3.0990102420795904</c:v>
                      </c:pt>
                      <c:pt idx="31">
                        <c:v>2.4040480401691622</c:v>
                      </c:pt>
                      <c:pt idx="32">
                        <c:v>1.8307558018922769</c:v>
                      </c:pt>
                      <c:pt idx="33">
                        <c:v>1.3672958512188125</c:v>
                      </c:pt>
                      <c:pt idx="34">
                        <c:v>1.0004489050503345</c:v>
                      </c:pt>
                      <c:pt idx="35">
                        <c:v>0.7164054369769346</c:v>
                      </c:pt>
                      <c:pt idx="36">
                        <c:v>0.50148590025051154</c:v>
                      </c:pt>
                      <c:pt idx="37">
                        <c:v>0.34274342003359365</c:v>
                      </c:pt>
                      <c:pt idx="38">
                        <c:v>0.22841876483050727</c:v>
                      </c:pt>
                      <c:pt idx="39">
                        <c:v>0.14823533554085341</c:v>
                      </c:pt>
                      <c:pt idx="40">
                        <c:v>9.3539091939623092E-2</c:v>
                      </c:pt>
                      <c:pt idx="41">
                        <c:v>3.8842848338392771E-2</c:v>
                      </c:pt>
                      <c:pt idx="42">
                        <c:v>-1.585339526283755E-2</c:v>
                      </c:pt>
                      <c:pt idx="43">
                        <c:v>-7.0549638864067871E-2</c:v>
                      </c:pt>
                      <c:pt idx="44">
                        <c:v>-0.12524588246529819</c:v>
                      </c:pt>
                      <c:pt idx="45">
                        <c:v>-0.17994212606652851</c:v>
                      </c:pt>
                      <c:pt idx="46">
                        <c:v>-0.23463836966775883</c:v>
                      </c:pt>
                      <c:pt idx="47">
                        <c:v>-0.28933461326898913</c:v>
                      </c:pt>
                      <c:pt idx="48">
                        <c:v>-0.34403085687021939</c:v>
                      </c:pt>
                      <c:pt idx="49">
                        <c:v>-0.39872710047144966</c:v>
                      </c:pt>
                      <c:pt idx="50">
                        <c:v>-0.45342334407267992</c:v>
                      </c:pt>
                      <c:pt idx="51">
                        <c:v>-0.50811958767391019</c:v>
                      </c:pt>
                      <c:pt idx="52">
                        <c:v>-0.56281583127514045</c:v>
                      </c:pt>
                      <c:pt idx="53">
                        <c:v>-0.61751207487637072</c:v>
                      </c:pt>
                      <c:pt idx="54">
                        <c:v>-0.67220831847760099</c:v>
                      </c:pt>
                      <c:pt idx="55">
                        <c:v>-0.72690456207883125</c:v>
                      </c:pt>
                      <c:pt idx="56">
                        <c:v>-0.78160080568006152</c:v>
                      </c:pt>
                      <c:pt idx="57">
                        <c:v>-0.83629704928129178</c:v>
                      </c:pt>
                      <c:pt idx="58">
                        <c:v>-0.89099329288252205</c:v>
                      </c:pt>
                      <c:pt idx="59">
                        <c:v>-0.94568953648375231</c:v>
                      </c:pt>
                      <c:pt idx="60">
                        <c:v>-1.0003857800849825</c:v>
                      </c:pt>
                      <c:pt idx="61">
                        <c:v>-1.0550820236862126</c:v>
                      </c:pt>
                      <c:pt idx="62">
                        <c:v>-1.1097782672874428</c:v>
                      </c:pt>
                      <c:pt idx="63">
                        <c:v>-1.1644745108886729</c:v>
                      </c:pt>
                      <c:pt idx="64">
                        <c:v>-1.2191707544899031</c:v>
                      </c:pt>
                      <c:pt idx="65">
                        <c:v>-1.2738669980911332</c:v>
                      </c:pt>
                      <c:pt idx="66">
                        <c:v>-1.3285632416923634</c:v>
                      </c:pt>
                      <c:pt idx="67">
                        <c:v>-1.3832594852935935</c:v>
                      </c:pt>
                      <c:pt idx="68">
                        <c:v>-1.4379557288948237</c:v>
                      </c:pt>
                      <c:pt idx="69">
                        <c:v>-1.4926519724960539</c:v>
                      </c:pt>
                      <c:pt idx="70">
                        <c:v>-1.5</c:v>
                      </c:pt>
                      <c:pt idx="71">
                        <c:v>-1.5</c:v>
                      </c:pt>
                      <c:pt idx="72">
                        <c:v>-1.5</c:v>
                      </c:pt>
                      <c:pt idx="73">
                        <c:v>-1.5</c:v>
                      </c:pt>
                      <c:pt idx="74">
                        <c:v>-1.5</c:v>
                      </c:pt>
                      <c:pt idx="75">
                        <c:v>-1.5</c:v>
                      </c:pt>
                      <c:pt idx="76">
                        <c:v>-1.5</c:v>
                      </c:pt>
                      <c:pt idx="77">
                        <c:v>-1.5</c:v>
                      </c:pt>
                      <c:pt idx="78">
                        <c:v>-1.5</c:v>
                      </c:pt>
                      <c:pt idx="79">
                        <c:v>-1.5</c:v>
                      </c:pt>
                      <c:pt idx="80">
                        <c:v>-1.5</c:v>
                      </c:pt>
                      <c:pt idx="81">
                        <c:v>-1.5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path'!$N$4:$O$4</c15:sqref>
                        </c15:formulaRef>
                      </c:ext>
                    </c:extLst>
                    <c:strCache>
                      <c:ptCount val="1"/>
                      <c:pt idx="0">
                        <c:v>6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'global path'!$N$6:$N$87</c15:sqref>
                        </c15:formulaRef>
                      </c:ext>
                    </c:extLst>
                    <c:numCache>
                      <c:formatCode>0.0</c:formatCode>
                      <c:ptCount val="82"/>
                      <c:pt idx="0">
                        <c:v>41.727717101305259</c:v>
                      </c:pt>
                      <c:pt idx="1">
                        <c:v>41.722500253745011</c:v>
                      </c:pt>
                      <c:pt idx="2">
                        <c:v>41.324846841733802</c:v>
                      </c:pt>
                      <c:pt idx="3">
                        <c:v>40.44885506213086</c:v>
                      </c:pt>
                      <c:pt idx="4">
                        <c:v>39.211928826283724</c:v>
                      </c:pt>
                      <c:pt idx="5">
                        <c:v>37.710544080048294</c:v>
                      </c:pt>
                      <c:pt idx="6">
                        <c:v>36.023539206343401</c:v>
                      </c:pt>
                      <c:pt idx="7">
                        <c:v>34.214921909514317</c:v>
                      </c:pt>
                      <c:pt idx="8">
                        <c:v>32.336260687942115</c:v>
                      </c:pt>
                      <c:pt idx="9">
                        <c:v>30.428719682649842</c:v>
                      </c:pt>
                      <c:pt idx="10">
                        <c:v>28.524787619336962</c:v>
                      </c:pt>
                      <c:pt idx="11">
                        <c:v>26.649744574716294</c:v>
                      </c:pt>
                      <c:pt idx="12">
                        <c:v>24.822904252114256</c:v>
                      </c:pt>
                      <c:pt idx="13">
                        <c:v>23.058664221551226</c:v>
                      </c:pt>
                      <c:pt idx="14">
                        <c:v>21.367392057702119</c:v>
                      </c:pt>
                      <c:pt idx="15">
                        <c:v>19.75617140119482</c:v>
                      </c:pt>
                      <c:pt idx="16">
                        <c:v>18.229428592871983</c:v>
                      </c:pt>
                      <c:pt idx="17">
                        <c:v>16.789457615897675</c:v>
                      </c:pt>
                      <c:pt idx="18">
                        <c:v>15.436858565261133</c:v>
                      </c:pt>
                      <c:pt idx="19">
                        <c:v>14.170902694727374</c:v>
                      </c:pt>
                      <c:pt idx="20">
                        <c:v>12.98983522113852</c:v>
                      </c:pt>
                      <c:pt idx="21">
                        <c:v>11.891125454804225</c:v>
                      </c:pt>
                      <c:pt idx="22">
                        <c:v>10.87167243755033</c:v>
                      </c:pt>
                      <c:pt idx="23">
                        <c:v>9.9279730764472731</c:v>
                      </c:pt>
                      <c:pt idx="24">
                        <c:v>9.0562587349996022</c:v>
                      </c:pt>
                      <c:pt idx="25">
                        <c:v>8.2526053618284294</c:v>
                      </c:pt>
                      <c:pt idx="26">
                        <c:v>7.5130214798618482</c:v>
                      </c:pt>
                      <c:pt idx="27">
                        <c:v>6.8335177096385138</c:v>
                      </c:pt>
                      <c:pt idx="28">
                        <c:v>6.2101609437127152</c:v>
                      </c:pt>
                      <c:pt idx="29">
                        <c:v>5.6391158125016432</c:v>
                      </c:pt>
                      <c:pt idx="30">
                        <c:v>5.1166756741380013</c:v>
                      </c:pt>
                      <c:pt idx="31">
                        <c:v>4.639285012398922</c:v>
                      </c:pt>
                      <c:pt idx="32">
                        <c:v>4.2035548292778415</c:v>
                      </c:pt>
                      <c:pt idx="33">
                        <c:v>3.8062723650917434</c:v>
                      </c:pt>
                      <c:pt idx="34">
                        <c:v>3.4444062629878403</c:v>
                      </c:pt>
                      <c:pt idx="35">
                        <c:v>3.1151081109916525</c:v>
                      </c:pt>
                      <c:pt idx="36">
                        <c:v>2.8157111387236675</c:v>
                      </c:pt>
                      <c:pt idx="37">
                        <c:v>2.5437267136311341</c:v>
                      </c:pt>
                      <c:pt idx="38">
                        <c:v>2.2968391696203163</c:v>
                      </c:pt>
                      <c:pt idx="39">
                        <c:v>2.0728994063868385</c:v>
                      </c:pt>
                      <c:pt idx="40">
                        <c:v>1.8699176179930461</c:v>
                      </c:pt>
                      <c:pt idx="41">
                        <c:v>1.686055442158418</c:v>
                      </c:pt>
                      <c:pt idx="42">
                        <c:v>1.5196177654339209</c:v>
                      </c:pt>
                      <c:pt idx="43">
                        <c:v>1.3690443723224544</c:v>
                      </c:pt>
                      <c:pt idx="44">
                        <c:v>1.2329015871029192</c:v>
                      </c:pt>
                      <c:pt idx="45">
                        <c:v>1.109874024435479</c:v>
                      </c:pt>
                      <c:pt idx="46">
                        <c:v>0.99875653775676554</c:v>
                      </c:pt>
                      <c:pt idx="47">
                        <c:v>0.89844643215066444</c:v>
                      </c:pt>
                      <c:pt idx="48">
                        <c:v>0.80793599006393535</c:v>
                      </c:pt>
                      <c:pt idx="49">
                        <c:v>0.72630534329209517</c:v>
                      </c:pt>
                      <c:pt idx="50">
                        <c:v>0.65271571255333249</c:v>
                      </c:pt>
                      <c:pt idx="51">
                        <c:v>0.58640302623625207</c:v>
                      </c:pt>
                      <c:pt idx="52">
                        <c:v>0.52667192216117442</c:v>
                      </c:pt>
                      <c:pt idx="53">
                        <c:v>0.47289013010306835</c:v>
                      </c:pt>
                      <c:pt idx="54">
                        <c:v>0.42448322810567429</c:v>
                      </c:pt>
                      <c:pt idx="55">
                        <c:v>0.38092976203316153</c:v>
                      </c:pt>
                      <c:pt idx="56">
                        <c:v>0.34175671515642225</c:v>
                      </c:pt>
                      <c:pt idx="57">
                        <c:v>0.30653531268678424</c:v>
                      </c:pt>
                      <c:pt idx="58">
                        <c:v>0.27487714490706949</c:v>
                      </c:pt>
                      <c:pt idx="59">
                        <c:v>0.24643059178962146</c:v>
                      </c:pt>
                      <c:pt idx="60">
                        <c:v>0.22087753163225221</c:v>
                      </c:pt>
                      <c:pt idx="61">
                        <c:v>0.19793031620282409</c:v>
                      </c:pt>
                      <c:pt idx="62">
                        <c:v>0.17732899509155997</c:v>
                      </c:pt>
                      <c:pt idx="63">
                        <c:v>0.1588387723695095</c:v>
                      </c:pt>
                      <c:pt idx="64">
                        <c:v>0.14224767919457659</c:v>
                      </c:pt>
                      <c:pt idx="65">
                        <c:v>0.12736444665370228</c:v>
                      </c:pt>
                      <c:pt idx="66">
                        <c:v>0.11401656384966297</c:v>
                      </c:pt>
                      <c:pt idx="67">
                        <c:v>0.10204850700748014</c:v>
                      </c:pt>
                      <c:pt idx="68">
                        <c:v>9.1320126167777516E-2</c:v>
                      </c:pt>
                      <c:pt idx="69">
                        <c:v>8.1705176836352256E-2</c:v>
                      </c:pt>
                      <c:pt idx="70">
                        <c:v>7.3089984757111703E-2</c:v>
                      </c:pt>
                      <c:pt idx="71">
                        <c:v>6.5372232760000704E-2</c:v>
                      </c:pt>
                      <c:pt idx="72">
                        <c:v>5.8459859398122205E-2</c:v>
                      </c:pt>
                      <c:pt idx="73">
                        <c:v>5.2270059823966819E-2</c:v>
                      </c:pt>
                      <c:pt idx="74">
                        <c:v>4.6728380058784935E-2</c:v>
                      </c:pt>
                      <c:pt idx="75">
                        <c:v>4.1767896479465549E-2</c:v>
                      </c:pt>
                      <c:pt idx="76">
                        <c:v>3.7328472981704164E-2</c:v>
                      </c:pt>
                      <c:pt idx="77">
                        <c:v>3.335608887623559E-2</c:v>
                      </c:pt>
                      <c:pt idx="78">
                        <c:v>2.9802231136209362E-2</c:v>
                      </c:pt>
                      <c:pt idx="79">
                        <c:v>2.6623345138737514E-2</c:v>
                      </c:pt>
                      <c:pt idx="80">
                        <c:v>2.3780338533235384E-2</c:v>
                      </c:pt>
                      <c:pt idx="81">
                        <c:v>2.1238133324281011E-2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2792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6104"/>
        <c:crosses val="autoZero"/>
        <c:auto val="1"/>
        <c:lblAlgn val="ctr"/>
        <c:lblOffset val="100"/>
        <c:tickLblSkip val="8"/>
        <c:noMultiLvlLbl val="0"/>
      </c:catAx>
      <c:valAx>
        <c:axId val="52792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Gt CO</a:t>
                </a:r>
                <a:r>
                  <a:rPr lang="de-DE" baseline="-25000"/>
                  <a:t>2</a:t>
                </a:r>
              </a:p>
            </c:rich>
          </c:tx>
          <c:layout>
            <c:manualLayout>
              <c:xMode val="edge"/>
              <c:yMode val="edge"/>
              <c:x val="2.089045567306437E-2"/>
              <c:y val="0.453071050977782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49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 in the convergence year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RF!$A$9:$A$40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RF!$N$9:$N$40</c:f>
              <c:numCache>
                <c:formatCode>0.0%</c:formatCode>
                <c:ptCount val="32"/>
                <c:pt idx="0">
                  <c:v>0</c:v>
                </c:pt>
                <c:pt idx="1">
                  <c:v>2.2385543770506142E-2</c:v>
                </c:pt>
                <c:pt idx="2">
                  <c:v>4.7922344982710939E-2</c:v>
                </c:pt>
                <c:pt idx="3">
                  <c:v>7.6379802886448481E-2</c:v>
                </c:pt>
                <c:pt idx="4">
                  <c:v>0.10750318018889754</c:v>
                </c:pt>
                <c:pt idx="5">
                  <c:v>0.14101742901974829</c:v>
                </c:pt>
                <c:pt idx="6">
                  <c:v>0.17663127357827585</c:v>
                </c:pt>
                <c:pt idx="7">
                  <c:v>0.21404146395620041</c:v>
                </c:pt>
                <c:pt idx="8">
                  <c:v>0.25293711340886865</c:v>
                </c:pt>
                <c:pt idx="9">
                  <c:v>0.29300403147308646</c:v>
                </c:pt>
                <c:pt idx="10">
                  <c:v>0.33392896775220821</c:v>
                </c:pt>
                <c:pt idx="11">
                  <c:v>0.3754036857828601</c:v>
                </c:pt>
                <c:pt idx="12">
                  <c:v>0.41712879296959604</c:v>
                </c:pt>
                <c:pt idx="13">
                  <c:v>0.45881726087077052</c:v>
                </c:pt>
                <c:pt idx="14">
                  <c:v>0.50019757983880486</c:v>
                </c:pt>
                <c:pt idx="15">
                  <c:v>0.54101650282200164</c:v>
                </c:pt>
                <c:pt idx="16">
                  <c:v>0.58104134466106461</c:v>
                </c:pt>
                <c:pt idx="17">
                  <c:v>0.62006181509012759</c:v>
                </c:pt>
                <c:pt idx="18">
                  <c:v>0.6578913755124578</c:v>
                </c:pt>
                <c:pt idx="19">
                  <c:v>0.69436812111564794</c:v>
                </c:pt>
                <c:pt idx="20">
                  <c:v>0.72935520069993631</c:v>
                </c:pt>
                <c:pt idx="21">
                  <c:v>0.7627407964355799</c:v>
                </c:pt>
                <c:pt idx="22">
                  <c:v>0.79443769440769341</c:v>
                </c:pt>
                <c:pt idx="23">
                  <c:v>0.82438248406963965</c:v>
                </c:pt>
                <c:pt idx="24">
                  <c:v>0.85253443048540423</c:v>
                </c:pt>
                <c:pt idx="25">
                  <c:v>0.87887406743140994</c:v>
                </c:pt>
                <c:pt idx="26">
                  <c:v>0.90340156203896227</c:v>
                </c:pt>
                <c:pt idx="27">
                  <c:v>0.9261349027325414</c:v>
                </c:pt>
                <c:pt idx="28">
                  <c:v>0.94710796184625068</c:v>
                </c:pt>
                <c:pt idx="29">
                  <c:v>0.96636848261105146</c:v>
                </c:pt>
                <c:pt idx="30">
                  <c:v>0.98397603736158423</c:v>
                </c:pt>
                <c:pt idx="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21008"/>
        <c:axId val="527921792"/>
      </c:lineChart>
      <c:catAx>
        <c:axId val="52792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1792"/>
        <c:crosses val="autoZero"/>
        <c:auto val="1"/>
        <c:lblAlgn val="ctr"/>
        <c:lblOffset val="100"/>
        <c:noMultiLvlLbl val="0"/>
      </c:catAx>
      <c:valAx>
        <c:axId val="52792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9210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'C&amp;C-exp'!$A$12:$A$42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'C&amp;C-exp'!$N$12:$N$42</c:f>
              <c:numCache>
                <c:formatCode>0.0%</c:formatCode>
                <c:ptCount val="31"/>
                <c:pt idx="0">
                  <c:v>2.0838193670452695E-2</c:v>
                </c:pt>
                <c:pt idx="1">
                  <c:v>2.3708171911730948E-2</c:v>
                </c:pt>
                <c:pt idx="2">
                  <c:v>2.6973423142389763E-2</c:v>
                </c:pt>
                <c:pt idx="3">
                  <c:v>3.0688387056043043E-2</c:v>
                </c:pt>
                <c:pt idx="4">
                  <c:v>3.4915001152429612E-2</c:v>
                </c:pt>
                <c:pt idx="5">
                  <c:v>3.9723733386441029E-2</c:v>
                </c:pt>
                <c:pt idx="6">
                  <c:v>4.5194757040620724E-2</c:v>
                </c:pt>
                <c:pt idx="7">
                  <c:v>5.1419287409121751E-2</c:v>
                </c:pt>
                <c:pt idx="8">
                  <c:v>5.8501102578901121E-2</c:v>
                </c:pt>
                <c:pt idx="9">
                  <c:v>6.6558273663278794E-2</c:v>
                </c:pt>
                <c:pt idx="10">
                  <c:v>7.5725133335070319E-2</c:v>
                </c:pt>
                <c:pt idx="11">
                  <c:v>8.6154515479536453E-2</c:v>
                </c:pt>
                <c:pt idx="12">
                  <c:v>9.8020303307621723E-2</c:v>
                </c:pt>
                <c:pt idx="13">
                  <c:v>0.11152032841273718</c:v>
                </c:pt>
                <c:pt idx="14">
                  <c:v>0.12687966910542819</c:v>
                </c:pt>
                <c:pt idx="15">
                  <c:v>0.1443544030172017</c:v>
                </c:pt>
                <c:pt idx="16">
                  <c:v>0.16423587653856192</c:v>
                </c:pt>
                <c:pt idx="17">
                  <c:v>0.18685556227318903</c:v>
                </c:pt>
                <c:pt idx="18">
                  <c:v>0.21259058549385654</c:v>
                </c:pt>
                <c:pt idx="19">
                  <c:v>0.24187001173957287</c:v>
                </c:pt>
                <c:pt idx="20">
                  <c:v>0.27518200038351037</c:v>
                </c:pt>
                <c:pt idx="21">
                  <c:v>0.3130819434391286</c:v>
                </c:pt>
                <c:pt idx="22">
                  <c:v>0.35620172529821947</c:v>
                </c:pt>
                <c:pt idx="23">
                  <c:v>0.40526025778326935</c:v>
                </c:pt>
                <c:pt idx="24">
                  <c:v>0.4610754661591272</c:v>
                </c:pt>
                <c:pt idx="25">
                  <c:v>0.52457792593999841</c:v>
                </c:pt>
                <c:pt idx="26">
                  <c:v>0.59682637785056003</c:v>
                </c:pt>
                <c:pt idx="27">
                  <c:v>0.67902537961340381</c:v>
                </c:pt>
                <c:pt idx="28">
                  <c:v>0.77254538886110746</c:v>
                </c:pt>
                <c:pt idx="29">
                  <c:v>0.87894561200401233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5112"/>
        <c:axId val="527653936"/>
      </c:lineChart>
      <c:catAx>
        <c:axId val="52765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3936"/>
        <c:crosses val="autoZero"/>
        <c:auto val="1"/>
        <c:lblAlgn val="ctr"/>
        <c:lblOffset val="100"/>
        <c:noMultiLvlLbl val="0"/>
      </c:catAx>
      <c:valAx>
        <c:axId val="52765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51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'C&amp;C-lin'!$A$9:$A$39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'C&amp;C-lin'!$N$9:$N$39</c:f>
              <c:numCache>
                <c:formatCode>0.0%</c:formatCode>
                <c:ptCount val="31"/>
                <c:pt idx="0">
                  <c:v>3.2258064516129031E-2</c:v>
                </c:pt>
                <c:pt idx="1">
                  <c:v>6.4516129032258063E-2</c:v>
                </c:pt>
                <c:pt idx="2">
                  <c:v>9.6774193548387094E-2</c:v>
                </c:pt>
                <c:pt idx="3">
                  <c:v>0.12903225806451613</c:v>
                </c:pt>
                <c:pt idx="4">
                  <c:v>0.16129032258064516</c:v>
                </c:pt>
                <c:pt idx="5">
                  <c:v>0.19354838709677419</c:v>
                </c:pt>
                <c:pt idx="6">
                  <c:v>0.22580645161290322</c:v>
                </c:pt>
                <c:pt idx="7">
                  <c:v>0.25806451612903225</c:v>
                </c:pt>
                <c:pt idx="8">
                  <c:v>0.29032258064516131</c:v>
                </c:pt>
                <c:pt idx="9">
                  <c:v>0.32258064516129031</c:v>
                </c:pt>
                <c:pt idx="10">
                  <c:v>0.35483870967741937</c:v>
                </c:pt>
                <c:pt idx="11">
                  <c:v>0.38709677419354838</c:v>
                </c:pt>
                <c:pt idx="12">
                  <c:v>0.41935483870967744</c:v>
                </c:pt>
                <c:pt idx="13">
                  <c:v>0.45161290322580644</c:v>
                </c:pt>
                <c:pt idx="14">
                  <c:v>0.4838709677419355</c:v>
                </c:pt>
                <c:pt idx="15">
                  <c:v>0.5161290322580645</c:v>
                </c:pt>
                <c:pt idx="16">
                  <c:v>0.54838709677419351</c:v>
                </c:pt>
                <c:pt idx="17">
                  <c:v>0.58064516129032262</c:v>
                </c:pt>
                <c:pt idx="18">
                  <c:v>0.61290322580645162</c:v>
                </c:pt>
                <c:pt idx="19">
                  <c:v>0.64516129032258063</c:v>
                </c:pt>
                <c:pt idx="20">
                  <c:v>0.67741935483870963</c:v>
                </c:pt>
                <c:pt idx="21">
                  <c:v>0.70967741935483875</c:v>
                </c:pt>
                <c:pt idx="22">
                  <c:v>0.74193548387096775</c:v>
                </c:pt>
                <c:pt idx="23">
                  <c:v>0.77419354838709675</c:v>
                </c:pt>
                <c:pt idx="24">
                  <c:v>0.80645161290322576</c:v>
                </c:pt>
                <c:pt idx="25">
                  <c:v>0.83870967741935487</c:v>
                </c:pt>
                <c:pt idx="26">
                  <c:v>0.87096774193548387</c:v>
                </c:pt>
                <c:pt idx="27">
                  <c:v>0.90322580645161288</c:v>
                </c:pt>
                <c:pt idx="28">
                  <c:v>0.93548387096774188</c:v>
                </c:pt>
                <c:pt idx="29">
                  <c:v>0.967741935483871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4720"/>
        <c:axId val="527652760"/>
      </c:lineChart>
      <c:catAx>
        <c:axId val="52765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2760"/>
        <c:crosses val="autoZero"/>
        <c:auto val="1"/>
        <c:lblAlgn val="ctr"/>
        <c:lblOffset val="100"/>
        <c:noMultiLvlLbl val="0"/>
      </c:catAx>
      <c:valAx>
        <c:axId val="52765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472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CDC!$A$13:$A$43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CDC!$AH$13:$AH$43</c:f>
              <c:numCache>
                <c:formatCode>0.0%</c:formatCode>
                <c:ptCount val="31"/>
                <c:pt idx="0">
                  <c:v>2.0838193670452695E-2</c:v>
                </c:pt>
                <c:pt idx="1">
                  <c:v>2.3708171911730948E-2</c:v>
                </c:pt>
                <c:pt idx="2">
                  <c:v>2.6973423142389763E-2</c:v>
                </c:pt>
                <c:pt idx="3">
                  <c:v>3.0688387056043043E-2</c:v>
                </c:pt>
                <c:pt idx="4">
                  <c:v>3.4915001152429612E-2</c:v>
                </c:pt>
                <c:pt idx="5">
                  <c:v>3.9723733386441029E-2</c:v>
                </c:pt>
                <c:pt idx="6">
                  <c:v>4.5194757040620724E-2</c:v>
                </c:pt>
                <c:pt idx="7">
                  <c:v>5.1419287409121751E-2</c:v>
                </c:pt>
                <c:pt idx="8">
                  <c:v>5.8501102578901121E-2</c:v>
                </c:pt>
                <c:pt idx="9">
                  <c:v>6.6558273663278794E-2</c:v>
                </c:pt>
                <c:pt idx="10">
                  <c:v>7.5725133335070319E-2</c:v>
                </c:pt>
                <c:pt idx="11">
                  <c:v>8.6154515479536453E-2</c:v>
                </c:pt>
                <c:pt idx="12">
                  <c:v>9.8020303307621723E-2</c:v>
                </c:pt>
                <c:pt idx="13">
                  <c:v>0.11152032841273718</c:v>
                </c:pt>
                <c:pt idx="14">
                  <c:v>0.12687966910542819</c:v>
                </c:pt>
                <c:pt idx="15">
                  <c:v>0.1443544030172017</c:v>
                </c:pt>
                <c:pt idx="16">
                  <c:v>0.16423587653856192</c:v>
                </c:pt>
                <c:pt idx="17">
                  <c:v>0.18685556227318903</c:v>
                </c:pt>
                <c:pt idx="18">
                  <c:v>0.21259058549385654</c:v>
                </c:pt>
                <c:pt idx="19">
                  <c:v>0.24187001173957287</c:v>
                </c:pt>
                <c:pt idx="20">
                  <c:v>0.27518200038351037</c:v>
                </c:pt>
                <c:pt idx="21">
                  <c:v>0.3130819434391286</c:v>
                </c:pt>
                <c:pt idx="22">
                  <c:v>0.35620172529821947</c:v>
                </c:pt>
                <c:pt idx="23">
                  <c:v>0.40526025778326935</c:v>
                </c:pt>
                <c:pt idx="24">
                  <c:v>0.4610754661591272</c:v>
                </c:pt>
                <c:pt idx="25">
                  <c:v>0.52457792593999841</c:v>
                </c:pt>
                <c:pt idx="26">
                  <c:v>0.59682637785056003</c:v>
                </c:pt>
                <c:pt idx="27">
                  <c:v>0.67902537961340381</c:v>
                </c:pt>
                <c:pt idx="28">
                  <c:v>0.77254538886110746</c:v>
                </c:pt>
                <c:pt idx="29">
                  <c:v>0.87894561200401233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60208"/>
        <c:axId val="527659816"/>
      </c:lineChart>
      <c:catAx>
        <c:axId val="52766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9816"/>
        <c:crosses val="autoZero"/>
        <c:auto val="1"/>
        <c:lblAlgn val="ctr"/>
        <c:lblOffset val="100"/>
        <c:noMultiLvlLbl val="0"/>
      </c:catAx>
      <c:valAx>
        <c:axId val="52765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602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'G-C&amp;C'!$A$9:$A$39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'G-C&amp;C'!$P$9:$P$39</c:f>
              <c:numCache>
                <c:formatCode>0.0%</c:formatCode>
                <c:ptCount val="31"/>
                <c:pt idx="0">
                  <c:v>0.05</c:v>
                </c:pt>
                <c:pt idx="1">
                  <c:v>6.4516129032258063E-2</c:v>
                </c:pt>
                <c:pt idx="2">
                  <c:v>9.6774193548387094E-2</c:v>
                </c:pt>
                <c:pt idx="3">
                  <c:v>0.12903225806451613</c:v>
                </c:pt>
                <c:pt idx="4">
                  <c:v>0.16129032258064516</c:v>
                </c:pt>
                <c:pt idx="5">
                  <c:v>0.19354838709677419</c:v>
                </c:pt>
                <c:pt idx="6">
                  <c:v>0.22580645161290322</c:v>
                </c:pt>
                <c:pt idx="7">
                  <c:v>0.25806451612903225</c:v>
                </c:pt>
                <c:pt idx="8">
                  <c:v>0.29032258064516131</c:v>
                </c:pt>
                <c:pt idx="9">
                  <c:v>0.32258064516129031</c:v>
                </c:pt>
                <c:pt idx="10">
                  <c:v>0.35483870967741937</c:v>
                </c:pt>
                <c:pt idx="11">
                  <c:v>0.38709677419354838</c:v>
                </c:pt>
                <c:pt idx="12">
                  <c:v>0.41935483870967744</c:v>
                </c:pt>
                <c:pt idx="13">
                  <c:v>0.45161290322580644</c:v>
                </c:pt>
                <c:pt idx="14">
                  <c:v>0.4838709677419355</c:v>
                </c:pt>
                <c:pt idx="15">
                  <c:v>0.5161290322580645</c:v>
                </c:pt>
                <c:pt idx="16">
                  <c:v>0.54838709677419351</c:v>
                </c:pt>
                <c:pt idx="17">
                  <c:v>0.58064516129032262</c:v>
                </c:pt>
                <c:pt idx="18">
                  <c:v>0.61290322580645162</c:v>
                </c:pt>
                <c:pt idx="19">
                  <c:v>0.64516129032258063</c:v>
                </c:pt>
                <c:pt idx="20">
                  <c:v>0.67741935483870963</c:v>
                </c:pt>
                <c:pt idx="21">
                  <c:v>0.70967741935483875</c:v>
                </c:pt>
                <c:pt idx="22">
                  <c:v>0.74193548387096775</c:v>
                </c:pt>
                <c:pt idx="23">
                  <c:v>0.77419354838709675</c:v>
                </c:pt>
                <c:pt idx="24">
                  <c:v>0.80645161290322576</c:v>
                </c:pt>
                <c:pt idx="25">
                  <c:v>0.83870967741935487</c:v>
                </c:pt>
                <c:pt idx="26">
                  <c:v>0.87096774193548387</c:v>
                </c:pt>
                <c:pt idx="27">
                  <c:v>0.90322580645161288</c:v>
                </c:pt>
                <c:pt idx="28">
                  <c:v>0.93548387096774188</c:v>
                </c:pt>
                <c:pt idx="29">
                  <c:v>0.967741935483871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9032"/>
        <c:axId val="527655504"/>
      </c:lineChart>
      <c:catAx>
        <c:axId val="527659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5504"/>
        <c:crosses val="autoZero"/>
        <c:auto val="1"/>
        <c:lblAlgn val="ctr"/>
        <c:lblOffset val="100"/>
        <c:noMultiLvlLbl val="0"/>
      </c:catAx>
      <c:valAx>
        <c:axId val="52765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903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LIMITS!$A$9:$A$39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LIMITS!$N$9:$N$39</c:f>
              <c:numCache>
                <c:formatCode>0.0%</c:formatCode>
                <c:ptCount val="31"/>
                <c:pt idx="0">
                  <c:v>3.2258064516129031E-2</c:v>
                </c:pt>
                <c:pt idx="1">
                  <c:v>6.4516129032258063E-2</c:v>
                </c:pt>
                <c:pt idx="2">
                  <c:v>9.6774193548387094E-2</c:v>
                </c:pt>
                <c:pt idx="3">
                  <c:v>0.12903225806451613</c:v>
                </c:pt>
                <c:pt idx="4">
                  <c:v>0.16129032258064516</c:v>
                </c:pt>
                <c:pt idx="5">
                  <c:v>0.19354838709677419</c:v>
                </c:pt>
                <c:pt idx="6">
                  <c:v>0.22580645161290322</c:v>
                </c:pt>
                <c:pt idx="7">
                  <c:v>0.25806451612903225</c:v>
                </c:pt>
                <c:pt idx="8">
                  <c:v>0.29032258064516131</c:v>
                </c:pt>
                <c:pt idx="9">
                  <c:v>0.32258064516129031</c:v>
                </c:pt>
                <c:pt idx="10">
                  <c:v>0.35483870967741937</c:v>
                </c:pt>
                <c:pt idx="11">
                  <c:v>0.38709677419354838</c:v>
                </c:pt>
                <c:pt idx="12">
                  <c:v>0.41935483870967744</c:v>
                </c:pt>
                <c:pt idx="13">
                  <c:v>0.45161290322580644</c:v>
                </c:pt>
                <c:pt idx="14">
                  <c:v>0.4838709677419355</c:v>
                </c:pt>
                <c:pt idx="15">
                  <c:v>0.5161290322580645</c:v>
                </c:pt>
                <c:pt idx="16">
                  <c:v>0.54838709677419351</c:v>
                </c:pt>
                <c:pt idx="17">
                  <c:v>0.58064516129032262</c:v>
                </c:pt>
                <c:pt idx="18">
                  <c:v>0.61290322580645162</c:v>
                </c:pt>
                <c:pt idx="19">
                  <c:v>0.64516129032258063</c:v>
                </c:pt>
                <c:pt idx="20">
                  <c:v>0.67741935483870963</c:v>
                </c:pt>
                <c:pt idx="21">
                  <c:v>0.70967741935483875</c:v>
                </c:pt>
                <c:pt idx="22">
                  <c:v>0.74193548387096775</c:v>
                </c:pt>
                <c:pt idx="23">
                  <c:v>0.77419354838709675</c:v>
                </c:pt>
                <c:pt idx="24">
                  <c:v>0.80645161290322576</c:v>
                </c:pt>
                <c:pt idx="25">
                  <c:v>0.83870967741935487</c:v>
                </c:pt>
                <c:pt idx="26">
                  <c:v>0.87096774193548387</c:v>
                </c:pt>
                <c:pt idx="27">
                  <c:v>0.90322580645161288</c:v>
                </c:pt>
                <c:pt idx="28">
                  <c:v>0.93548387096774188</c:v>
                </c:pt>
                <c:pt idx="29">
                  <c:v>0.967741935483871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8248"/>
        <c:axId val="527655896"/>
      </c:lineChart>
      <c:catAx>
        <c:axId val="5276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5896"/>
        <c:crosses val="autoZero"/>
        <c:auto val="1"/>
        <c:lblAlgn val="ctr"/>
        <c:lblOffset val="100"/>
        <c:noMultiLvlLbl val="0"/>
      </c:catAx>
      <c:valAx>
        <c:axId val="52765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824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GQWF!$A$21:$A$52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GQWF!$N$21:$N$52</c:f>
              <c:numCache>
                <c:formatCode>0.0%</c:formatCode>
                <c:ptCount val="32"/>
                <c:pt idx="0">
                  <c:v>0</c:v>
                </c:pt>
                <c:pt idx="1">
                  <c:v>3.9999999999999994E-2</c:v>
                </c:pt>
                <c:pt idx="2">
                  <c:v>7.9483870967741926E-2</c:v>
                </c:pt>
                <c:pt idx="3">
                  <c:v>0.11845161290322578</c:v>
                </c:pt>
                <c:pt idx="4">
                  <c:v>0.15690322580645158</c:v>
                </c:pt>
                <c:pt idx="5">
                  <c:v>0.19483870967741931</c:v>
                </c:pt>
                <c:pt idx="6">
                  <c:v>0.23225806451612899</c:v>
                </c:pt>
                <c:pt idx="7">
                  <c:v>0.26916129032258063</c:v>
                </c:pt>
                <c:pt idx="8">
                  <c:v>0.30554838709677412</c:v>
                </c:pt>
                <c:pt idx="9">
                  <c:v>0.34141935483870961</c:v>
                </c:pt>
                <c:pt idx="10">
                  <c:v>0.37677419354838704</c:v>
                </c:pt>
                <c:pt idx="11">
                  <c:v>0.4116129032258064</c:v>
                </c:pt>
                <c:pt idx="12">
                  <c:v>0.44593548387096771</c:v>
                </c:pt>
                <c:pt idx="13">
                  <c:v>0.47974193548387095</c:v>
                </c:pt>
                <c:pt idx="14">
                  <c:v>0.51303225806451613</c:v>
                </c:pt>
                <c:pt idx="15">
                  <c:v>0.5458064516129032</c:v>
                </c:pt>
                <c:pt idx="16">
                  <c:v>0.5780645161290322</c:v>
                </c:pt>
                <c:pt idx="17">
                  <c:v>0.60980645161290314</c:v>
                </c:pt>
                <c:pt idx="18">
                  <c:v>0.64103225806451603</c:v>
                </c:pt>
                <c:pt idx="19">
                  <c:v>0.67174193548387084</c:v>
                </c:pt>
                <c:pt idx="20">
                  <c:v>0.7019354838709676</c:v>
                </c:pt>
                <c:pt idx="21">
                  <c:v>0.73161290322580641</c:v>
                </c:pt>
                <c:pt idx="22">
                  <c:v>0.76077419354838705</c:v>
                </c:pt>
                <c:pt idx="23">
                  <c:v>0.78941935483870962</c:v>
                </c:pt>
                <c:pt idx="24">
                  <c:v>0.81754838709677413</c:v>
                </c:pt>
                <c:pt idx="25">
                  <c:v>0.84516129032258069</c:v>
                </c:pt>
                <c:pt idx="26">
                  <c:v>0.87225806451612908</c:v>
                </c:pt>
                <c:pt idx="27">
                  <c:v>0.89883870967741941</c:v>
                </c:pt>
                <c:pt idx="28">
                  <c:v>0.92490322580645168</c:v>
                </c:pt>
                <c:pt idx="29">
                  <c:v>0.95045161290322588</c:v>
                </c:pt>
                <c:pt idx="30">
                  <c:v>0.97548387096774203</c:v>
                </c:pt>
                <c:pt idx="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6680"/>
        <c:axId val="527657072"/>
      </c:lineChart>
      <c:catAx>
        <c:axId val="527656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7072"/>
        <c:crosses val="autoZero"/>
        <c:auto val="1"/>
        <c:lblAlgn val="ctr"/>
        <c:lblOffset val="100"/>
        <c:noMultiLvlLbl val="0"/>
      </c:catAx>
      <c:valAx>
        <c:axId val="527657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66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 emissions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'SPM-eq'!$A$12:$A$42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'SPM-eq'!$L$12:$L$42</c:f>
              <c:numCache>
                <c:formatCode>#,##0.0</c:formatCode>
                <c:ptCount val="31"/>
                <c:pt idx="0">
                  <c:v>41.606201015883357</c:v>
                </c:pt>
                <c:pt idx="1">
                  <c:v>40.132961444861493</c:v>
                </c:pt>
                <c:pt idx="2">
                  <c:v>37.599580201169339</c:v>
                </c:pt>
                <c:pt idx="3">
                  <c:v>34.682999643571456</c:v>
                </c:pt>
                <c:pt idx="4">
                  <c:v>31.751045389834502</c:v>
                </c:pt>
                <c:pt idx="5">
                  <c:v>28.987404509551819</c:v>
                </c:pt>
                <c:pt idx="6">
                  <c:v>26.469398011250011</c:v>
                </c:pt>
                <c:pt idx="7">
                  <c:v>24.215605521571277</c:v>
                </c:pt>
                <c:pt idx="8">
                  <c:v>22.214424174318076</c:v>
                </c:pt>
                <c:pt idx="9">
                  <c:v>20.440714333944431</c:v>
                </c:pt>
                <c:pt idx="10">
                  <c:v>18.865113047582721</c:v>
                </c:pt>
                <c:pt idx="11">
                  <c:v>17.458921958017225</c:v>
                </c:pt>
                <c:pt idx="12">
                  <c:v>16.196393323988659</c:v>
                </c:pt>
                <c:pt idx="13">
                  <c:v>15.055542219574923</c:v>
                </c:pt>
                <c:pt idx="14">
                  <c:v>14.018170169212119</c:v>
                </c:pt>
                <c:pt idx="15">
                  <c:v>13.069506552418412</c:v>
                </c:pt>
                <c:pt idx="16">
                  <c:v>12.197700725091451</c:v>
                </c:pt>
                <c:pt idx="17">
                  <c:v>11.393291816082026</c:v>
                </c:pt>
                <c:pt idx="18">
                  <c:v>10.648719786427744</c:v>
                </c:pt>
                <c:pt idx="19">
                  <c:v>9.9579045852948092</c:v>
                </c:pt>
                <c:pt idx="20">
                  <c:v>9.3158998527239074</c:v>
                </c:pt>
                <c:pt idx="21">
                  <c:v>8.7186171006123345</c:v>
                </c:pt>
                <c:pt idx="22">
                  <c:v>8.1626115692337926</c:v>
                </c:pt>
                <c:pt idx="23">
                  <c:v>7.6449194830487528</c:v>
                </c:pt>
                <c:pt idx="24">
                  <c:v>7.1629366841080104</c:v>
                </c:pt>
                <c:pt idx="25">
                  <c:v>6.7143296962439152</c:v>
                </c:pt>
                <c:pt idx="26">
                  <c:v>6.2969716491704517</c:v>
                </c:pt>
                <c:pt idx="27">
                  <c:v>5.908896886794242</c:v>
                </c:pt>
                <c:pt idx="28">
                  <c:v>5.5482693586905159</c:v>
                </c:pt>
                <c:pt idx="29">
                  <c:v>5.2133609903752065</c:v>
                </c:pt>
                <c:pt idx="30">
                  <c:v>4.9025371348704816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59424"/>
        <c:axId val="530819640"/>
      </c:lineChart>
      <c:catAx>
        <c:axId val="5276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9640"/>
        <c:crosses val="autoZero"/>
        <c:auto val="1"/>
        <c:lblAlgn val="ctr"/>
        <c:lblOffset val="100"/>
        <c:tickLblSkip val="10"/>
        <c:noMultiLvlLbl val="0"/>
      </c:catAx>
      <c:valAx>
        <c:axId val="53081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94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 emissions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'SPM-in'!$A$12:$A$42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'SPM-in'!$L$12:$L$42</c:f>
              <c:numCache>
                <c:formatCode>#,##0.0</c:formatCode>
                <c:ptCount val="31"/>
                <c:pt idx="0">
                  <c:v>41.898186504980231</c:v>
                </c:pt>
                <c:pt idx="1">
                  <c:v>41.765059202397453</c:v>
                </c:pt>
                <c:pt idx="2">
                  <c:v>41.047462840114505</c:v>
                </c:pt>
                <c:pt idx="3">
                  <c:v>39.889686389500227</c:v>
                </c:pt>
                <c:pt idx="4">
                  <c:v>38.409488375128326</c:v>
                </c:pt>
                <c:pt idx="5">
                  <c:v>36.702432656242188</c:v>
                </c:pt>
                <c:pt idx="6">
                  <c:v>34.845559096099187</c:v>
                </c:pt>
                <c:pt idx="7">
                  <c:v>32.900487225250068</c:v>
                </c:pt>
                <c:pt idx="8">
                  <c:v>30.916036911347362</c:v>
                </c:pt>
                <c:pt idx="9">
                  <c:v>28.930437941387552</c:v>
                </c:pt>
                <c:pt idx="10">
                  <c:v>26.973190026199809</c:v>
                </c:pt>
                <c:pt idx="11">
                  <c:v>25.066625813299513</c:v>
                </c:pt>
                <c:pt idx="12">
                  <c:v>23.227221837528813</c:v>
                </c:pt>
                <c:pt idx="13">
                  <c:v>21.466695772136521</c:v>
                </c:pt>
                <c:pt idx="14">
                  <c:v>19.792922713490132</c:v>
                </c:pt>
                <c:pt idx="15">
                  <c:v>18.210698408942072</c:v>
                </c:pt>
                <c:pt idx="16">
                  <c:v>16.722373206205816</c:v>
                </c:pt>
                <c:pt idx="17">
                  <c:v>15.328376966347584</c:v>
                </c:pt>
                <c:pt idx="18">
                  <c:v>14.02765215715428</c:v>
                </c:pt>
                <c:pt idx="19">
                  <c:v>12.818009756871657</c:v>
                </c:pt>
                <c:pt idx="20">
                  <c:v>11.696420387883427</c:v>
                </c:pt>
                <c:pt idx="21">
                  <c:v>10.659251212276613</c:v>
                </c:pt>
                <c:pt idx="22">
                  <c:v>9.7024575103673101</c:v>
                </c:pt>
                <c:pt idx="23">
                  <c:v>8.8217364895466162</c:v>
                </c:pt>
                <c:pt idx="24">
                  <c:v>8.0126497002345047</c:v>
                </c:pt>
                <c:pt idx="25">
                  <c:v>7.2707194390533152</c:v>
                </c:pt>
                <c:pt idx="26">
                  <c:v>6.5915036714552064</c:v>
                </c:pt>
                <c:pt idx="27">
                  <c:v>5.9706532854003349</c:v>
                </c:pt>
                <c:pt idx="28">
                  <c:v>5.4039548757879494</c:v>
                </c:pt>
                <c:pt idx="29">
                  <c:v>4.8873617403240583</c:v>
                </c:pt>
                <c:pt idx="30">
                  <c:v>4.4170153277617814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817680"/>
        <c:axId val="530820424"/>
      </c:lineChart>
      <c:catAx>
        <c:axId val="53081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20424"/>
        <c:crosses val="autoZero"/>
        <c:auto val="1"/>
        <c:lblAlgn val="ctr"/>
        <c:lblOffset val="100"/>
        <c:tickLblSkip val="10"/>
        <c:noMultiLvlLbl val="0"/>
      </c:catAx>
      <c:valAx>
        <c:axId val="5308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76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 emissions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'SPM-spk'!$A$12:$A$42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'SPM-spk'!$L$12:$L$42</c:f>
              <c:numCache>
                <c:formatCode>#,##0.0</c:formatCode>
                <c:ptCount val="31"/>
                <c:pt idx="0">
                  <c:v>41.858248708657456</c:v>
                </c:pt>
                <c:pt idx="1">
                  <c:v>41.522718837945305</c:v>
                </c:pt>
                <c:pt idx="2">
                  <c:v>40.487344108650134</c:v>
                </c:pt>
                <c:pt idx="3">
                  <c:v>38.96496257529698</c:v>
                </c:pt>
                <c:pt idx="4">
                  <c:v>37.11956299084315</c:v>
                </c:pt>
                <c:pt idx="5">
                  <c:v>35.076429321741045</c:v>
                </c:pt>
                <c:pt idx="6">
                  <c:v>32.930277924986399</c:v>
                </c:pt>
                <c:pt idx="7">
                  <c:v>30.751773693130573</c:v>
                </c:pt>
                <c:pt idx="8">
                  <c:v>28.592738477421221</c:v>
                </c:pt>
                <c:pt idx="9">
                  <c:v>26.490305713543094</c:v>
                </c:pt>
                <c:pt idx="10">
                  <c:v>24.470226887829199</c:v>
                </c:pt>
                <c:pt idx="11">
                  <c:v>22.549496242512241</c:v>
                </c:pt>
                <c:pt idx="12">
                  <c:v>20.738428250695691</c:v>
                </c:pt>
                <c:pt idx="13">
                  <c:v>19.042296526898681</c:v>
                </c:pt>
                <c:pt idx="14">
                  <c:v>17.462621860462271</c:v>
                </c:pt>
                <c:pt idx="15">
                  <c:v>15.998180055705578</c:v>
                </c:pt>
                <c:pt idx="16">
                  <c:v>14.645786491496814</c:v>
                </c:pt>
                <c:pt idx="17">
                  <c:v>13.400903168243556</c:v>
                </c:pt>
                <c:pt idx="18">
                  <c:v>12.258104998797521</c:v>
                </c:pt>
                <c:pt idx="19">
                  <c:v>11.211434819598555</c:v>
                </c:pt>
                <c:pt idx="20">
                  <c:v>10.254670722510063</c:v>
                </c:pt>
                <c:pt idx="21">
                  <c:v>9.3815245701547081</c:v>
                </c:pt>
                <c:pt idx="22">
                  <c:v>8.5857867418366052</c:v>
                </c:pt>
                <c:pt idx="23">
                  <c:v>7.8614290875380348</c:v>
                </c:pt>
                <c:pt idx="24">
                  <c:v>7.2026756012413529</c:v>
                </c:pt>
                <c:pt idx="25">
                  <c:v>6.6040483460930988</c:v>
                </c:pt>
                <c:pt idx="26">
                  <c:v>6.0603945787024571</c:v>
                </c:pt>
                <c:pt idx="27">
                  <c:v>5.5668997519854395</c:v>
                </c:pt>
                <c:pt idx="28">
                  <c:v>5.1190900637241592</c:v>
                </c:pt>
                <c:pt idx="29">
                  <c:v>4.7128274114748088</c:v>
                </c:pt>
                <c:pt idx="30">
                  <c:v>4.3442989732438164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812976"/>
        <c:axId val="530813368"/>
      </c:lineChart>
      <c:catAx>
        <c:axId val="53081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3368"/>
        <c:crosses val="autoZero"/>
        <c:auto val="1"/>
        <c:lblAlgn val="ctr"/>
        <c:lblOffset val="100"/>
        <c:tickLblSkip val="10"/>
        <c:noMultiLvlLbl val="0"/>
      </c:catAx>
      <c:valAx>
        <c:axId val="53081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2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income probability density function</a:t>
            </a:r>
          </a:p>
        </c:rich>
      </c:tx>
      <c:layout>
        <c:manualLayout>
          <c:xMode val="edge"/>
          <c:yMode val="edge"/>
          <c:x val="0.12083365186147849"/>
          <c:y val="2.6756012329854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96760450765"/>
          <c:y val="0.18729096989966554"/>
          <c:w val="0.80625164032316143"/>
          <c:h val="0.69899665551839463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EPM!$C$88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EPM!$B$89:$B$119</c:f>
              <c:numCache>
                <c:formatCode>#,##0</c:formatCode>
                <c:ptCount val="31"/>
                <c:pt idx="0">
                  <c:v>0</c:v>
                </c:pt>
                <c:pt idx="1">
                  <c:v>5462.5274380683604</c:v>
                </c:pt>
                <c:pt idx="2">
                  <c:v>10925.054876136721</c:v>
                </c:pt>
                <c:pt idx="3">
                  <c:v>16387.582314205079</c:v>
                </c:pt>
                <c:pt idx="4">
                  <c:v>21850.109752273442</c:v>
                </c:pt>
                <c:pt idx="5">
                  <c:v>27312.637190341804</c:v>
                </c:pt>
                <c:pt idx="6">
                  <c:v>32775.164628410159</c:v>
                </c:pt>
                <c:pt idx="7">
                  <c:v>38237.692066478521</c:v>
                </c:pt>
                <c:pt idx="8">
                  <c:v>43700.219504546883</c:v>
                </c:pt>
                <c:pt idx="9">
                  <c:v>49162.746942615246</c:v>
                </c:pt>
                <c:pt idx="10">
                  <c:v>54625.274380683608</c:v>
                </c:pt>
                <c:pt idx="11">
                  <c:v>60087.801818751963</c:v>
                </c:pt>
                <c:pt idx="12">
                  <c:v>65550.329256820318</c:v>
                </c:pt>
                <c:pt idx="13">
                  <c:v>71012.856694888687</c:v>
                </c:pt>
                <c:pt idx="14">
                  <c:v>76475.384132957042</c:v>
                </c:pt>
                <c:pt idx="15">
                  <c:v>81937.911571025412</c:v>
                </c:pt>
                <c:pt idx="16">
                  <c:v>87400.439009093767</c:v>
                </c:pt>
                <c:pt idx="17">
                  <c:v>92862.966447162122</c:v>
                </c:pt>
                <c:pt idx="18">
                  <c:v>98325.493885230491</c:v>
                </c:pt>
                <c:pt idx="19">
                  <c:v>103788.02132329885</c:v>
                </c:pt>
                <c:pt idx="20">
                  <c:v>109250.54876136722</c:v>
                </c:pt>
                <c:pt idx="21">
                  <c:v>114713.07619943557</c:v>
                </c:pt>
                <c:pt idx="22">
                  <c:v>120175.60363750393</c:v>
                </c:pt>
                <c:pt idx="23">
                  <c:v>125638.1310755723</c:v>
                </c:pt>
                <c:pt idx="24">
                  <c:v>131100.65851364064</c:v>
                </c:pt>
                <c:pt idx="25">
                  <c:v>136563.18595170902</c:v>
                </c:pt>
                <c:pt idx="26">
                  <c:v>142025.71338977737</c:v>
                </c:pt>
                <c:pt idx="27">
                  <c:v>147488.24082784573</c:v>
                </c:pt>
                <c:pt idx="28">
                  <c:v>152950.76826591408</c:v>
                </c:pt>
                <c:pt idx="29">
                  <c:v>158413.29570398244</c:v>
                </c:pt>
                <c:pt idx="30">
                  <c:v>163875.82314205082</c:v>
                </c:pt>
              </c:numCache>
            </c:numRef>
          </c:xVal>
          <c:yVal>
            <c:numRef>
              <c:f>EPM!$C$89:$C$119</c:f>
              <c:numCache>
                <c:formatCode>0.00E+00</c:formatCode>
                <c:ptCount val="31"/>
                <c:pt idx="0">
                  <c:v>0</c:v>
                </c:pt>
                <c:pt idx="1">
                  <c:v>9.6350872839438954E-6</c:v>
                </c:pt>
                <c:pt idx="2">
                  <c:v>1.220146683391814E-5</c:v>
                </c:pt>
                <c:pt idx="3">
                  <c:v>1.3126952147521096E-5</c:v>
                </c:pt>
                <c:pt idx="4">
                  <c:v>1.3210732824055933E-5</c:v>
                </c:pt>
                <c:pt idx="5">
                  <c:v>1.2817568481142324E-5</c:v>
                </c:pt>
                <c:pt idx="6">
                  <c:v>1.2151705700761641E-5</c:v>
                </c:pt>
                <c:pt idx="7">
                  <c:v>1.1337972558858284E-5</c:v>
                </c:pt>
                <c:pt idx="8">
                  <c:v>1.0455835101803326E-5</c:v>
                </c:pt>
                <c:pt idx="9">
                  <c:v>9.5566581583864956E-6</c:v>
                </c:pt>
                <c:pt idx="10">
                  <c:v>8.6735310513764995E-6</c:v>
                </c:pt>
                <c:pt idx="11">
                  <c:v>7.8273044654169554E-6</c:v>
                </c:pt>
                <c:pt idx="12">
                  <c:v>7.030496708258795E-6</c:v>
                </c:pt>
                <c:pt idx="13">
                  <c:v>6.2899132678377711E-6</c:v>
                </c:pt>
                <c:pt idx="14">
                  <c:v>5.6084472957465745E-6</c:v>
                </c:pt>
                <c:pt idx="15">
                  <c:v>4.9863378013582308E-6</c:v>
                </c:pt>
                <c:pt idx="16">
                  <c:v>4.4220580768652843E-6</c:v>
                </c:pt>
                <c:pt idx="17">
                  <c:v>3.9129463701988449E-6</c:v>
                </c:pt>
                <c:pt idx="18">
                  <c:v>3.455653932286262E-6</c:v>
                </c:pt>
                <c:pt idx="19">
                  <c:v>3.0464621345654686E-6</c:v>
                </c:pt>
                <c:pt idx="20">
                  <c:v>2.6815049599300951E-6</c:v>
                </c:pt>
                <c:pt idx="21">
                  <c:v>2.3569227714884623E-6</c:v>
                </c:pt>
                <c:pt idx="22">
                  <c:v>2.0689660744280265E-6</c:v>
                </c:pt>
                <c:pt idx="23">
                  <c:v>1.8140629207486163E-6</c:v>
                </c:pt>
                <c:pt idx="24">
                  <c:v>1.5888599812696596E-6</c:v>
                </c:pt>
                <c:pt idx="25">
                  <c:v>1.3902446814858615E-6</c:v>
                </c:pt>
                <c:pt idx="26">
                  <c:v>1.2153538734509789E-6</c:v>
                </c:pt>
                <c:pt idx="27">
                  <c:v>1.0615730951132585E-6</c:v>
                </c:pt>
                <c:pt idx="28">
                  <c:v>9.2652941300448145E-7</c:v>
                </c:pt>
                <c:pt idx="29">
                  <c:v>8.0808005637997529E-7</c:v>
                </c:pt>
                <c:pt idx="30">
                  <c:v>7.0429846109136119E-7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818072"/>
        <c:axId val="530813760"/>
      </c:scatterChart>
      <c:valAx>
        <c:axId val="53081807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3760"/>
        <c:crosses val="autoZero"/>
        <c:crossBetween val="midCat"/>
      </c:valAx>
      <c:valAx>
        <c:axId val="5308137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80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Lorenz curve</a:t>
            </a:r>
          </a:p>
        </c:rich>
      </c:tx>
      <c:layout>
        <c:manualLayout>
          <c:xMode val="edge"/>
          <c:yMode val="edge"/>
          <c:x val="0.36041735681098114"/>
          <c:y val="2.64898984168765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25021616661817"/>
          <c:y val="0.18543046357615894"/>
          <c:w val="0.83750170390157863"/>
          <c:h val="0.70198675496688745"/>
        </c:manualLayout>
      </c:layout>
      <c:scatterChart>
        <c:scatterStyle val="lineMarker"/>
        <c:varyColors val="0"/>
        <c:ser>
          <c:idx val="1"/>
          <c:order val="0"/>
          <c:tx>
            <c:strRef>
              <c:f>EPM!$C$16</c:f>
              <c:strCache>
                <c:ptCount val="1"/>
                <c:pt idx="0">
                  <c:v>income
share</c:v>
                </c:pt>
              </c:strCache>
            </c:strRef>
          </c:tx>
          <c:spPr>
            <a:ln w="254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EPM!$B$17:$B$37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EPM!$C$17:$C$37</c:f>
              <c:numCache>
                <c:formatCode>#,##0.000</c:formatCode>
                <c:ptCount val="21"/>
                <c:pt idx="0">
                  <c:v>0</c:v>
                </c:pt>
                <c:pt idx="1">
                  <c:v>3.757031201743821E-3</c:v>
                </c:pt>
                <c:pt idx="2">
                  <c:v>1.2085336278052859E-2</c:v>
                </c:pt>
                <c:pt idx="3">
                  <c:v>2.417031140756196E-2</c:v>
                </c:pt>
                <c:pt idx="4">
                  <c:v>3.9784839344938108E-2</c:v>
                </c:pt>
                <c:pt idx="5">
                  <c:v>5.8861693300257895E-2</c:v>
                </c:pt>
                <c:pt idx="6">
                  <c:v>8.1417578496904064E-2</c:v>
                </c:pt>
                <c:pt idx="7">
                  <c:v>0.10752780559393929</c:v>
                </c:pt>
                <c:pt idx="8">
                  <c:v>0.13731753410940309</c:v>
                </c:pt>
                <c:pt idx="9">
                  <c:v>0.17096096068860625</c:v>
                </c:pt>
                <c:pt idx="10">
                  <c:v>0.20868594380070205</c:v>
                </c:pt>
                <c:pt idx="11">
                  <c:v>0.25078388064174872</c:v>
                </c:pt>
                <c:pt idx="12">
                  <c:v>0.29762619058499867</c:v>
                </c:pt>
                <c:pt idx="13">
                  <c:v>0.34969061721042272</c:v>
                </c:pt>
                <c:pt idx="14">
                  <c:v>0.40760381777464838</c:v>
                </c:pt>
                <c:pt idx="15">
                  <c:v>0.47221358894523557</c:v>
                </c:pt>
                <c:pt idx="16">
                  <c:v>0.54472073636997942</c:v>
                </c:pt>
                <c:pt idx="17">
                  <c:v>0.62694770094820895</c:v>
                </c:pt>
                <c:pt idx="18">
                  <c:v>0.72198701687949074</c:v>
                </c:pt>
                <c:pt idx="19">
                  <c:v>0.83632299247120567</c:v>
                </c:pt>
                <c:pt idx="20">
                  <c:v>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EPM!$D$16</c:f>
              <c:strCache>
                <c:ptCount val="1"/>
                <c:pt idx="0">
                  <c:v>quantiles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808000"/>
                </a:solidFill>
                <a:prstDash val="solid"/>
              </a:ln>
            </c:spPr>
          </c:marker>
          <c:xVal>
            <c:numRef>
              <c:f>EPM!$B$17:$B$37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EPM!$D$17:$D$37</c:f>
              <c:numCache>
                <c:formatCode>#,##0.000</c:formatCode>
                <c:ptCount val="21"/>
                <c:pt idx="2">
                  <c:v>1.7000000000000001E-2</c:v>
                </c:pt>
                <c:pt idx="4">
                  <c:v>5.0999999999999997E-2</c:v>
                </c:pt>
                <c:pt idx="8">
                  <c:v>0.154</c:v>
                </c:pt>
                <c:pt idx="12">
                  <c:v>0.308</c:v>
                </c:pt>
                <c:pt idx="16">
                  <c:v>0.53600000000000003</c:v>
                </c:pt>
                <c:pt idx="18">
                  <c:v>0.69799999999999995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814936"/>
        <c:axId val="530815720"/>
      </c:scatterChart>
      <c:valAx>
        <c:axId val="530814936"/>
        <c:scaling>
          <c:orientation val="minMax"/>
          <c:max val="1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5720"/>
        <c:crosses val="autoZero"/>
        <c:crossBetween val="midCat"/>
      </c:valAx>
      <c:valAx>
        <c:axId val="530815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493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emission probability density function</a:t>
            </a:r>
          </a:p>
        </c:rich>
      </c:tx>
      <c:layout>
        <c:manualLayout>
          <c:xMode val="edge"/>
          <c:yMode val="edge"/>
          <c:x val="0.19791661357864246"/>
          <c:y val="2.666666666666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66666666667"/>
          <c:y val="0.18666666666666668"/>
          <c:w val="0.79791666666666672"/>
          <c:h val="0.7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EPM!$F$88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EPM!$E$89:$E$119</c:f>
              <c:numCache>
                <c:formatCode>#,##0</c:formatCode>
                <c:ptCount val="31"/>
                <c:pt idx="0">
                  <c:v>0</c:v>
                </c:pt>
                <c:pt idx="1">
                  <c:v>1.75</c:v>
                </c:pt>
                <c:pt idx="2">
                  <c:v>3.5</c:v>
                </c:pt>
                <c:pt idx="3">
                  <c:v>5.25</c:v>
                </c:pt>
                <c:pt idx="4">
                  <c:v>7</c:v>
                </c:pt>
                <c:pt idx="5">
                  <c:v>8.75</c:v>
                </c:pt>
                <c:pt idx="6">
                  <c:v>10.5</c:v>
                </c:pt>
                <c:pt idx="7">
                  <c:v>12.25</c:v>
                </c:pt>
                <c:pt idx="8">
                  <c:v>14</c:v>
                </c:pt>
                <c:pt idx="9">
                  <c:v>15.75</c:v>
                </c:pt>
                <c:pt idx="10">
                  <c:v>17.5</c:v>
                </c:pt>
                <c:pt idx="11">
                  <c:v>19.25</c:v>
                </c:pt>
                <c:pt idx="12">
                  <c:v>21</c:v>
                </c:pt>
                <c:pt idx="13">
                  <c:v>22.75</c:v>
                </c:pt>
                <c:pt idx="14">
                  <c:v>24.5</c:v>
                </c:pt>
                <c:pt idx="15">
                  <c:v>26.25</c:v>
                </c:pt>
                <c:pt idx="16">
                  <c:v>28</c:v>
                </c:pt>
                <c:pt idx="17">
                  <c:v>29.75</c:v>
                </c:pt>
                <c:pt idx="18">
                  <c:v>31.5</c:v>
                </c:pt>
                <c:pt idx="19">
                  <c:v>33.25</c:v>
                </c:pt>
                <c:pt idx="20">
                  <c:v>35</c:v>
                </c:pt>
                <c:pt idx="21">
                  <c:v>36.75</c:v>
                </c:pt>
                <c:pt idx="22">
                  <c:v>38.5</c:v>
                </c:pt>
                <c:pt idx="23">
                  <c:v>40.25</c:v>
                </c:pt>
                <c:pt idx="24">
                  <c:v>42</c:v>
                </c:pt>
                <c:pt idx="25">
                  <c:v>43.75</c:v>
                </c:pt>
                <c:pt idx="26">
                  <c:v>45.5</c:v>
                </c:pt>
                <c:pt idx="27">
                  <c:v>47.25</c:v>
                </c:pt>
                <c:pt idx="28">
                  <c:v>49</c:v>
                </c:pt>
                <c:pt idx="29">
                  <c:v>50.75</c:v>
                </c:pt>
                <c:pt idx="30">
                  <c:v>52.5</c:v>
                </c:pt>
              </c:numCache>
            </c:numRef>
          </c:xVal>
          <c:yVal>
            <c:numRef>
              <c:f>EPM!$F$89:$F$119</c:f>
              <c:numCache>
                <c:formatCode>0.00E+00</c:formatCode>
                <c:ptCount val="31"/>
                <c:pt idx="0">
                  <c:v>0</c:v>
                </c:pt>
                <c:pt idx="1">
                  <c:v>3.0075387803844049E-2</c:v>
                </c:pt>
                <c:pt idx="2">
                  <c:v>3.8086198494262237E-2</c:v>
                </c:pt>
                <c:pt idx="3">
                  <c:v>4.0975049305168224E-2</c:v>
                </c:pt>
                <c:pt idx="4">
                  <c:v>4.1236566016226196E-2</c:v>
                </c:pt>
                <c:pt idx="5">
                  <c:v>4.0009325438605789E-2</c:v>
                </c:pt>
                <c:pt idx="6">
                  <c:v>3.7930871891281241E-2</c:v>
                </c:pt>
                <c:pt idx="7">
                  <c:v>3.539084925418829E-2</c:v>
                </c:pt>
                <c:pt idx="8">
                  <c:v>3.2637306360867972E-2</c:v>
                </c:pt>
                <c:pt idx="9">
                  <c:v>2.9830575660814901E-2</c:v>
                </c:pt>
                <c:pt idx="10">
                  <c:v>2.7073943630332591E-2</c:v>
                </c:pt>
                <c:pt idx="11">
                  <c:v>2.4432494519117207E-2</c:v>
                </c:pt>
                <c:pt idx="12">
                  <c:v>2.194530352692169E-2</c:v>
                </c:pt>
                <c:pt idx="13">
                  <c:v>1.9633613604933743E-2</c:v>
                </c:pt>
                <c:pt idx="14">
                  <c:v>1.7506455564557693E-2</c:v>
                </c:pt>
                <c:pt idx="15">
                  <c:v>1.5564575460226743E-2</c:v>
                </c:pt>
                <c:pt idx="16">
                  <c:v>1.3803207758633385E-2</c:v>
                </c:pt>
                <c:pt idx="17">
                  <c:v>1.2214043949086392E-2</c:v>
                </c:pt>
                <c:pt idx="18">
                  <c:v>1.078663109804716E-2</c:v>
                </c:pt>
                <c:pt idx="19">
                  <c:v>9.5093617137715306E-3</c:v>
                </c:pt>
                <c:pt idx="20">
                  <c:v>8.3701682393911674E-3</c:v>
                </c:pt>
                <c:pt idx="21">
                  <c:v>7.3570030335221998E-3</c:v>
                </c:pt>
                <c:pt idx="22">
                  <c:v>6.4581622571403879E-3</c:v>
                </c:pt>
                <c:pt idx="23">
                  <c:v>5.6624962736981409E-3</c:v>
                </c:pt>
                <c:pt idx="24">
                  <c:v>4.9595378531053086E-3</c:v>
                </c:pt>
                <c:pt idx="25">
                  <c:v>4.3395712675686439E-3</c:v>
                </c:pt>
                <c:pt idx="26">
                  <c:v>3.7936593603935054E-3</c:v>
                </c:pt>
                <c:pt idx="27">
                  <c:v>3.313641234040759E-3</c:v>
                </c:pt>
                <c:pt idx="28">
                  <c:v>2.8921099089796298E-3</c:v>
                </c:pt>
                <c:pt idx="29">
                  <c:v>2.5223768457893936E-3</c:v>
                </c:pt>
                <c:pt idx="30">
                  <c:v>2.1984283818862185E-3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816112"/>
        <c:axId val="530816504"/>
      </c:scatterChart>
      <c:valAx>
        <c:axId val="53081611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6504"/>
        <c:crosses val="autoZero"/>
        <c:crossBetween val="midCat"/>
      </c:valAx>
      <c:valAx>
        <c:axId val="5308165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08161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income probability density function</a:t>
            </a:r>
          </a:p>
        </c:rich>
      </c:tx>
      <c:layout>
        <c:manualLayout>
          <c:xMode val="edge"/>
          <c:yMode val="edge"/>
          <c:x val="0.12083365186147849"/>
          <c:y val="2.6756012329854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96760450765"/>
          <c:y val="0.18729096989966554"/>
          <c:w val="0.80625164032316143"/>
          <c:h val="0.69899665551839463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EPM!$J$88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EPM!$I$89:$I$119</c:f>
              <c:numCache>
                <c:formatCode>#,##0</c:formatCode>
                <c:ptCount val="31"/>
                <c:pt idx="0">
                  <c:v>0</c:v>
                </c:pt>
                <c:pt idx="1">
                  <c:v>1172.6805880347247</c:v>
                </c:pt>
                <c:pt idx="2">
                  <c:v>2345.3611760694494</c:v>
                </c:pt>
                <c:pt idx="3">
                  <c:v>3518.041764104174</c:v>
                </c:pt>
                <c:pt idx="4">
                  <c:v>4690.7223521388987</c:v>
                </c:pt>
                <c:pt idx="5">
                  <c:v>5863.4029401736234</c:v>
                </c:pt>
                <c:pt idx="6">
                  <c:v>7036.0835282083481</c:v>
                </c:pt>
                <c:pt idx="7">
                  <c:v>8208.7641162430737</c:v>
                </c:pt>
                <c:pt idx="8">
                  <c:v>9381.4447042777974</c:v>
                </c:pt>
                <c:pt idx="9">
                  <c:v>10554.125292312521</c:v>
                </c:pt>
                <c:pt idx="10">
                  <c:v>11726.805880347247</c:v>
                </c:pt>
                <c:pt idx="11">
                  <c:v>12899.486468381972</c:v>
                </c:pt>
                <c:pt idx="12">
                  <c:v>14072.167056416696</c:v>
                </c:pt>
                <c:pt idx="13">
                  <c:v>15244.84764445142</c:v>
                </c:pt>
                <c:pt idx="14">
                  <c:v>16417.528232486147</c:v>
                </c:pt>
                <c:pt idx="15">
                  <c:v>17590.208820520871</c:v>
                </c:pt>
                <c:pt idx="16">
                  <c:v>18762.889408555595</c:v>
                </c:pt>
                <c:pt idx="17">
                  <c:v>19935.569996590319</c:v>
                </c:pt>
                <c:pt idx="18">
                  <c:v>21108.250584625042</c:v>
                </c:pt>
                <c:pt idx="19">
                  <c:v>22280.93117265977</c:v>
                </c:pt>
                <c:pt idx="20">
                  <c:v>23453.611760694494</c:v>
                </c:pt>
                <c:pt idx="21">
                  <c:v>24626.292348729217</c:v>
                </c:pt>
                <c:pt idx="22">
                  <c:v>25798.972936763945</c:v>
                </c:pt>
                <c:pt idx="23">
                  <c:v>26971.653524798669</c:v>
                </c:pt>
                <c:pt idx="24">
                  <c:v>28144.334112833392</c:v>
                </c:pt>
                <c:pt idx="25">
                  <c:v>29317.014700868116</c:v>
                </c:pt>
                <c:pt idx="26">
                  <c:v>30489.69528890284</c:v>
                </c:pt>
                <c:pt idx="27">
                  <c:v>31662.375876937567</c:v>
                </c:pt>
                <c:pt idx="28">
                  <c:v>32835.056464972295</c:v>
                </c:pt>
                <c:pt idx="29">
                  <c:v>34007.737053007018</c:v>
                </c:pt>
                <c:pt idx="30">
                  <c:v>35180.417641041742</c:v>
                </c:pt>
              </c:numCache>
            </c:numRef>
          </c:xVal>
          <c:yVal>
            <c:numRef>
              <c:f>EPM!$J$89:$J$119</c:f>
              <c:numCache>
                <c:formatCode>0.00E+00</c:formatCode>
                <c:ptCount val="31"/>
                <c:pt idx="0">
                  <c:v>0</c:v>
                </c:pt>
                <c:pt idx="1">
                  <c:v>9.0755413105447237E-5</c:v>
                </c:pt>
                <c:pt idx="2">
                  <c:v>7.2116376793598464E-5</c:v>
                </c:pt>
                <c:pt idx="3">
                  <c:v>6.1031530210479212E-5</c:v>
                </c:pt>
                <c:pt idx="4">
                  <c:v>5.3000011379456514E-5</c:v>
                </c:pt>
                <c:pt idx="5">
                  <c:v>4.66804869083778E-5</c:v>
                </c:pt>
                <c:pt idx="6">
                  <c:v>4.1483656080438643E-5</c:v>
                </c:pt>
                <c:pt idx="7">
                  <c:v>3.7093495903651719E-5</c:v>
                </c:pt>
                <c:pt idx="8">
                  <c:v>3.3318038945595543E-5</c:v>
                </c:pt>
                <c:pt idx="9">
                  <c:v>3.0030239084398271E-5</c:v>
                </c:pt>
                <c:pt idx="10">
                  <c:v>2.7140606505588842E-5</c:v>
                </c:pt>
                <c:pt idx="11">
                  <c:v>2.4583069518692369E-5</c:v>
                </c:pt>
                <c:pt idx="12">
                  <c:v>2.2307037570041193E-5</c:v>
                </c:pt>
                <c:pt idx="13">
                  <c:v>2.0272645173574713E-5</c:v>
                </c:pt>
                <c:pt idx="14">
                  <c:v>1.844774733483673E-5</c:v>
                </c:pt>
                <c:pt idx="15">
                  <c:v>1.6805936498939658E-5</c:v>
                </c:pt>
                <c:pt idx="16">
                  <c:v>1.5325184444214432E-5</c:v>
                </c:pt>
                <c:pt idx="17">
                  <c:v>1.3986882281458956E-5</c:v>
                </c:pt>
                <c:pt idx="18">
                  <c:v>1.2775143022611036E-5</c:v>
                </c:pt>
                <c:pt idx="19">
                  <c:v>1.1676282642251356E-5</c:v>
                </c:pt>
                <c:pt idx="20">
                  <c:v>1.0678425746869667E-5</c:v>
                </c:pt>
                <c:pt idx="21">
                  <c:v>9.771200310837731E-6</c:v>
                </c:pt>
                <c:pt idx="22">
                  <c:v>8.9454974319622013E-6</c:v>
                </c:pt>
                <c:pt idx="23">
                  <c:v>8.1932794607711875E-6</c:v>
                </c:pt>
                <c:pt idx="24">
                  <c:v>7.5074247415095854E-6</c:v>
                </c:pt>
                <c:pt idx="25">
                  <c:v>6.8816004972145533E-6</c:v>
                </c:pt>
                <c:pt idx="26">
                  <c:v>6.3101576582956802E-6</c:v>
                </c:pt>
                <c:pt idx="27">
                  <c:v>5.7880430227817215E-6</c:v>
                </c:pt>
                <c:pt idx="28">
                  <c:v>5.3107252684986436E-6</c:v>
                </c:pt>
                <c:pt idx="29">
                  <c:v>4.8741321566393911E-6</c:v>
                </c:pt>
                <c:pt idx="30">
                  <c:v>4.4745968674340528E-6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57464"/>
        <c:axId val="531236648"/>
      </c:scatterChart>
      <c:valAx>
        <c:axId val="52765746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6648"/>
        <c:crosses val="autoZero"/>
        <c:crossBetween val="midCat"/>
      </c:valAx>
      <c:valAx>
        <c:axId val="53123664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276574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Lorenz curve</a:t>
            </a:r>
          </a:p>
        </c:rich>
      </c:tx>
      <c:layout>
        <c:manualLayout>
          <c:xMode val="edge"/>
          <c:yMode val="edge"/>
          <c:x val="0.36041735681098114"/>
          <c:y val="2.64898984168765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13910761154856"/>
          <c:y val="0.19867549668874171"/>
          <c:w val="0.83750170390157863"/>
          <c:h val="0.70198675496688745"/>
        </c:manualLayout>
      </c:layout>
      <c:scatterChart>
        <c:scatterStyle val="lineMarker"/>
        <c:varyColors val="0"/>
        <c:ser>
          <c:idx val="1"/>
          <c:order val="0"/>
          <c:tx>
            <c:strRef>
              <c:f>EPM!$J$16</c:f>
              <c:strCache>
                <c:ptCount val="1"/>
                <c:pt idx="0">
                  <c:v>income
share</c:v>
                </c:pt>
              </c:strCache>
            </c:strRef>
          </c:tx>
          <c:spPr>
            <a:ln w="254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EPM!$I$17:$I$37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EPM!$J$17:$J$37</c:f>
              <c:numCache>
                <c:formatCode>#,##0.000</c:formatCode>
                <c:ptCount val="21"/>
                <c:pt idx="0">
                  <c:v>0</c:v>
                </c:pt>
                <c:pt idx="1">
                  <c:v>5.5349342750397195E-4</c:v>
                </c:pt>
                <c:pt idx="2">
                  <c:v>2.7167718397660421E-3</c:v>
                </c:pt>
                <c:pt idx="3">
                  <c:v>6.9328299034333582E-3</c:v>
                </c:pt>
                <c:pt idx="4">
                  <c:v>1.3545927112332223E-2</c:v>
                </c:pt>
                <c:pt idx="5">
                  <c:v>2.2878543442970214E-2</c:v>
                </c:pt>
                <c:pt idx="6">
                  <c:v>3.5256993739004733E-2</c:v>
                </c:pt>
                <c:pt idx="7">
                  <c:v>5.1027036832330806E-2</c:v>
                </c:pt>
                <c:pt idx="8">
                  <c:v>7.0567184502088362E-2</c:v>
                </c:pt>
                <c:pt idx="9">
                  <c:v>9.430281551859715E-2</c:v>
                </c:pt>
                <c:pt idx="10">
                  <c:v>0.12272330707721175</c:v>
                </c:pt>
                <c:pt idx="11">
                  <c:v>0.15640468582368341</c:v>
                </c:pt>
                <c:pt idx="12">
                  <c:v>0.19604148457137774</c:v>
                </c:pt>
                <c:pt idx="13">
                  <c:v>0.24249402356400299</c:v>
                </c:pt>
                <c:pt idx="14">
                  <c:v>0.29686260596839426</c:v>
                </c:pt>
                <c:pt idx="15">
                  <c:v>0.36061179482473227</c:v>
                </c:pt>
                <c:pt idx="16">
                  <c:v>0.43579663465104168</c:v>
                </c:pt>
                <c:pt idx="17">
                  <c:v>0.52552438087236097</c:v>
                </c:pt>
                <c:pt idx="18">
                  <c:v>0.63507476992337586</c:v>
                </c:pt>
                <c:pt idx="19">
                  <c:v>0.77559513317413509</c:v>
                </c:pt>
                <c:pt idx="20">
                  <c:v>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EPM!$K$16</c:f>
              <c:strCache>
                <c:ptCount val="1"/>
                <c:pt idx="0">
                  <c:v>quantiles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808000"/>
                </a:solidFill>
                <a:prstDash val="solid"/>
              </a:ln>
            </c:spPr>
          </c:marker>
          <c:xVal>
            <c:numRef>
              <c:f>EPM!$I$17:$I$37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EPM!$K$17:$K$37</c:f>
              <c:numCache>
                <c:formatCode>#,##0.000</c:formatCode>
                <c:ptCount val="21"/>
                <c:pt idx="2">
                  <c:v>0.01</c:v>
                </c:pt>
                <c:pt idx="4">
                  <c:v>3.3000000000000002E-2</c:v>
                </c:pt>
                <c:pt idx="8">
                  <c:v>0.109</c:v>
                </c:pt>
                <c:pt idx="12">
                  <c:v>0.23299999999999998</c:v>
                </c:pt>
                <c:pt idx="16">
                  <c:v>0.42600000000000005</c:v>
                </c:pt>
                <c:pt idx="18">
                  <c:v>0.58200000000000007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37824"/>
        <c:axId val="531234688"/>
      </c:scatterChart>
      <c:valAx>
        <c:axId val="531237824"/>
        <c:scaling>
          <c:orientation val="minMax"/>
          <c:max val="1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4688"/>
        <c:crosses val="autoZero"/>
        <c:crossBetween val="midCat"/>
      </c:valAx>
      <c:valAx>
        <c:axId val="531234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78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emission probability density function</a:t>
            </a:r>
          </a:p>
        </c:rich>
      </c:tx>
      <c:layout>
        <c:manualLayout>
          <c:xMode val="edge"/>
          <c:yMode val="edge"/>
          <c:x val="0.19791661357864246"/>
          <c:y val="2.666666666666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66666666667"/>
          <c:y val="0.18666666666666668"/>
          <c:w val="0.79791666666666672"/>
          <c:h val="0.7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EPM!$M$88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EPM!$L$89:$L$119</c:f>
              <c:numCache>
                <c:formatCode>#,##0</c:formatCode>
                <c:ptCount val="31"/>
                <c:pt idx="0">
                  <c:v>0</c:v>
                </c:pt>
                <c:pt idx="1">
                  <c:v>0.48749999999999999</c:v>
                </c:pt>
                <c:pt idx="2">
                  <c:v>0.97499999999999998</c:v>
                </c:pt>
                <c:pt idx="3">
                  <c:v>1.4624999999999999</c:v>
                </c:pt>
                <c:pt idx="4">
                  <c:v>1.95</c:v>
                </c:pt>
                <c:pt idx="5">
                  <c:v>2.4375</c:v>
                </c:pt>
                <c:pt idx="6">
                  <c:v>2.9249999999999998</c:v>
                </c:pt>
                <c:pt idx="7">
                  <c:v>3.4125000000000001</c:v>
                </c:pt>
                <c:pt idx="8">
                  <c:v>3.9</c:v>
                </c:pt>
                <c:pt idx="9">
                  <c:v>4.3875000000000002</c:v>
                </c:pt>
                <c:pt idx="10">
                  <c:v>4.875</c:v>
                </c:pt>
                <c:pt idx="11">
                  <c:v>5.3624999999999998</c:v>
                </c:pt>
                <c:pt idx="12">
                  <c:v>5.85</c:v>
                </c:pt>
                <c:pt idx="13">
                  <c:v>6.3374999999999995</c:v>
                </c:pt>
                <c:pt idx="14">
                  <c:v>6.8250000000000002</c:v>
                </c:pt>
                <c:pt idx="15">
                  <c:v>7.3125</c:v>
                </c:pt>
                <c:pt idx="16">
                  <c:v>7.8</c:v>
                </c:pt>
                <c:pt idx="17">
                  <c:v>8.2874999999999996</c:v>
                </c:pt>
                <c:pt idx="18">
                  <c:v>8.7750000000000004</c:v>
                </c:pt>
                <c:pt idx="19">
                  <c:v>9.2624999999999993</c:v>
                </c:pt>
                <c:pt idx="20">
                  <c:v>9.75</c:v>
                </c:pt>
                <c:pt idx="21">
                  <c:v>10.237499999999999</c:v>
                </c:pt>
                <c:pt idx="22">
                  <c:v>10.725</c:v>
                </c:pt>
                <c:pt idx="23">
                  <c:v>11.2125</c:v>
                </c:pt>
                <c:pt idx="24">
                  <c:v>11.7</c:v>
                </c:pt>
                <c:pt idx="25">
                  <c:v>12.1875</c:v>
                </c:pt>
                <c:pt idx="26">
                  <c:v>12.674999999999999</c:v>
                </c:pt>
                <c:pt idx="27">
                  <c:v>13.1625</c:v>
                </c:pt>
                <c:pt idx="28">
                  <c:v>13.65</c:v>
                </c:pt>
                <c:pt idx="29">
                  <c:v>14.137499999999999</c:v>
                </c:pt>
                <c:pt idx="30">
                  <c:v>14.625</c:v>
                </c:pt>
              </c:numCache>
            </c:numRef>
          </c:xVal>
          <c:yVal>
            <c:numRef>
              <c:f>EPM!$M$89:$M$119</c:f>
              <c:numCache>
                <c:formatCode>0.00E+00</c:formatCode>
                <c:ptCount val="31"/>
                <c:pt idx="0">
                  <c:v>0</c:v>
                </c:pt>
                <c:pt idx="1">
                  <c:v>0.21831202299042099</c:v>
                </c:pt>
                <c:pt idx="2">
                  <c:v>0.17347584645179659</c:v>
                </c:pt>
                <c:pt idx="3">
                  <c:v>0.14681126304796682</c:v>
                </c:pt>
                <c:pt idx="4">
                  <c:v>0.12749145540576035</c:v>
                </c:pt>
                <c:pt idx="5">
                  <c:v>0.1122898478717205</c:v>
                </c:pt>
                <c:pt idx="6">
                  <c:v>9.9788878371772444E-2</c:v>
                </c:pt>
                <c:pt idx="7">
                  <c:v>8.9228354027811194E-2</c:v>
                </c:pt>
                <c:pt idx="8">
                  <c:v>8.0146497441815068E-2</c:v>
                </c:pt>
                <c:pt idx="9">
                  <c:v>7.2237699340134423E-2</c:v>
                </c:pt>
                <c:pt idx="10">
                  <c:v>6.5286692095575374E-2</c:v>
                </c:pt>
                <c:pt idx="11">
                  <c:v>5.913454034641781E-2</c:v>
                </c:pt>
                <c:pt idx="12">
                  <c:v>5.3659548584509949E-2</c:v>
                </c:pt>
                <c:pt idx="13">
                  <c:v>4.8765820437265468E-2</c:v>
                </c:pt>
                <c:pt idx="14">
                  <c:v>4.4376031164168953E-2</c:v>
                </c:pt>
                <c:pt idx="15">
                  <c:v>4.0426657427796511E-2</c:v>
                </c:pt>
                <c:pt idx="16">
                  <c:v>3.6864710370834865E-2</c:v>
                </c:pt>
                <c:pt idx="17">
                  <c:v>3.364542633557694E-2</c:v>
                </c:pt>
                <c:pt idx="18">
                  <c:v>3.0730589193811726E-2</c:v>
                </c:pt>
                <c:pt idx="19">
                  <c:v>2.8087282040974302E-2</c:v>
                </c:pt>
                <c:pt idx="20">
                  <c:v>2.5686938634101059E-2</c:v>
                </c:pt>
                <c:pt idx="21">
                  <c:v>2.3504609079627231E-2</c:v>
                </c:pt>
                <c:pt idx="22">
                  <c:v>2.1518381925695499E-2</c:v>
                </c:pt>
                <c:pt idx="23">
                  <c:v>1.9708922617415362E-2</c:v>
                </c:pt>
                <c:pt idx="24">
                  <c:v>1.8059100021538259E-2</c:v>
                </c:pt>
                <c:pt idx="25">
                  <c:v>1.6553680651679215E-2</c:v>
                </c:pt>
                <c:pt idx="26">
                  <c:v>1.5179075678609226E-2</c:v>
                </c:pt>
                <c:pt idx="27">
                  <c:v>1.3923129631848111E-2</c:v>
                </c:pt>
                <c:pt idx="28">
                  <c:v>1.2774942422059203E-2</c:v>
                </c:pt>
                <c:pt idx="29">
                  <c:v>1.1724718284321728E-2</c:v>
                </c:pt>
                <c:pt idx="30">
                  <c:v>1.0763636688658261E-2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35472"/>
        <c:axId val="531235864"/>
      </c:scatterChart>
      <c:valAx>
        <c:axId val="53123547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5864"/>
        <c:crosses val="autoZero"/>
        <c:crossBetween val="midCat"/>
      </c:valAx>
      <c:valAx>
        <c:axId val="5312358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54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income probability density function</a:t>
            </a:r>
          </a:p>
        </c:rich>
      </c:tx>
      <c:layout>
        <c:manualLayout>
          <c:xMode val="edge"/>
          <c:yMode val="edge"/>
          <c:x val="0.12083365186147849"/>
          <c:y val="2.67560123298541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96760450765"/>
          <c:y val="0.18729096989966554"/>
          <c:w val="0.80625164032316143"/>
          <c:h val="0.69899665551839463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EPM!$Q$88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EPM!$P$89:$P$119</c:f>
              <c:numCache>
                <c:formatCode>#,##0</c:formatCode>
                <c:ptCount val="31"/>
                <c:pt idx="0">
                  <c:v>0</c:v>
                </c:pt>
                <c:pt idx="1">
                  <c:v>42.745661276818417</c:v>
                </c:pt>
                <c:pt idx="2">
                  <c:v>85.491322553636834</c:v>
                </c:pt>
                <c:pt idx="3">
                  <c:v>128.23698383045524</c:v>
                </c:pt>
                <c:pt idx="4">
                  <c:v>170.98264510727367</c:v>
                </c:pt>
                <c:pt idx="5">
                  <c:v>213.72830638409209</c:v>
                </c:pt>
                <c:pt idx="6">
                  <c:v>256.47396766091049</c:v>
                </c:pt>
                <c:pt idx="7">
                  <c:v>299.21962893772894</c:v>
                </c:pt>
                <c:pt idx="8">
                  <c:v>341.96529021454734</c:v>
                </c:pt>
                <c:pt idx="9">
                  <c:v>384.71095149136573</c:v>
                </c:pt>
                <c:pt idx="10">
                  <c:v>427.45661276818419</c:v>
                </c:pt>
                <c:pt idx="11">
                  <c:v>470.20227404500258</c:v>
                </c:pt>
                <c:pt idx="12">
                  <c:v>512.94793532182098</c:v>
                </c:pt>
                <c:pt idx="13">
                  <c:v>555.69359659863937</c:v>
                </c:pt>
                <c:pt idx="14">
                  <c:v>598.43925787545788</c:v>
                </c:pt>
                <c:pt idx="15">
                  <c:v>641.18491915227628</c:v>
                </c:pt>
                <c:pt idx="16">
                  <c:v>683.93058042909468</c:v>
                </c:pt>
                <c:pt idx="17">
                  <c:v>726.67624170591307</c:v>
                </c:pt>
                <c:pt idx="18">
                  <c:v>769.42190298273147</c:v>
                </c:pt>
                <c:pt idx="19">
                  <c:v>812.16756425954998</c:v>
                </c:pt>
                <c:pt idx="20">
                  <c:v>854.91322553636837</c:v>
                </c:pt>
                <c:pt idx="21">
                  <c:v>897.65888681318677</c:v>
                </c:pt>
                <c:pt idx="22">
                  <c:v>940.40454809000516</c:v>
                </c:pt>
                <c:pt idx="23">
                  <c:v>983.15020936682356</c:v>
                </c:pt>
                <c:pt idx="24">
                  <c:v>1025.895870643642</c:v>
                </c:pt>
                <c:pt idx="25">
                  <c:v>1068.6415319204605</c:v>
                </c:pt>
                <c:pt idx="26">
                  <c:v>1111.3871931972787</c:v>
                </c:pt>
                <c:pt idx="27">
                  <c:v>1154.1328544740973</c:v>
                </c:pt>
                <c:pt idx="28">
                  <c:v>1196.8785157509158</c:v>
                </c:pt>
                <c:pt idx="29">
                  <c:v>1239.624177027734</c:v>
                </c:pt>
                <c:pt idx="30">
                  <c:v>1282.3698383045526</c:v>
                </c:pt>
              </c:numCache>
            </c:numRef>
          </c:xVal>
          <c:yVal>
            <c:numRef>
              <c:f>EPM!$Q$89:$Q$119</c:f>
              <c:numCache>
                <c:formatCode>0.00E+00</c:formatCode>
                <c:ptCount val="31"/>
                <c:pt idx="0">
                  <c:v>0</c:v>
                </c:pt>
                <c:pt idx="1">
                  <c:v>3.037390824534613E-4</c:v>
                </c:pt>
                <c:pt idx="2">
                  <c:v>7.9278656165225614E-4</c:v>
                </c:pt>
                <c:pt idx="3">
                  <c:v>1.2378448659772653E-3</c:v>
                </c:pt>
                <c:pt idx="4">
                  <c:v>1.5660862434094145E-3</c:v>
                </c:pt>
                <c:pt idx="5">
                  <c:v>1.7656502885043906E-3</c:v>
                </c:pt>
                <c:pt idx="6">
                  <c:v>1.850671794696895E-3</c:v>
                </c:pt>
                <c:pt idx="7">
                  <c:v>1.8446028950576765E-3</c:v>
                </c:pt>
                <c:pt idx="8">
                  <c:v>1.7720772603062548E-3</c:v>
                </c:pt>
                <c:pt idx="9">
                  <c:v>1.655186475614933E-3</c:v>
                </c:pt>
                <c:pt idx="10">
                  <c:v>1.5120824028086587E-3</c:v>
                </c:pt>
                <c:pt idx="11">
                  <c:v>1.3567763645852553E-3</c:v>
                </c:pt>
                <c:pt idx="12">
                  <c:v>1.1995102603785635E-3</c:v>
                </c:pt>
                <c:pt idx="13">
                  <c:v>1.0473559250262162E-3</c:v>
                </c:pt>
                <c:pt idx="14">
                  <c:v>9.0485968378055555E-4</c:v>
                </c:pt>
                <c:pt idx="15">
                  <c:v>7.7464115313304093E-4</c:v>
                </c:pt>
                <c:pt idx="16">
                  <c:v>6.5790743875872022E-4</c:v>
                </c:pt>
                <c:pt idx="17">
                  <c:v>5.5487242611821318E-4</c:v>
                </c:pt>
                <c:pt idx="18">
                  <c:v>4.6508556979417138E-4</c:v>
                </c:pt>
                <c:pt idx="19">
                  <c:v>3.8768129573961543E-4</c:v>
                </c:pt>
                <c:pt idx="20">
                  <c:v>3.215623446093897E-4</c:v>
                </c:pt>
                <c:pt idx="21">
                  <c:v>2.6553020319378687E-4</c:v>
                </c:pt>
                <c:pt idx="22">
                  <c:v>2.183744319952509E-4</c:v>
                </c:pt>
                <c:pt idx="23">
                  <c:v>1.7893091056675665E-4</c:v>
                </c:pt>
                <c:pt idx="24">
                  <c:v>1.4611717857203874E-4</c:v>
                </c:pt>
                <c:pt idx="25">
                  <c:v>1.1895134796584667E-4</c:v>
                </c:pt>
                <c:pt idx="26">
                  <c:v>9.6559586202882021E-5</c:v>
                </c:pt>
                <c:pt idx="27">
                  <c:v>7.8175944550795383E-5</c:v>
                </c:pt>
                <c:pt idx="28">
                  <c:v>6.3137318372077713E-5</c:v>
                </c:pt>
                <c:pt idx="29">
                  <c:v>5.0875550746258247E-5</c:v>
                </c:pt>
                <c:pt idx="30">
                  <c:v>4.0908094500583081E-5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36256"/>
        <c:axId val="531225672"/>
      </c:scatterChart>
      <c:valAx>
        <c:axId val="53123625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5672"/>
        <c:crosses val="autoZero"/>
        <c:crossBetween val="midCat"/>
      </c:valAx>
      <c:valAx>
        <c:axId val="5312256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62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Lorenz curve</a:t>
            </a:r>
          </a:p>
        </c:rich>
      </c:tx>
      <c:layout>
        <c:manualLayout>
          <c:xMode val="edge"/>
          <c:yMode val="edge"/>
          <c:x val="0.36041735681098114"/>
          <c:y val="2.64898984168765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25021616661817"/>
          <c:y val="0.18543046357615894"/>
          <c:w val="0.83750170390157863"/>
          <c:h val="0.70198675496688745"/>
        </c:manualLayout>
      </c:layout>
      <c:scatterChart>
        <c:scatterStyle val="lineMarker"/>
        <c:varyColors val="0"/>
        <c:ser>
          <c:idx val="1"/>
          <c:order val="0"/>
          <c:tx>
            <c:strRef>
              <c:f>EPM!$Q$16</c:f>
              <c:strCache>
                <c:ptCount val="1"/>
                <c:pt idx="0">
                  <c:v>income
share</c:v>
                </c:pt>
              </c:strCache>
            </c:strRef>
          </c:tx>
          <c:spPr>
            <a:ln w="25400">
              <a:solidFill>
                <a:srgbClr val="92D050"/>
              </a:solidFill>
              <a:prstDash val="solid"/>
            </a:ln>
          </c:spPr>
          <c:marker>
            <c:symbol val="none"/>
          </c:marker>
          <c:xVal>
            <c:numRef>
              <c:f>EPM!$P$17:$P$37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EPM!$Q$17:$Q$37</c:f>
              <c:numCache>
                <c:formatCode>#,##0.000</c:formatCode>
                <c:ptCount val="21"/>
                <c:pt idx="0">
                  <c:v>0</c:v>
                </c:pt>
                <c:pt idx="1">
                  <c:v>8.9878078562249195E-3</c:v>
                </c:pt>
                <c:pt idx="2">
                  <c:v>2.4201918927490636E-2</c:v>
                </c:pt>
                <c:pt idx="3">
                  <c:v>4.3614043831556926E-2</c:v>
                </c:pt>
                <c:pt idx="4">
                  <c:v>6.6638162977343027E-2</c:v>
                </c:pt>
                <c:pt idx="5">
                  <c:v>9.3000282671551582E-2</c:v>
                </c:pt>
                <c:pt idx="6">
                  <c:v>0.12256728951869465</c:v>
                </c:pt>
                <c:pt idx="7">
                  <c:v>0.15528958048260771</c:v>
                </c:pt>
                <c:pt idx="8">
                  <c:v>0.19117732226342302</c:v>
                </c:pt>
                <c:pt idx="9">
                  <c:v>0.23029064887228798</c:v>
                </c:pt>
                <c:pt idx="10">
                  <c:v>0.27273742202676521</c:v>
                </c:pt>
                <c:pt idx="11">
                  <c:v>0.31867650245248758</c:v>
                </c:pt>
                <c:pt idx="12">
                  <c:v>0.36832652264874755</c:v>
                </c:pt>
                <c:pt idx="13">
                  <c:v>0.4219818065175161</c:v>
                </c:pt>
                <c:pt idx="14">
                  <c:v>0.48003941403930905</c:v>
                </c:pt>
                <c:pt idx="15">
                  <c:v>0.54304587400857751</c:v>
                </c:pt>
                <c:pt idx="16">
                  <c:v>0.6117830411277605</c:v>
                </c:pt>
                <c:pt idx="17">
                  <c:v>0.68744303457565459</c:v>
                </c:pt>
                <c:pt idx="18">
                  <c:v>0.77204924520086393</c:v>
                </c:pt>
                <c:pt idx="19">
                  <c:v>0.86982589620183126</c:v>
                </c:pt>
                <c:pt idx="20">
                  <c:v>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EPM!$R$16</c:f>
              <c:strCache>
                <c:ptCount val="1"/>
                <c:pt idx="0">
                  <c:v>quantiles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808000"/>
                </a:solidFill>
                <a:prstDash val="solid"/>
              </a:ln>
            </c:spPr>
          </c:marker>
          <c:xVal>
            <c:numRef>
              <c:f>EPM!$P$17:$P$37</c:f>
              <c:numCache>
                <c:formatCode>#,##0.00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EPM!$R$17:$R$37</c:f>
              <c:numCache>
                <c:formatCode>#,##0.000</c:formatCode>
                <c:ptCount val="21"/>
                <c:pt idx="2" formatCode="#,##0.0000">
                  <c:v>3.7999999999999999E-2</c:v>
                </c:pt>
                <c:pt idx="4" formatCode="#,##0.0000">
                  <c:v>8.8999999999999996E-2</c:v>
                </c:pt>
                <c:pt idx="8" formatCode="#,##0.0000">
                  <c:v>0.216</c:v>
                </c:pt>
                <c:pt idx="12" formatCode="#,##0.0000">
                  <c:v>0.378</c:v>
                </c:pt>
                <c:pt idx="16" formatCode="#,##0.0000">
                  <c:v>0.59199999999999997</c:v>
                </c:pt>
                <c:pt idx="18" formatCode="#,##0.0000">
                  <c:v>0.73599999999999999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22536"/>
        <c:axId val="531225280"/>
      </c:scatterChart>
      <c:valAx>
        <c:axId val="531222536"/>
        <c:scaling>
          <c:orientation val="minMax"/>
          <c:max val="1"/>
        </c:scaling>
        <c:delete val="0"/>
        <c:axPos val="b"/>
        <c:numFmt formatCode="#,##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5280"/>
        <c:crosses val="autoZero"/>
        <c:crossBetween val="midCat"/>
      </c:valAx>
      <c:valAx>
        <c:axId val="531225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253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emission probability density function</a:t>
            </a:r>
          </a:p>
        </c:rich>
      </c:tx>
      <c:layout>
        <c:manualLayout>
          <c:xMode val="edge"/>
          <c:yMode val="edge"/>
          <c:x val="0.19791661357864246"/>
          <c:y val="2.666666666666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91666666666667"/>
          <c:y val="0.18666666666666668"/>
          <c:w val="0.79791666666666672"/>
          <c:h val="0.7"/>
        </c:manualLayout>
      </c:layout>
      <c:scatterChart>
        <c:scatterStyle val="lineMarker"/>
        <c:varyColors val="0"/>
        <c:ser>
          <c:idx val="0"/>
          <c:order val="0"/>
          <c:tx>
            <c:strRef>
              <c:f>EPM!$T$88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66699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EPM!$S$89:$S$119</c:f>
              <c:numCache>
                <c:formatCode>#,##0</c:formatCode>
                <c:ptCount val="31"/>
                <c:pt idx="0">
                  <c:v>0</c:v>
                </c:pt>
                <c:pt idx="1">
                  <c:v>7.2218653017956422E-2</c:v>
                </c:pt>
                <c:pt idx="2">
                  <c:v>0.14443730603591284</c:v>
                </c:pt>
                <c:pt idx="3">
                  <c:v>0.21665595905386925</c:v>
                </c:pt>
                <c:pt idx="4">
                  <c:v>0.28887461207182569</c:v>
                </c:pt>
                <c:pt idx="5">
                  <c:v>0.36109326508978212</c:v>
                </c:pt>
                <c:pt idx="6">
                  <c:v>0.4333119181077385</c:v>
                </c:pt>
                <c:pt idx="7">
                  <c:v>0.50553057112569499</c:v>
                </c:pt>
                <c:pt idx="8">
                  <c:v>0.57774922414365137</c:v>
                </c:pt>
                <c:pt idx="9">
                  <c:v>0.64996787716160775</c:v>
                </c:pt>
                <c:pt idx="10">
                  <c:v>0.72218653017956425</c:v>
                </c:pt>
                <c:pt idx="11">
                  <c:v>0.79440518319752063</c:v>
                </c:pt>
                <c:pt idx="12">
                  <c:v>0.86662383621547701</c:v>
                </c:pt>
                <c:pt idx="13">
                  <c:v>0.9388424892334335</c:v>
                </c:pt>
                <c:pt idx="14">
                  <c:v>1.01106114225139</c:v>
                </c:pt>
                <c:pt idx="15">
                  <c:v>1.0832797952693463</c:v>
                </c:pt>
                <c:pt idx="16">
                  <c:v>1.1554984482873027</c:v>
                </c:pt>
                <c:pt idx="17">
                  <c:v>1.2277171013052592</c:v>
                </c:pt>
                <c:pt idx="18">
                  <c:v>1.2999357543232155</c:v>
                </c:pt>
                <c:pt idx="19">
                  <c:v>1.372154407341172</c:v>
                </c:pt>
                <c:pt idx="20">
                  <c:v>1.4443730603591285</c:v>
                </c:pt>
                <c:pt idx="21">
                  <c:v>1.5165917133770848</c:v>
                </c:pt>
                <c:pt idx="22">
                  <c:v>1.5888103663950413</c:v>
                </c:pt>
                <c:pt idx="23">
                  <c:v>1.6610290194129977</c:v>
                </c:pt>
                <c:pt idx="24">
                  <c:v>1.733247672430954</c:v>
                </c:pt>
                <c:pt idx="25">
                  <c:v>1.8054663254489105</c:v>
                </c:pt>
                <c:pt idx="26">
                  <c:v>1.877684978466867</c:v>
                </c:pt>
                <c:pt idx="27">
                  <c:v>1.9499036314848235</c:v>
                </c:pt>
                <c:pt idx="28">
                  <c:v>2.02212228450278</c:v>
                </c:pt>
                <c:pt idx="29">
                  <c:v>2.094340937520736</c:v>
                </c:pt>
                <c:pt idx="30">
                  <c:v>2.1665595905386925</c:v>
                </c:pt>
              </c:numCache>
            </c:numRef>
          </c:xVal>
          <c:yVal>
            <c:numRef>
              <c:f>EPM!$T$89:$T$119</c:f>
              <c:numCache>
                <c:formatCode>0.00E+00</c:formatCode>
                <c:ptCount val="31"/>
                <c:pt idx="0">
                  <c:v>0</c:v>
                </c:pt>
                <c:pt idx="1">
                  <c:v>0.17978080997798526</c:v>
                </c:pt>
                <c:pt idx="2">
                  <c:v>0.46924422449107317</c:v>
                </c:pt>
                <c:pt idx="3">
                  <c:v>0.73267078716016387</c:v>
                </c:pt>
                <c:pt idx="4">
                  <c:v>0.92695431572808551</c:v>
                </c:pt>
                <c:pt idx="5">
                  <c:v>1.0450747280894259</c:v>
                </c:pt>
                <c:pt idx="6">
                  <c:v>1.095398298982476</c:v>
                </c:pt>
                <c:pt idx="7">
                  <c:v>1.0918061642989818</c:v>
                </c:pt>
                <c:pt idx="8">
                  <c:v>1.0488788029121705</c:v>
                </c:pt>
                <c:pt idx="9">
                  <c:v>0.97969205295223438</c:v>
                </c:pt>
                <c:pt idx="10">
                  <c:v>0.89498986081927923</c:v>
                </c:pt>
                <c:pt idx="11">
                  <c:v>0.80306541987890911</c:v>
                </c:pt>
                <c:pt idx="12">
                  <c:v>0.70998083106675525</c:v>
                </c:pt>
                <c:pt idx="13">
                  <c:v>0.61992185864097837</c:v>
                </c:pt>
                <c:pt idx="14">
                  <c:v>0.53557943730016044</c:v>
                </c:pt>
                <c:pt idx="15">
                  <c:v>0.45850409775263878</c:v>
                </c:pt>
                <c:pt idx="16">
                  <c:v>0.38941031649658431</c:v>
                </c:pt>
                <c:pt idx="17">
                  <c:v>0.32842469067926611</c:v>
                </c:pt>
                <c:pt idx="18">
                  <c:v>0.27528054595832296</c:v>
                </c:pt>
                <c:pt idx="19">
                  <c:v>0.22946555576054967</c:v>
                </c:pt>
                <c:pt idx="20">
                  <c:v>0.19033026077950899</c:v>
                </c:pt>
                <c:pt idx="21">
                  <c:v>0.15716527033070329</c:v>
                </c:pt>
                <c:pt idx="22">
                  <c:v>0.12925413465224378</c:v>
                </c:pt>
                <c:pt idx="23">
                  <c:v>0.10590781986943922</c:v>
                </c:pt>
                <c:pt idx="24">
                  <c:v>8.6485626094573942E-2</c:v>
                </c:pt>
                <c:pt idx="25">
                  <c:v>7.0406381399896731E-2</c:v>
                </c:pt>
                <c:pt idx="26">
                  <c:v>5.7152871071022023E-2</c:v>
                </c:pt>
                <c:pt idx="27">
                  <c:v>4.6271735986723003E-2</c:v>
                </c:pt>
                <c:pt idx="28">
                  <c:v>3.7370489648822967E-2</c:v>
                </c:pt>
                <c:pt idx="29">
                  <c:v>3.0112844377344208E-2</c:v>
                </c:pt>
                <c:pt idx="30">
                  <c:v>2.4213184238803521E-2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33512"/>
        <c:axId val="531233120"/>
      </c:scatterChart>
      <c:valAx>
        <c:axId val="53123351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3120"/>
        <c:crosses val="autoZero"/>
        <c:crossBetween val="midCat"/>
      </c:valAx>
      <c:valAx>
        <c:axId val="53123312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E+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35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 G-C&amp;C with results of RM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Country A</c:v>
          </c:tx>
          <c:marker>
            <c:symbol val="none"/>
          </c:marker>
          <c:cat>
            <c:numRef>
              <c:f>'G-C&amp;C = RF'!$A$9:$A$39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'G-C&amp;C = RF'!$E$9:$E$39</c:f>
              <c:numCache>
                <c:formatCode>0.0%</c:formatCode>
                <c:ptCount val="31"/>
                <c:pt idx="0">
                  <c:v>2.4342283372512557E-3</c:v>
                </c:pt>
                <c:pt idx="1">
                  <c:v>2.9081910749434135E-3</c:v>
                </c:pt>
                <c:pt idx="2">
                  <c:v>3.4185311741033453E-3</c:v>
                </c:pt>
                <c:pt idx="3">
                  <c:v>3.9725298728115407E-3</c:v>
                </c:pt>
                <c:pt idx="4">
                  <c:v>4.5785295035192996E-3</c:v>
                </c:pt>
                <c:pt idx="5">
                  <c:v>5.2461814913838199E-3</c:v>
                </c:pt>
                <c:pt idx="6">
                  <c:v>5.9867518897152323E-3</c:v>
                </c:pt>
                <c:pt idx="7">
                  <c:v>6.8135019067749585E-3</c:v>
                </c:pt>
                <c:pt idx="8">
                  <c:v>7.7421668414293064E-3</c:v>
                </c:pt>
                <c:pt idx="9">
                  <c:v>8.7915652595427132E-3</c:v>
                </c:pt>
                <c:pt idx="10">
                  <c:v>9.9843822708133908E-3</c:v>
                </c:pt>
                <c:pt idx="11">
                  <c:v>1.1348188209241298E-2</c:v>
                </c:pt>
                <c:pt idx="12">
                  <c:v>1.2916779725547842E-2</c:v>
                </c:pt>
                <c:pt idx="13">
                  <c:v>1.4731968852317126E-2</c:v>
                </c:pt>
                <c:pt idx="14">
                  <c:v>1.6846004555390696E-2</c:v>
                </c:pt>
                <c:pt idx="15">
                  <c:v>1.9324903384458792E-2</c:v>
                </c:pt>
                <c:pt idx="16">
                  <c:v>2.225311317575613E-2</c:v>
                </c:pt>
                <c:pt idx="17">
                  <c:v>2.5740175794677238E-2</c:v>
                </c:pt>
                <c:pt idx="18">
                  <c:v>2.9930464475779649E-2</c:v>
                </c:pt>
                <c:pt idx="19">
                  <c:v>3.5017788033478534E-2</c:v>
                </c:pt>
                <c:pt idx="20">
                  <c:v>4.1267957304014301E-2</c:v>
                </c:pt>
                <c:pt idx="21">
                  <c:v>4.9054885014519461E-2</c:v>
                </c:pt>
                <c:pt idx="22">
                  <c:v>5.892074192208787E-2</c:v>
                </c:pt>
                <c:pt idx="23">
                  <c:v>7.1681214307921584E-2</c:v>
                </c:pt>
                <c:pt idx="24">
                  <c:v>8.8620958771864128E-2</c:v>
                </c:pt>
                <c:pt idx="25">
                  <c:v>0.1118844774940173</c:v>
                </c:pt>
                <c:pt idx="26">
                  <c:v>0.1453359935049709</c:v>
                </c:pt>
                <c:pt idx="27">
                  <c:v>0.19670906402254812</c:v>
                </c:pt>
                <c:pt idx="28">
                  <c:v>0.2840553045354105</c:v>
                </c:pt>
                <c:pt idx="29">
                  <c:v>0.46153908782879016</c:v>
                </c:pt>
                <c:pt idx="30">
                  <c:v>1.0000000000000007</c:v>
                </c:pt>
              </c:numCache>
            </c:numRef>
          </c:val>
          <c:smooth val="0"/>
        </c:ser>
        <c:ser>
          <c:idx val="2"/>
          <c:order val="1"/>
          <c:tx>
            <c:v>Country B</c:v>
          </c:tx>
          <c:marker>
            <c:symbol val="none"/>
          </c:marker>
          <c:cat>
            <c:numRef>
              <c:f>'G-C&amp;C = RF'!$A$9:$A$39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'G-C&amp;C = RF'!$I$9:$I$39</c:f>
              <c:numCache>
                <c:formatCode>0.0%</c:formatCode>
                <c:ptCount val="31"/>
                <c:pt idx="0">
                  <c:v>2.4342283372506129E-3</c:v>
                </c:pt>
                <c:pt idx="1">
                  <c:v>2.9081910749439019E-3</c:v>
                </c:pt>
                <c:pt idx="2">
                  <c:v>3.4185311741038631E-3</c:v>
                </c:pt>
                <c:pt idx="3">
                  <c:v>3.9725298728103976E-3</c:v>
                </c:pt>
                <c:pt idx="4">
                  <c:v>4.5785295035200785E-3</c:v>
                </c:pt>
                <c:pt idx="5">
                  <c:v>5.2461814913837401E-3</c:v>
                </c:pt>
                <c:pt idx="6">
                  <c:v>5.986751889714737E-3</c:v>
                </c:pt>
                <c:pt idx="7">
                  <c:v>6.8135019067757782E-3</c:v>
                </c:pt>
                <c:pt idx="8">
                  <c:v>7.7421668414293038E-3</c:v>
                </c:pt>
                <c:pt idx="9">
                  <c:v>8.7915652595425484E-3</c:v>
                </c:pt>
                <c:pt idx="10">
                  <c:v>9.9843822708133856E-3</c:v>
                </c:pt>
                <c:pt idx="11">
                  <c:v>1.1348188209241123E-2</c:v>
                </c:pt>
                <c:pt idx="12">
                  <c:v>1.2916779725547445E-2</c:v>
                </c:pt>
                <c:pt idx="13">
                  <c:v>1.4731968852317761E-2</c:v>
                </c:pt>
                <c:pt idx="14">
                  <c:v>1.6846004555391071E-2</c:v>
                </c:pt>
                <c:pt idx="15">
                  <c:v>1.9324903384457647E-2</c:v>
                </c:pt>
                <c:pt idx="16">
                  <c:v>2.2253113175756459E-2</c:v>
                </c:pt>
                <c:pt idx="17">
                  <c:v>2.5740175794677692E-2</c:v>
                </c:pt>
                <c:pt idx="18">
                  <c:v>2.9930464475779805E-2</c:v>
                </c:pt>
                <c:pt idx="19">
                  <c:v>3.5017788033478867E-2</c:v>
                </c:pt>
                <c:pt idx="20">
                  <c:v>4.1267957304013406E-2</c:v>
                </c:pt>
                <c:pt idx="21">
                  <c:v>4.9054885014519274E-2</c:v>
                </c:pt>
                <c:pt idx="22">
                  <c:v>5.8920741922087037E-2</c:v>
                </c:pt>
                <c:pt idx="23">
                  <c:v>7.1681214307923818E-2</c:v>
                </c:pt>
                <c:pt idx="24">
                  <c:v>8.8620958771861907E-2</c:v>
                </c:pt>
                <c:pt idx="25">
                  <c:v>0.11188447749401741</c:v>
                </c:pt>
                <c:pt idx="26">
                  <c:v>0.14533599350497228</c:v>
                </c:pt>
                <c:pt idx="27">
                  <c:v>0.1967090640225492</c:v>
                </c:pt>
                <c:pt idx="28">
                  <c:v>0.28405530453540961</c:v>
                </c:pt>
                <c:pt idx="29">
                  <c:v>0.46153908782878872</c:v>
                </c:pt>
                <c:pt idx="30">
                  <c:v>0.99999999999999256</c:v>
                </c:pt>
              </c:numCache>
            </c:numRef>
          </c:val>
          <c:smooth val="0"/>
        </c:ser>
        <c:ser>
          <c:idx val="3"/>
          <c:order val="2"/>
          <c:tx>
            <c:v>Country C</c:v>
          </c:tx>
          <c:marker>
            <c:symbol val="none"/>
          </c:marker>
          <c:cat>
            <c:numRef>
              <c:f>'G-C&amp;C = RF'!$A$9:$A$39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'G-C&amp;C = RF'!$M$9:$M$39</c:f>
              <c:numCache>
                <c:formatCode>0.0%</c:formatCode>
                <c:ptCount val="31"/>
                <c:pt idx="0">
                  <c:v>2.4342283372510922E-3</c:v>
                </c:pt>
                <c:pt idx="1">
                  <c:v>2.908191074943623E-3</c:v>
                </c:pt>
                <c:pt idx="2">
                  <c:v>3.4185311741034784E-3</c:v>
                </c:pt>
                <c:pt idx="3">
                  <c:v>3.9725298728112623E-3</c:v>
                </c:pt>
                <c:pt idx="4">
                  <c:v>4.5785295035193786E-3</c:v>
                </c:pt>
                <c:pt idx="5">
                  <c:v>5.2461814913837617E-3</c:v>
                </c:pt>
                <c:pt idx="6">
                  <c:v>5.9867518897151924E-3</c:v>
                </c:pt>
                <c:pt idx="7">
                  <c:v>6.8135019067750236E-3</c:v>
                </c:pt>
                <c:pt idx="8">
                  <c:v>7.7421668414295059E-3</c:v>
                </c:pt>
                <c:pt idx="9">
                  <c:v>8.7915652595424981E-3</c:v>
                </c:pt>
                <c:pt idx="10">
                  <c:v>9.9843822708135608E-3</c:v>
                </c:pt>
                <c:pt idx="11">
                  <c:v>1.1348188209241182E-2</c:v>
                </c:pt>
                <c:pt idx="12">
                  <c:v>1.2916779725547872E-2</c:v>
                </c:pt>
                <c:pt idx="13">
                  <c:v>1.4731968852316929E-2</c:v>
                </c:pt>
                <c:pt idx="14">
                  <c:v>1.6846004555390714E-2</c:v>
                </c:pt>
                <c:pt idx="15">
                  <c:v>1.9324903384458914E-2</c:v>
                </c:pt>
                <c:pt idx="16">
                  <c:v>2.2253113175756168E-2</c:v>
                </c:pt>
                <c:pt idx="17">
                  <c:v>2.5740175794677328E-2</c:v>
                </c:pt>
                <c:pt idx="18">
                  <c:v>2.9930464475779798E-2</c:v>
                </c:pt>
                <c:pt idx="19">
                  <c:v>3.5017788033478527E-2</c:v>
                </c:pt>
                <c:pt idx="20">
                  <c:v>4.126795730401412E-2</c:v>
                </c:pt>
                <c:pt idx="21">
                  <c:v>4.9054885014519371E-2</c:v>
                </c:pt>
                <c:pt idx="22">
                  <c:v>5.8920741922087821E-2</c:v>
                </c:pt>
                <c:pt idx="23">
                  <c:v>7.1681214307921973E-2</c:v>
                </c:pt>
                <c:pt idx="24">
                  <c:v>8.8620958771863684E-2</c:v>
                </c:pt>
                <c:pt idx="25">
                  <c:v>0.11188447749401757</c:v>
                </c:pt>
                <c:pt idx="26">
                  <c:v>0.14533599350497081</c:v>
                </c:pt>
                <c:pt idx="27">
                  <c:v>0.19670906402254845</c:v>
                </c:pt>
                <c:pt idx="28">
                  <c:v>0.28405530453540978</c:v>
                </c:pt>
                <c:pt idx="29">
                  <c:v>0.46153908782878911</c:v>
                </c:pt>
                <c:pt idx="30">
                  <c:v>0.999999999999999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6064"/>
        <c:axId val="531223320"/>
      </c:lineChart>
      <c:catAx>
        <c:axId val="53122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3320"/>
        <c:crosses val="autoZero"/>
        <c:auto val="1"/>
        <c:lblAlgn val="ctr"/>
        <c:lblOffset val="100"/>
        <c:noMultiLvlLbl val="0"/>
      </c:catAx>
      <c:valAx>
        <c:axId val="531223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606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 RM vs. C&amp;C-exp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'G-C&amp;C = RF'!$Y$52</c:f>
              <c:strCache>
                <c:ptCount val="1"/>
                <c:pt idx="0">
                  <c:v>G-C&amp;C ≙ RM</c:v>
                </c:pt>
              </c:strCache>
            </c:strRef>
          </c:tx>
          <c:marker>
            <c:symbol val="none"/>
          </c:marker>
          <c:cat>
            <c:numRef>
              <c:f>'G-C&amp;C = RF'!$A$9:$A$39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'G-C&amp;C = RF'!$E$9:$E$39</c:f>
              <c:numCache>
                <c:formatCode>0.0%</c:formatCode>
                <c:ptCount val="31"/>
                <c:pt idx="0">
                  <c:v>2.4342283372512557E-3</c:v>
                </c:pt>
                <c:pt idx="1">
                  <c:v>2.9081910749434135E-3</c:v>
                </c:pt>
                <c:pt idx="2">
                  <c:v>3.4185311741033453E-3</c:v>
                </c:pt>
                <c:pt idx="3">
                  <c:v>3.9725298728115407E-3</c:v>
                </c:pt>
                <c:pt idx="4">
                  <c:v>4.5785295035192996E-3</c:v>
                </c:pt>
                <c:pt idx="5">
                  <c:v>5.2461814913838199E-3</c:v>
                </c:pt>
                <c:pt idx="6">
                  <c:v>5.9867518897152323E-3</c:v>
                </c:pt>
                <c:pt idx="7">
                  <c:v>6.8135019067749585E-3</c:v>
                </c:pt>
                <c:pt idx="8">
                  <c:v>7.7421668414293064E-3</c:v>
                </c:pt>
                <c:pt idx="9">
                  <c:v>8.7915652595427132E-3</c:v>
                </c:pt>
                <c:pt idx="10">
                  <c:v>9.9843822708133908E-3</c:v>
                </c:pt>
                <c:pt idx="11">
                  <c:v>1.1348188209241298E-2</c:v>
                </c:pt>
                <c:pt idx="12">
                  <c:v>1.2916779725547842E-2</c:v>
                </c:pt>
                <c:pt idx="13">
                  <c:v>1.4731968852317126E-2</c:v>
                </c:pt>
                <c:pt idx="14">
                  <c:v>1.6846004555390696E-2</c:v>
                </c:pt>
                <c:pt idx="15">
                  <c:v>1.9324903384458792E-2</c:v>
                </c:pt>
                <c:pt idx="16">
                  <c:v>2.225311317575613E-2</c:v>
                </c:pt>
                <c:pt idx="17">
                  <c:v>2.5740175794677238E-2</c:v>
                </c:pt>
                <c:pt idx="18">
                  <c:v>2.9930464475779649E-2</c:v>
                </c:pt>
                <c:pt idx="19">
                  <c:v>3.5017788033478534E-2</c:v>
                </c:pt>
                <c:pt idx="20">
                  <c:v>4.1267957304014301E-2</c:v>
                </c:pt>
                <c:pt idx="21">
                  <c:v>4.9054885014519461E-2</c:v>
                </c:pt>
                <c:pt idx="22">
                  <c:v>5.892074192208787E-2</c:v>
                </c:pt>
                <c:pt idx="23">
                  <c:v>7.1681214307921584E-2</c:v>
                </c:pt>
                <c:pt idx="24">
                  <c:v>8.8620958771864128E-2</c:v>
                </c:pt>
                <c:pt idx="25">
                  <c:v>0.1118844774940173</c:v>
                </c:pt>
                <c:pt idx="26">
                  <c:v>0.1453359935049709</c:v>
                </c:pt>
                <c:pt idx="27">
                  <c:v>0.19670906402254812</c:v>
                </c:pt>
                <c:pt idx="28">
                  <c:v>0.2840553045354105</c:v>
                </c:pt>
                <c:pt idx="29">
                  <c:v>0.46153908782879016</c:v>
                </c:pt>
                <c:pt idx="30">
                  <c:v>1.0000000000000007</c:v>
                </c:pt>
              </c:numCache>
            </c:numRef>
          </c:val>
          <c:smooth val="0"/>
        </c:ser>
        <c:ser>
          <c:idx val="0"/>
          <c:order val="1"/>
          <c:tx>
            <c:v>C&amp;C-exp</c:v>
          </c:tx>
          <c:marker>
            <c:symbol val="none"/>
          </c:marker>
          <c:val>
            <c:numRef>
              <c:f>'C&amp;C-exp'!$N$12:$N$42</c:f>
              <c:numCache>
                <c:formatCode>0.0%</c:formatCode>
                <c:ptCount val="31"/>
                <c:pt idx="0">
                  <c:v>2.0838193670452695E-2</c:v>
                </c:pt>
                <c:pt idx="1">
                  <c:v>2.3708171911730948E-2</c:v>
                </c:pt>
                <c:pt idx="2">
                  <c:v>2.6973423142389763E-2</c:v>
                </c:pt>
                <c:pt idx="3">
                  <c:v>3.0688387056043043E-2</c:v>
                </c:pt>
                <c:pt idx="4">
                  <c:v>3.4915001152429612E-2</c:v>
                </c:pt>
                <c:pt idx="5">
                  <c:v>3.9723733386441029E-2</c:v>
                </c:pt>
                <c:pt idx="6">
                  <c:v>4.5194757040620724E-2</c:v>
                </c:pt>
                <c:pt idx="7">
                  <c:v>5.1419287409121751E-2</c:v>
                </c:pt>
                <c:pt idx="8">
                  <c:v>5.8501102578901121E-2</c:v>
                </c:pt>
                <c:pt idx="9">
                  <c:v>6.6558273663278794E-2</c:v>
                </c:pt>
                <c:pt idx="10">
                  <c:v>7.5725133335070319E-2</c:v>
                </c:pt>
                <c:pt idx="11">
                  <c:v>8.6154515479536453E-2</c:v>
                </c:pt>
                <c:pt idx="12">
                  <c:v>9.8020303307621723E-2</c:v>
                </c:pt>
                <c:pt idx="13">
                  <c:v>0.11152032841273718</c:v>
                </c:pt>
                <c:pt idx="14">
                  <c:v>0.12687966910542819</c:v>
                </c:pt>
                <c:pt idx="15">
                  <c:v>0.1443544030172017</c:v>
                </c:pt>
                <c:pt idx="16">
                  <c:v>0.16423587653856192</c:v>
                </c:pt>
                <c:pt idx="17">
                  <c:v>0.18685556227318903</c:v>
                </c:pt>
                <c:pt idx="18">
                  <c:v>0.21259058549385654</c:v>
                </c:pt>
                <c:pt idx="19">
                  <c:v>0.24187001173957287</c:v>
                </c:pt>
                <c:pt idx="20">
                  <c:v>0.27518200038351037</c:v>
                </c:pt>
                <c:pt idx="21">
                  <c:v>0.3130819434391286</c:v>
                </c:pt>
                <c:pt idx="22">
                  <c:v>0.35620172529821947</c:v>
                </c:pt>
                <c:pt idx="23">
                  <c:v>0.40526025778326935</c:v>
                </c:pt>
                <c:pt idx="24">
                  <c:v>0.4610754661591272</c:v>
                </c:pt>
                <c:pt idx="25">
                  <c:v>0.52457792593999841</c:v>
                </c:pt>
                <c:pt idx="26">
                  <c:v>0.59682637785056003</c:v>
                </c:pt>
                <c:pt idx="27">
                  <c:v>0.67902537961340381</c:v>
                </c:pt>
                <c:pt idx="28">
                  <c:v>0.77254538886110746</c:v>
                </c:pt>
                <c:pt idx="29">
                  <c:v>0.87894561200401233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9984"/>
        <c:axId val="531230768"/>
      </c:lineChart>
      <c:catAx>
        <c:axId val="53122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0768"/>
        <c:crosses val="autoZero"/>
        <c:auto val="1"/>
        <c:lblAlgn val="ctr"/>
        <c:lblOffset val="100"/>
        <c:noMultiLvlLbl val="0"/>
      </c:catAx>
      <c:valAx>
        <c:axId val="531230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#,##0.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99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Calibri"/>
              </a:rPr>
              <a:t>Weighting "per capita"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C_t</c:v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cat>
            <c:numRef>
              <c:f>'G-LIMITS = RF'!$A$9:$A$39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'G-LIMITS = RF'!$N$9:$N$39</c:f>
              <c:numCache>
                <c:formatCode>0.0%</c:formatCode>
                <c:ptCount val="31"/>
                <c:pt idx="0">
                  <c:v>2.4342283372512557E-3</c:v>
                </c:pt>
                <c:pt idx="1">
                  <c:v>5.3353402110699003E-3</c:v>
                </c:pt>
                <c:pt idx="2">
                  <c:v>8.7356323583372558E-3</c:v>
                </c:pt>
                <c:pt idx="3">
                  <c:v>1.2673459670647404E-2</c:v>
                </c:pt>
                <c:pt idx="4">
                  <c:v>1.719396336515298E-2</c:v>
                </c:pt>
                <c:pt idx="5">
                  <c:v>2.2349942204167004E-2</c:v>
                </c:pt>
                <c:pt idx="6">
                  <c:v>2.8202890535156414E-2</c:v>
                </c:pt>
                <c:pt idx="7">
                  <c:v>3.4824231993493521E-2</c:v>
                </c:pt>
                <c:pt idx="8">
                  <c:v>4.2296783820704557E-2</c:v>
                </c:pt>
                <c:pt idx="9">
                  <c:v>5.0716494145018776E-2</c:v>
                </c:pt>
                <c:pt idx="10">
                  <c:v>6.0194503550852832E-2</c:v>
                </c:pt>
                <c:pt idx="11">
                  <c:v>7.0859593204637208E-2</c:v>
                </c:pt>
                <c:pt idx="12">
                  <c:v>8.2861095173318827E-2</c:v>
                </c:pt>
                <c:pt idx="13">
                  <c:v>9.6372356952473731E-2</c:v>
                </c:pt>
                <c:pt idx="14">
                  <c:v>0.11159487234362932</c:v>
                </c:pt>
                <c:pt idx="15">
                  <c:v>0.12876321560184648</c:v>
                </c:pt>
                <c:pt idx="16">
                  <c:v>0.14815094636794041</c:v>
                </c:pt>
                <c:pt idx="17">
                  <c:v>0.17007769075895907</c:v>
                </c:pt>
                <c:pt idx="18">
                  <c:v>0.19491765095335506</c:v>
                </c:pt>
                <c:pt idx="19">
                  <c:v>0.22310985400176545</c:v>
                </c:pt>
                <c:pt idx="20">
                  <c:v>0.25517052337673002</c:v>
                </c:pt>
                <c:pt idx="21">
                  <c:v>0.29170804770790926</c:v>
                </c:pt>
                <c:pt idx="22">
                  <c:v>0.33344113503440331</c:v>
                </c:pt>
                <c:pt idx="23">
                  <c:v>0.38122088388284719</c:v>
                </c:pt>
                <c:pt idx="24">
                  <c:v>0.43605768242115595</c:v>
                </c:pt>
                <c:pt idx="25">
                  <c:v>0.49915407396023009</c:v>
                </c:pt>
                <c:pt idx="26">
                  <c:v>0.57194501421413724</c:v>
                </c:pt>
                <c:pt idx="27">
                  <c:v>0.65614730981825942</c:v>
                </c:pt>
                <c:pt idx="28">
                  <c:v>0.75382049044315391</c:v>
                </c:pt>
                <c:pt idx="29">
                  <c:v>0.86744195672615954</c:v>
                </c:pt>
                <c:pt idx="3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3712"/>
        <c:axId val="531231552"/>
      </c:lineChart>
      <c:catAx>
        <c:axId val="53122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31552"/>
        <c:crosses val="autoZero"/>
        <c:auto val="1"/>
        <c:lblAlgn val="ctr"/>
        <c:lblOffset val="100"/>
        <c:noMultiLvlLbl val="0"/>
      </c:catAx>
      <c:valAx>
        <c:axId val="531231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312237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 alignWithMargins="0"/>
    <c:pageMargins b="0.78740157499999996" l="0.7" r="0.7" t="0.78740157499999996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RF!$A$2</c:f>
              <c:strCache>
                <c:ptCount val="1"/>
                <c:pt idx="0">
                  <c:v>RF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(RF!$C$9:$C$40,RF!$C$46:$C$95)</c:f>
              <c:numCache>
                <c:formatCode>#,##0.0</c:formatCode>
                <c:ptCount val="82"/>
                <c:pt idx="0">
                  <c:v>21</c:v>
                </c:pt>
                <c:pt idx="1">
                  <c:v>20.547215458313016</c:v>
                </c:pt>
                <c:pt idx="2">
                  <c:v>20.030691537716812</c:v>
                </c:pt>
                <c:pt idx="3">
                  <c:v>19.455092518697356</c:v>
                </c:pt>
                <c:pt idx="4">
                  <c:v>18.825570883122548</c:v>
                </c:pt>
                <c:pt idx="5">
                  <c:v>18.147689927786825</c:v>
                </c:pt>
                <c:pt idx="6">
                  <c:v>17.427341186140879</c:v>
                </c:pt>
                <c:pt idx="7">
                  <c:v>16.670658387708752</c:v>
                </c:pt>
                <c:pt idx="8">
                  <c:v>15.883929729625061</c:v>
                </c:pt>
                <c:pt idx="9">
                  <c:v>15.073510232180503</c:v>
                </c:pt>
                <c:pt idx="10">
                  <c:v>14.245735901269434</c:v>
                </c:pt>
                <c:pt idx="11">
                  <c:v>13.406841327716663</c:v>
                </c:pt>
                <c:pt idx="12">
                  <c:v>12.562882220532581</c:v>
                </c:pt>
                <c:pt idx="13">
                  <c:v>11.719664203325619</c:v>
                </c:pt>
                <c:pt idx="14">
                  <c:v>10.882679006500132</c:v>
                </c:pt>
                <c:pt idx="15">
                  <c:v>10.057048969339538</c:v>
                </c:pt>
                <c:pt idx="16">
                  <c:v>9.2474805329421432</c:v>
                </c:pt>
                <c:pt idx="17">
                  <c:v>8.4582271647522695</c:v>
                </c:pt>
                <c:pt idx="18">
                  <c:v>7.6930619155340425</c:v>
                </c:pt>
                <c:pt idx="19">
                  <c:v>6.955259577136804</c:v>
                </c:pt>
                <c:pt idx="20">
                  <c:v>6.2475881907749491</c:v>
                </c:pt>
                <c:pt idx="21">
                  <c:v>5.5723094564684414</c:v>
                </c:pt>
                <c:pt idx="22">
                  <c:v>4.9311874194817111</c:v>
                </c:pt>
                <c:pt idx="23">
                  <c:v>4.3255046626991218</c:v>
                </c:pt>
                <c:pt idx="24">
                  <c:v>3.7560851173828773</c:v>
                </c:pt>
                <c:pt idx="25">
                  <c:v>3.2233225200091211</c:v>
                </c:pt>
                <c:pt idx="26">
                  <c:v>2.7272134900715628</c:v>
                </c:pt>
                <c:pt idx="27">
                  <c:v>2.2673941820180259</c:v>
                </c:pt>
                <c:pt idx="28">
                  <c:v>1.8431794720279737</c:v>
                </c:pt>
                <c:pt idx="29">
                  <c:v>1.4536036745156049</c:v>
                </c:pt>
                <c:pt idx="30">
                  <c:v>1.0974618407642864</c:v>
                </c:pt>
                <c:pt idx="31">
                  <c:v>0.7733507691894369</c:v>
                </c:pt>
                <c:pt idx="32" formatCode="0.0">
                  <c:v>0.67922401305673408</c:v>
                </c:pt>
                <c:pt idx="33" formatCode="0.0">
                  <c:v>0.59432512095118173</c:v>
                </c:pt>
                <c:pt idx="34" formatCode="0.0">
                  <c:v>0.51808805976039229</c:v>
                </c:pt>
                <c:pt idx="35" formatCode="0.0">
                  <c:v>0.44993042991229248</c:v>
                </c:pt>
                <c:pt idx="36" formatCode="0.0">
                  <c:v>0.3892631009381311</c:v>
                </c:pt>
                <c:pt idx="37" formatCode="0.0">
                  <c:v>0.33549878468568733</c:v>
                </c:pt>
                <c:pt idx="38" formatCode="0.0">
                  <c:v>0.28805950670893604</c:v>
                </c:pt>
                <c:pt idx="39" formatCode="0.0">
                  <c:v>0.24638296647093647</c:v>
                </c:pt>
                <c:pt idx="40" formatCode="0.0">
                  <c:v>0.2099278036881618</c:v>
                </c:pt>
                <c:pt idx="41" formatCode="0.0">
                  <c:v>0.17817781104482394</c:v>
                </c:pt>
                <c:pt idx="42" formatCode="0.0">
                  <c:v>0.15064515241260856</c:v>
                </c:pt>
                <c:pt idx="43" formatCode="0.0">
                  <c:v>0.12687266057856594</c:v>
                </c:pt>
                <c:pt idx="44" formatCode="0.0">
                  <c:v>0.10643529940410673</c:v>
                </c:pt>
                <c:pt idx="45" formatCode="0.0">
                  <c:v>8.8940882520877326E-2</c:v>
                </c:pt>
                <c:pt idx="46" formatCode="0.0">
                  <c:v>7.4030144418831711E-2</c:v>
                </c:pt>
                <c:pt idx="47" formatCode="0.0">
                  <c:v>6.1376260472816184E-2</c:v>
                </c:pt>
                <c:pt idx="48" formatCode="0.0">
                  <c:v>5.0683910508547897E-2</c:v>
                </c:pt>
                <c:pt idx="49" formatCode="0.0">
                  <c:v>4.1687976374534287E-2</c:v>
                </c:pt>
                <c:pt idx="50" formatCode="0.0">
                  <c:v>3.4151958116388603E-2</c:v>
                </c:pt>
                <c:pt idx="51" formatCode="0.0">
                  <c:v>2.7866186185702961E-2</c:v>
                </c:pt>
                <c:pt idx="52" formatCode="0.0">
                  <c:v>2.2645899072934614E-2</c:v>
                </c:pt>
                <c:pt idx="53" formatCode="0.0">
                  <c:v>1.8329247211639352E-2</c:v>
                </c:pt>
                <c:pt idx="54" formatCode="0.0">
                  <c:v>1.4775275294181562E-2</c:v>
                </c:pt>
                <c:pt idx="55" formatCode="0.0">
                  <c:v>1.1221303376723769E-2</c:v>
                </c:pt>
                <c:pt idx="56" formatCode="0.0">
                  <c:v>7.6673314592659771E-3</c:v>
                </c:pt>
                <c:pt idx="57" formatCode="0.0">
                  <c:v>4.1133595418081856E-3</c:v>
                </c:pt>
                <c:pt idx="58" formatCode="0.0">
                  <c:v>5.5938762435039317E-4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RF'!$A$2</c:f>
              <c:strCache>
                <c:ptCount val="1"/>
                <c:pt idx="0">
                  <c:v>SPM-16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RF'!$C$11:$C$42,'SPM = RF'!$C$51:$C$100)</c:f>
              <c:numCache>
                <c:formatCode>#,##0.0</c:formatCode>
                <c:ptCount val="82"/>
                <c:pt idx="0">
                  <c:v>21</c:v>
                </c:pt>
                <c:pt idx="1">
                  <c:v>20.939552694170402</c:v>
                </c:pt>
                <c:pt idx="2">
                  <c:v>20.608016746228088</c:v>
                </c:pt>
                <c:pt idx="3">
                  <c:v>20.02251213831741</c:v>
                </c:pt>
                <c:pt idx="4">
                  <c:v>19.252950799744269</c:v>
                </c:pt>
                <c:pt idx="5">
                  <c:v>18.35557610079934</c:v>
                </c:pt>
                <c:pt idx="6">
                  <c:v>17.375307971334195</c:v>
                </c:pt>
                <c:pt idx="7">
                  <c:v>16.347712703188222</c:v>
                </c:pt>
                <c:pt idx="8">
                  <c:v>15.30065495712347</c:v>
                </c:pt>
                <c:pt idx="9">
                  <c:v>14.255680936281294</c:v>
                </c:pt>
                <c:pt idx="10">
                  <c:v>13.229174375899589</c:v>
                </c:pt>
                <c:pt idx="11">
                  <c:v>12.23332075458265</c:v>
                </c:pt>
                <c:pt idx="12">
                  <c:v>11.276909802470286</c:v>
                </c:pt>
                <c:pt idx="13">
                  <c:v>10.366001834614877</c:v>
                </c:pt>
                <c:pt idx="14">
                  <c:v>9.5044795608449277</c:v>
                </c:pt>
                <c:pt idx="15">
                  <c:v>8.6945037195009292</c:v>
                </c:pt>
                <c:pt idx="16">
                  <c:v>7.9368880686165113</c:v>
                </c:pt>
                <c:pt idx="17">
                  <c:v>7.2314068731842696</c:v>
                </c:pt>
                <c:pt idx="18">
                  <c:v>6.5770459900594602</c:v>
                </c:pt>
                <c:pt idx="19">
                  <c:v>5.972206920552324</c:v>
                </c:pt>
                <c:pt idx="20">
                  <c:v>5.414871730055971</c:v>
                </c:pt>
                <c:pt idx="21">
                  <c:v>4.9027354858424204</c:v>
                </c:pt>
                <c:pt idx="22">
                  <c:v>4.4333118056242782</c:v>
                </c:pt>
                <c:pt idx="23">
                  <c:v>4.0040162125804599</c:v>
                </c:pt>
                <c:pt idx="24">
                  <c:v>3.6122312332895206</c:v>
                </c:pt>
                <c:pt idx="25">
                  <c:v>3.2553565329017573</c:v>
                </c:pt>
                <c:pt idx="26">
                  <c:v>2.9308468394063638</c:v>
                </c:pt>
                <c:pt idx="27">
                  <c:v>2.6362399510477807</c:v>
                </c:pt>
                <c:pt idx="28">
                  <c:v>2.3691767350651034</c:v>
                </c:pt>
                <c:pt idx="29">
                  <c:v>2.1274147010767805</c:v>
                </c:pt>
                <c:pt idx="30">
                  <c:v>1.9088364593326137</c:v>
                </c:pt>
                <c:pt idx="31">
                  <c:v>1.7114541447994505</c:v>
                </c:pt>
                <c:pt idx="32">
                  <c:v>1.5334106959008551</c:v>
                </c:pt>
                <c:pt idx="33">
                  <c:v>1.3729787159656155</c:v>
                </c:pt>
                <c:pt idx="34">
                  <c:v>1.2285575111833804</c:v>
                </c:pt>
                <c:pt idx="35">
                  <c:v>1.0986687869737199</c:v>
                </c:pt>
                <c:pt idx="36">
                  <c:v>0.98195139163468514</c:v>
                </c:pt>
                <c:pt idx="37">
                  <c:v>0.87715541896162108</c:v>
                </c:pt>
                <c:pt idx="38">
                  <c:v>0.78313591768713575</c:v>
                </c:pt>
                <c:pt idx="39">
                  <c:v>0.69884640294703626</c:v>
                </c:pt>
                <c:pt idx="40">
                  <c:v>0.62333232170826669</c:v>
                </c:pt>
                <c:pt idx="41">
                  <c:v>0.5557245886723523</c:v>
                </c:pt>
                <c:pt idx="42">
                  <c:v>0.49523328029486846</c:v>
                </c:pt>
                <c:pt idx="43">
                  <c:v>0.44114155114540976</c:v>
                </c:pt>
                <c:pt idx="44">
                  <c:v>0.392799817953287</c:v>
                </c:pt>
                <c:pt idx="45">
                  <c:v>0.34962024156638138</c:v>
                </c:pt>
                <c:pt idx="46">
                  <c:v>0.31107152504285329</c:v>
                </c:pt>
                <c:pt idx="47">
                  <c:v>0.27667403665200618</c:v>
                </c:pt>
                <c:pt idx="48">
                  <c:v>0.24599525922315313</c:v>
                </c:pt>
                <c:pt idx="49">
                  <c:v>0.21864556166713922</c:v>
                </c:pt>
                <c:pt idx="50">
                  <c:v>0.1942742842850933</c:v>
                </c:pt>
                <c:pt idx="51">
                  <c:v>0.17256612640618796</c:v>
                </c:pt>
                <c:pt idx="52">
                  <c:v>0.15323782274016007</c:v>
                </c:pt>
                <c:pt idx="53">
                  <c:v>0.13603509340736042</c:v>
                </c:pt>
                <c:pt idx="54">
                  <c:v>0.12072985176769147</c:v>
                </c:pt>
                <c:pt idx="55">
                  <c:v>0.10711765378528371</c:v>
                </c:pt>
                <c:pt idx="56">
                  <c:v>9.5015372635359752E-2</c:v>
                </c:pt>
                <c:pt idx="57">
                  <c:v>8.4259082499836935E-2</c:v>
                </c:pt>
                <c:pt idx="58">
                  <c:v>7.4702135940478476E-2</c:v>
                </c:pt>
                <c:pt idx="59">
                  <c:v>6.621341982752782E-2</c:v>
                </c:pt>
                <c:pt idx="60">
                  <c:v>5.8675775493320481E-2</c:v>
                </c:pt>
                <c:pt idx="61">
                  <c:v>5.1984569538830849E-2</c:v>
                </c:pt>
                <c:pt idx="62">
                  <c:v>4.6046402518191976E-2</c:v>
                </c:pt>
                <c:pt idx="63">
                  <c:v>4.0777943540004302E-2</c:v>
                </c:pt>
                <c:pt idx="64">
                  <c:v>3.6104879637464615E-2</c:v>
                </c:pt>
                <c:pt idx="65">
                  <c:v>3.1960969559129859E-2</c:v>
                </c:pt>
                <c:pt idx="66">
                  <c:v>2.8287192408612633E-2</c:v>
                </c:pt>
                <c:pt idx="67">
                  <c:v>2.5030982307845701E-2</c:v>
                </c:pt>
                <c:pt idx="68">
                  <c:v>2.2145540969742722E-2</c:v>
                </c:pt>
                <c:pt idx="69">
                  <c:v>1.9589220739073931E-2</c:v>
                </c:pt>
                <c:pt idx="70">
                  <c:v>1.7324971293372987E-2</c:v>
                </c:pt>
                <c:pt idx="71">
                  <c:v>1.5319843787966067E-2</c:v>
                </c:pt>
                <c:pt idx="72">
                  <c:v>1.3544546780934863E-2</c:v>
                </c:pt>
                <c:pt idx="73">
                  <c:v>1.197304878569827E-2</c:v>
                </c:pt>
                <c:pt idx="74">
                  <c:v>1.0582222772149097E-2</c:v>
                </c:pt>
                <c:pt idx="75">
                  <c:v>9.3515283734813826E-3</c:v>
                </c:pt>
                <c:pt idx="76">
                  <c:v>8.2627279567221643E-3</c:v>
                </c:pt>
                <c:pt idx="77">
                  <c:v>7.2996330825201919E-3</c:v>
                </c:pt>
                <c:pt idx="78">
                  <c:v>6.447878215902654E-3</c:v>
                </c:pt>
                <c:pt idx="79">
                  <c:v>5.6947188565521986E-3</c:v>
                </c:pt>
                <c:pt idx="80">
                  <c:v>5.0288515366908593E-3</c:v>
                </c:pt>
                <c:pt idx="81">
                  <c:v>4.4402533888797044E-3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4496"/>
        <c:axId val="531231160"/>
      </c:lineChart>
      <c:catAx>
        <c:axId val="53122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31160"/>
        <c:crosses val="autoZero"/>
        <c:auto val="1"/>
        <c:lblAlgn val="ctr"/>
        <c:lblOffset val="100"/>
        <c:tickLblSkip val="6"/>
        <c:noMultiLvlLbl val="0"/>
      </c:catAx>
      <c:valAx>
        <c:axId val="5312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C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RF!$A$2</c:f>
              <c:strCache>
                <c:ptCount val="1"/>
                <c:pt idx="0">
                  <c:v>RF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(RF!$I$10:$I$40,RF!$I$46:$I$95)</c:f>
              <c:numCache>
                <c:formatCode>#,##0.0</c:formatCode>
                <c:ptCount val="81"/>
                <c:pt idx="0">
                  <c:v>1.2247591461788552</c:v>
                </c:pt>
                <c:pt idx="1">
                  <c:v>1.2213847938364679</c:v>
                </c:pt>
                <c:pt idx="2">
                  <c:v>1.2176245151336695</c:v>
                </c:pt>
                <c:pt idx="3">
                  <c:v>1.2135119702526249</c:v>
                </c:pt>
                <c:pt idx="4">
                  <c:v>1.2090835031511276</c:v>
                </c:pt>
                <c:pt idx="5">
                  <c:v>1.2043776020944974</c:v>
                </c:pt>
                <c:pt idx="6">
                  <c:v>1.1994343375688468</c:v>
                </c:pt>
                <c:pt idx="7">
                  <c:v>1.1942947891677516</c:v>
                </c:pt>
                <c:pt idx="8">
                  <c:v>1.189000473027733</c:v>
                </c:pt>
                <c:pt idx="9">
                  <c:v>1.1835927810678846</c:v>
                </c:pt>
                <c:pt idx="10">
                  <c:v>1.178112442681976</c:v>
                </c:pt>
                <c:pt idx="11">
                  <c:v>1.1725990186629716</c:v>
                </c:pt>
                <c:pt idx="12">
                  <c:v>1.1670904360435628</c:v>
                </c:pt>
                <c:pt idx="13">
                  <c:v>1.161622571251955</c:v>
                </c:pt>
                <c:pt idx="14">
                  <c:v>1.156228887554553</c:v>
                </c:pt>
                <c:pt idx="15">
                  <c:v>1.150940131234174</c:v>
                </c:pt>
                <c:pt idx="16">
                  <c:v>1.1457840893830742</c:v>
                </c:pt>
                <c:pt idx="17">
                  <c:v>1.1407854106228876</c:v>
                </c:pt>
                <c:pt idx="18">
                  <c:v>1.1359654885447084</c:v>
                </c:pt>
                <c:pt idx="19">
                  <c:v>1.1313424062343016</c:v>
                </c:pt>
                <c:pt idx="20">
                  <c:v>1.1269309389468987</c:v>
                </c:pt>
                <c:pt idx="21">
                  <c:v>1.1227426108540488</c:v>
                </c:pt>
                <c:pt idx="22">
                  <c:v>1.1187858008253213</c:v>
                </c:pt>
                <c:pt idx="23">
                  <c:v>1.1150658914466407</c:v>
                </c:pt>
                <c:pt idx="24">
                  <c:v>1.1115854549233732</c:v>
                </c:pt>
                <c:pt idx="25">
                  <c:v>1.108344469171316</c:v>
                </c:pt>
                <c:pt idx="26">
                  <c:v>1.1053405572568122</c:v>
                </c:pt>
                <c:pt idx="27">
                  <c:v>1.1025692433965022</c:v>
                </c:pt>
                <c:pt idx="28">
                  <c:v>1.1000242189504787</c:v>
                </c:pt>
                <c:pt idx="29">
                  <c:v>1.0976976122183963</c:v>
                </c:pt>
                <c:pt idx="30">
                  <c:v>1.0955802563517025</c:v>
                </c:pt>
                <c:pt idx="31" formatCode="0.0">
                  <c:v>0.96223401849704016</c:v>
                </c:pt>
                <c:pt idx="32" formatCode="0.0">
                  <c:v>0.84196058801417428</c:v>
                </c:pt>
                <c:pt idx="33" formatCode="0.0">
                  <c:v>0.73395808466055579</c:v>
                </c:pt>
                <c:pt idx="34" formatCode="0.0">
                  <c:v>0.63740144237574781</c:v>
                </c:pt>
                <c:pt idx="35" formatCode="0.0">
                  <c:v>0.55145605966235256</c:v>
                </c:pt>
                <c:pt idx="36" formatCode="0.0">
                  <c:v>0.47528994497139049</c:v>
                </c:pt>
                <c:pt idx="37" formatCode="0.0">
                  <c:v>0.40808430117099276</c:v>
                </c:pt>
                <c:pt idx="38" formatCode="0.0">
                  <c:v>0.34904253583382672</c:v>
                </c:pt>
                <c:pt idx="39" formatCode="0.0">
                  <c:v>0.29739772189156261</c:v>
                </c:pt>
                <c:pt idx="40" formatCode="0.0">
                  <c:v>0.25241856564683396</c:v>
                </c:pt>
                <c:pt idx="41" formatCode="0.0">
                  <c:v>0.21341396591786219</c:v>
                </c:pt>
                <c:pt idx="42" formatCode="0.0">
                  <c:v>0.17973626915296848</c:v>
                </c:pt>
                <c:pt idx="43" formatCode="0.0">
                  <c:v>0.15078334082248457</c:v>
                </c:pt>
                <c:pt idx="44" formatCode="0.0">
                  <c:v>0.12599958357124288</c:v>
                </c:pt>
                <c:pt idx="45" formatCode="0.0">
                  <c:v>0.10487603792667828</c:v>
                </c:pt>
                <c:pt idx="46" formatCode="0.0">
                  <c:v>8.6949702336489618E-2</c:v>
                </c:pt>
                <c:pt idx="47" formatCode="0.0">
                  <c:v>7.1802206553776199E-2</c:v>
                </c:pt>
                <c:pt idx="48" formatCode="0.0">
                  <c:v>5.9057966530590256E-2</c:v>
                </c:pt>
                <c:pt idx="49" formatCode="0.0">
                  <c:v>4.8381940664883862E-2</c:v>
                </c:pt>
                <c:pt idx="50" formatCode="0.0">
                  <c:v>3.9477097096412533E-2</c:v>
                </c:pt>
                <c:pt idx="51" formatCode="0.0">
                  <c:v>3.2081690353324047E-2</c:v>
                </c:pt>
                <c:pt idx="52" formatCode="0.0">
                  <c:v>2.5966433549822421E-2</c:v>
                </c:pt>
                <c:pt idx="53" formatCode="0.0">
                  <c:v>2.093164000009055E-2</c:v>
                </c:pt>
                <c:pt idx="54" formatCode="0.0">
                  <c:v>1.5896846450358677E-2</c:v>
                </c:pt>
                <c:pt idx="55" formatCode="0.0">
                  <c:v>1.0862052900626803E-2</c:v>
                </c:pt>
                <c:pt idx="56" formatCode="0.0">
                  <c:v>5.8272593508949299E-3</c:v>
                </c:pt>
                <c:pt idx="57" formatCode="0.0">
                  <c:v>7.9246580116305713E-4</c:v>
                </c:pt>
                <c:pt idx="58" formatCode="0.0">
                  <c:v>0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RF'!$A$2</c:f>
              <c:strCache>
                <c:ptCount val="1"/>
                <c:pt idx="0">
                  <c:v>SPM-16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RF'!$I$12:$I$42,'SPM = RF'!$I$51:$I$100)</c:f>
              <c:numCache>
                <c:formatCode>#,##0.0</c:formatCode>
                <c:ptCount val="81"/>
                <c:pt idx="0">
                  <c:v>1.2386267760239917</c:v>
                </c:pt>
                <c:pt idx="1">
                  <c:v>1.2552909923131281</c:v>
                </c:pt>
                <c:pt idx="2">
                  <c:v>1.2648918576900527</c:v>
                </c:pt>
                <c:pt idx="3">
                  <c:v>1.2682562276318308</c:v>
                </c:pt>
                <c:pt idx="4">
                  <c:v>1.2661346172794126</c:v>
                </c:pt>
                <c:pt idx="5">
                  <c:v>1.2592075506346134</c:v>
                </c:pt>
                <c:pt idx="6">
                  <c:v>1.248091411985655</c:v>
                </c:pt>
                <c:pt idx="7">
                  <c:v>1.2333438371297589</c:v>
                </c:pt>
                <c:pt idx="8">
                  <c:v>1.2154686791989491</c:v>
                </c:pt>
                <c:pt idx="9">
                  <c:v>1.1949205813346069</c:v>
                </c:pt>
                <c:pt idx="10">
                  <c:v>1.1721091860778614</c:v>
                </c:pt>
                <c:pt idx="11">
                  <c:v>1.1474030091383156</c:v>
                </c:pt>
                <c:pt idx="12">
                  <c:v>1.1211330031575741</c:v>
                </c:pt>
                <c:pt idx="13">
                  <c:v>1.0935958351856598</c:v>
                </c:pt>
                <c:pt idx="14">
                  <c:v>1.0650568998291305</c:v>
                </c:pt>
                <c:pt idx="15">
                  <c:v>1.0357530883962731</c:v>
                </c:pt>
                <c:pt idx="16">
                  <c:v>1.005895332851992</c:v>
                </c:pt>
                <c:pt idx="17">
                  <c:v>0.97567094199042614</c:v>
                </c:pt>
                <c:pt idx="18">
                  <c:v>0.94524574593310007</c:v>
                </c:pt>
                <c:pt idx="19">
                  <c:v>0.91476606385283787</c:v>
                </c:pt>
                <c:pt idx="20">
                  <c:v>0.88436050870687666</c:v>
                </c:pt>
                <c:pt idx="21">
                  <c:v>0.85414164172511775</c:v>
                </c:pt>
                <c:pt idx="22">
                  <c:v>0.82420748843973257</c:v>
                </c:pt>
                <c:pt idx="23">
                  <c:v>0.79464292715240603</c:v>
                </c:pt>
                <c:pt idx="24">
                  <c:v>0.76552095991071667</c:v>
                </c:pt>
                <c:pt idx="25">
                  <c:v>0.7369038753018593</c:v>
                </c:pt>
                <c:pt idx="26">
                  <c:v>0.70884431166402173</c:v>
                </c:pt>
                <c:pt idx="27">
                  <c:v>0.68138622866096021</c:v>
                </c:pt>
                <c:pt idx="28">
                  <c:v>0.65456579455829811</c:v>
                </c:pt>
                <c:pt idx="29">
                  <c:v>0.62841219597856579</c:v>
                </c:pt>
                <c:pt idx="30">
                  <c:v>0.60294837639172805</c:v>
                </c:pt>
                <c:pt idx="31">
                  <c:v>0.57819170911679763</c:v>
                </c:pt>
                <c:pt idx="32">
                  <c:v>0.55415461016454692</c:v>
                </c:pt>
                <c:pt idx="33">
                  <c:v>0.53084509583893968</c:v>
                </c:pt>
                <c:pt idx="34">
                  <c:v>0.50826728963372325</c:v>
                </c:pt>
                <c:pt idx="35">
                  <c:v>0.48642188260763852</c:v>
                </c:pt>
                <c:pt idx="36">
                  <c:v>0.46530655109524943</c:v>
                </c:pt>
                <c:pt idx="37">
                  <c:v>0.44491633530880748</c:v>
                </c:pt>
                <c:pt idx="38">
                  <c:v>0.42524398210730396</c:v>
                </c:pt>
                <c:pt idx="39">
                  <c:v>0.40628025495104314</c:v>
                </c:pt>
                <c:pt idx="40">
                  <c:v>0.38801421382134027</c:v>
                </c:pt>
                <c:pt idx="41">
                  <c:v>0.37043346766495677</c:v>
                </c:pt>
                <c:pt idx="42">
                  <c:v>0.35352440171904487</c:v>
                </c:pt>
                <c:pt idx="43">
                  <c:v>0.337272381884131</c:v>
                </c:pt>
                <c:pt idx="44">
                  <c:v>0.321661938139429</c:v>
                </c:pt>
                <c:pt idx="45">
                  <c:v>0.30667692883374276</c:v>
                </c:pt>
                <c:pt idx="46">
                  <c:v>0.29230068753771921</c:v>
                </c:pt>
                <c:pt idx="47">
                  <c:v>0.27851615400591268</c:v>
                </c:pt>
                <c:pt idx="48">
                  <c:v>0.26530599067154625</c:v>
                </c:pt>
                <c:pt idx="49">
                  <c:v>0.25265268597998958</c:v>
                </c:pt>
                <c:pt idx="50">
                  <c:v>0.2405386457598917</c:v>
                </c:pt>
                <c:pt idx="51">
                  <c:v>0.2289462737318182</c:v>
                </c:pt>
                <c:pt idx="52">
                  <c:v>0.21785804216295634</c:v>
                </c:pt>
                <c:pt idx="53">
                  <c:v>0.20725655359235207</c:v>
                </c:pt>
                <c:pt idx="54">
                  <c:v>0.19712459447357711</c:v>
                </c:pt>
                <c:pt idx="55">
                  <c:v>0.18744518151035816</c:v>
                </c:pt>
                <c:pt idx="56">
                  <c:v>0.17820160139492813</c:v>
                </c:pt>
                <c:pt idx="57">
                  <c:v>0.16937744459827009</c:v>
                </c:pt>
                <c:pt idx="58">
                  <c:v>0.16095663380570624</c:v>
                </c:pt>
                <c:pt idx="59">
                  <c:v>0.15292344754005072</c:v>
                </c:pt>
                <c:pt idx="60">
                  <c:v>0.14526253946734613</c:v>
                </c:pt>
                <c:pt idx="61">
                  <c:v>0.1379589538367787</c:v>
                </c:pt>
                <c:pt idx="62">
                  <c:v>0.13099813746665623</c:v>
                </c:pt>
                <c:pt idx="63">
                  <c:v>0.12436594865152362</c:v>
                </c:pt>
                <c:pt idx="64">
                  <c:v>0.11804866333200348</c:v>
                </c:pt>
                <c:pt idx="65">
                  <c:v>0.11203297883795638</c:v>
                </c:pt>
                <c:pt idx="66">
                  <c:v>0.10630601548728791</c:v>
                </c:pt>
                <c:pt idx="67">
                  <c:v>0.10085531629667011</c:v>
                </c:pt>
                <c:pt idx="68">
                  <c:v>9.5668845036618322E-2</c:v>
                </c:pt>
                <c:pt idx="69">
                  <c:v>9.0734982841569778E-2</c:v>
                </c:pt>
                <c:pt idx="70">
                  <c:v>8.604252356546449E-2</c:v>
                </c:pt>
                <c:pt idx="71">
                  <c:v>8.1580668055155625E-2</c:v>
                </c:pt>
                <c:pt idx="72">
                  <c:v>7.7339017497082496E-2</c:v>
                </c:pt>
                <c:pt idx="73">
                  <c:v>7.3307565977371869E-2</c:v>
                </c:pt>
                <c:pt idx="74">
                  <c:v>6.9476692381473359E-2</c:v>
                </c:pt>
                <c:pt idx="75">
                  <c:v>6.5837151746648059E-2</c:v>
                </c:pt>
                <c:pt idx="76">
                  <c:v>6.2380066168949311E-2</c:v>
                </c:pt>
                <c:pt idx="77">
                  <c:v>5.9096915355605795E-2</c:v>
                </c:pt>
                <c:pt idx="78">
                  <c:v>5.5979526904093024E-2</c:v>
                </c:pt>
                <c:pt idx="79">
                  <c:v>5.302006638022505E-2</c:v>
                </c:pt>
                <c:pt idx="80">
                  <c:v>5.0211027259600138E-2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4888"/>
        <c:axId val="531231944"/>
      </c:lineChart>
      <c:catAx>
        <c:axId val="53122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de-DE" sz="9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31944"/>
        <c:crosses val="autoZero"/>
        <c:auto val="1"/>
        <c:lblAlgn val="ctr"/>
        <c:lblOffset val="100"/>
        <c:tickLblSkip val="6"/>
        <c:noMultiLvlLbl val="0"/>
      </c:catAx>
      <c:valAx>
        <c:axId val="531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4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B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RF!$A$2</c:f>
              <c:strCache>
                <c:ptCount val="1"/>
                <c:pt idx="0">
                  <c:v>RF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(RF!$F$9:$F$40,RF!$F$46:$F$95)</c:f>
              <c:numCache>
                <c:formatCode>#,##0.0</c:formatCode>
                <c:ptCount val="82"/>
                <c:pt idx="0">
                  <c:v>19.5</c:v>
                </c:pt>
                <c:pt idx="1">
                  <c:v>19.121188154787276</c:v>
                </c:pt>
                <c:pt idx="2">
                  <c:v>18.689050214016273</c:v>
                </c:pt>
                <c:pt idx="3">
                  <c:v>18.207488441423497</c:v>
                </c:pt>
                <c:pt idx="4">
                  <c:v>17.680813543281147</c:v>
                </c:pt>
                <c:pt idx="5">
                  <c:v>17.113679924786705</c:v>
                </c:pt>
                <c:pt idx="6">
                  <c:v>16.511016602839188</c:v>
                </c:pt>
                <c:pt idx="7">
                  <c:v>15.877955222150627</c:v>
                </c:pt>
                <c:pt idx="8">
                  <c:v>15.219756659231409</c:v>
                </c:pt>
                <c:pt idx="9">
                  <c:v>14.541737696659206</c:v>
                </c:pt>
                <c:pt idx="10">
                  <c:v>13.849199209051291</c:v>
                </c:pt>
                <c:pt idx="11">
                  <c:v>13.14735722442331</c:v>
                </c:pt>
                <c:pt idx="12">
                  <c:v>12.441278113406538</c:v>
                </c:pt>
                <c:pt idx="13">
                  <c:v>11.735819018392643</c:v>
                </c:pt>
                <c:pt idx="14">
                  <c:v>11.035574470193421</c:v>
                </c:pt>
                <c:pt idx="15">
                  <c:v>10.344829956976216</c:v>
                </c:pt>
                <c:pt idx="16">
                  <c:v>9.6675230151909037</c:v>
                </c:pt>
                <c:pt idx="17">
                  <c:v>9.0072122112256743</c:v>
                </c:pt>
                <c:pt idx="18">
                  <c:v>8.3670541818259263</c:v>
                </c:pt>
                <c:pt idx="19">
                  <c:v>7.7497887067962328</c:v>
                </c:pt>
                <c:pt idx="20">
                  <c:v>7.1577316045966146</c:v>
                </c:pt>
                <c:pt idx="21">
                  <c:v>6.5927750748915903</c:v>
                </c:pt>
                <c:pt idx="22">
                  <c:v>6.0563949658608873</c:v>
                </c:pt>
                <c:pt idx="23">
                  <c:v>5.5496643211805416</c:v>
                </c:pt>
                <c:pt idx="24">
                  <c:v>5.0732724641225042</c:v>
                </c:pt>
                <c:pt idx="25">
                  <c:v>4.6275488053166054</c:v>
                </c:pt>
                <c:pt idx="26">
                  <c:v>4.2124905165394697</c:v>
                </c:pt>
                <c:pt idx="27">
                  <c:v>3.8277931947200936</c:v>
                </c:pt>
                <c:pt idx="28">
                  <c:v>3.4728836466622379</c:v>
                </c:pt>
                <c:pt idx="29">
                  <c:v>3.1469539535767823</c:v>
                </c:pt>
                <c:pt idx="30">
                  <c:v>2.8489960226409585</c:v>
                </c:pt>
                <c:pt idx="31">
                  <c:v>2.5778358972981232</c:v>
                </c:pt>
                <c:pt idx="32" formatCode="0.0">
                  <c:v>2.2640800435224473</c:v>
                </c:pt>
                <c:pt idx="33" formatCode="0.0">
                  <c:v>1.9810837365039393</c:v>
                </c:pt>
                <c:pt idx="34" formatCode="0.0">
                  <c:v>1.7269601992013077</c:v>
                </c:pt>
                <c:pt idx="35" formatCode="0.0">
                  <c:v>1.4997680997076417</c:v>
                </c:pt>
                <c:pt idx="36" formatCode="0.0">
                  <c:v>1.2975436697937706</c:v>
                </c:pt>
                <c:pt idx="37" formatCode="0.0">
                  <c:v>1.1183292822856246</c:v>
                </c:pt>
                <c:pt idx="38" formatCode="0.0">
                  <c:v>0.96019835569645351</c:v>
                </c:pt>
                <c:pt idx="39" formatCode="0.0">
                  <c:v>0.82127655490312168</c:v>
                </c:pt>
                <c:pt idx="40" formatCode="0.0">
                  <c:v>0.6997593456272061</c:v>
                </c:pt>
                <c:pt idx="41" formatCode="0.0">
                  <c:v>0.59392603681607992</c:v>
                </c:pt>
                <c:pt idx="42" formatCode="0.0">
                  <c:v>0.50215050804202865</c:v>
                </c:pt>
                <c:pt idx="43" formatCode="0.0">
                  <c:v>0.42290886859521987</c:v>
                </c:pt>
                <c:pt idx="44" formatCode="0.0">
                  <c:v>0.35478433134702247</c:v>
                </c:pt>
                <c:pt idx="45" formatCode="0.0">
                  <c:v>0.29646960840292441</c:v>
                </c:pt>
                <c:pt idx="46" formatCode="0.0">
                  <c:v>0.24676714806277239</c:v>
                </c:pt>
                <c:pt idx="47" formatCode="0.0">
                  <c:v>0.2045875349093873</c:v>
                </c:pt>
                <c:pt idx="48" formatCode="0.0">
                  <c:v>0.16894636836182633</c:v>
                </c:pt>
                <c:pt idx="49" formatCode="0.0">
                  <c:v>0.13895992124844764</c:v>
                </c:pt>
                <c:pt idx="50" formatCode="0.0">
                  <c:v>0.11383986038796201</c:v>
                </c:pt>
                <c:pt idx="51" formatCode="0.0">
                  <c:v>9.2887287285676537E-2</c:v>
                </c:pt>
                <c:pt idx="52" formatCode="0.0">
                  <c:v>7.5486330243115393E-2</c:v>
                </c:pt>
                <c:pt idx="53" formatCode="0.0">
                  <c:v>6.1097490705464517E-2</c:v>
                </c:pt>
                <c:pt idx="54" formatCode="0.0">
                  <c:v>4.9250917647271873E-2</c:v>
                </c:pt>
                <c:pt idx="55" formatCode="0.0">
                  <c:v>3.7404344589079236E-2</c:v>
                </c:pt>
                <c:pt idx="56" formatCode="0.0">
                  <c:v>2.5557771530886592E-2</c:v>
                </c:pt>
                <c:pt idx="57" formatCode="0.0">
                  <c:v>1.3711198472693951E-2</c:v>
                </c:pt>
                <c:pt idx="58" formatCode="0.0">
                  <c:v>1.8646254145013108E-3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RF'!$A$2</c:f>
              <c:strCache>
                <c:ptCount val="1"/>
                <c:pt idx="0">
                  <c:v>SPM-16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RF'!$F$11:$F$42,'SPM = RF'!$F$51:$F$100)</c:f>
              <c:numCache>
                <c:formatCode>#,##0.0</c:formatCode>
                <c:ptCount val="82"/>
                <c:pt idx="0">
                  <c:v>19.5</c:v>
                </c:pt>
                <c:pt idx="1">
                  <c:v>19.715857240288244</c:v>
                </c:pt>
                <c:pt idx="2">
                  <c:v>19.87609134997183</c:v>
                </c:pt>
                <c:pt idx="3">
                  <c:v>19.699511216018323</c:v>
                </c:pt>
                <c:pt idx="4">
                  <c:v>19.266440387763254</c:v>
                </c:pt>
                <c:pt idx="5">
                  <c:v>18.642551810666816</c:v>
                </c:pt>
                <c:pt idx="6">
                  <c:v>17.881255024143684</c:v>
                </c:pt>
                <c:pt idx="7">
                  <c:v>17.025717958490702</c:v>
                </c:pt>
                <c:pt idx="8">
                  <c:v>16.110577078970124</c:v>
                </c:pt>
                <c:pt idx="9">
                  <c:v>15.16338193426941</c:v>
                </c:pt>
                <c:pt idx="10">
                  <c:v>14.205813554120425</c:v>
                </c:pt>
                <c:pt idx="11">
                  <c:v>13.254710457975932</c:v>
                </c:pt>
                <c:pt idx="12">
                  <c:v>12.322931154690451</c:v>
                </c:pt>
                <c:pt idx="13">
                  <c:v>11.420077821128359</c:v>
                </c:pt>
                <c:pt idx="14">
                  <c:v>10.553102249693481</c:v>
                </c:pt>
                <c:pt idx="15">
                  <c:v>9.7268120682381749</c:v>
                </c:pt>
                <c:pt idx="16">
                  <c:v>8.9442925893221883</c:v>
                </c:pt>
                <c:pt idx="17">
                  <c:v>8.2072573778169584</c:v>
                </c:pt>
                <c:pt idx="18">
                  <c:v>7.5163386833325063</c:v>
                </c:pt>
                <c:pt idx="19">
                  <c:v>6.8713272211479648</c:v>
                </c:pt>
                <c:pt idx="20">
                  <c:v>6.2713693628411491</c:v>
                </c:pt>
                <c:pt idx="21">
                  <c:v>5.7151285816950192</c:v>
                </c:pt>
                <c:pt idx="22">
                  <c:v>5.2009169589691524</c:v>
                </c:pt>
                <c:pt idx="23">
                  <c:v>4.726801670098979</c:v>
                </c:pt>
                <c:pt idx="24">
                  <c:v>4.2906906131702769</c:v>
                </c:pt>
                <c:pt idx="25">
                  <c:v>3.8904006969800662</c:v>
                </c:pt>
                <c:pt idx="26">
                  <c:v>3.5237117566184537</c:v>
                </c:pt>
                <c:pt idx="27">
                  <c:v>3.1884085970244591</c:v>
                </c:pt>
                <c:pt idx="28">
                  <c:v>2.8823132675496588</c:v>
                </c:pt>
                <c:pt idx="29">
                  <c:v>2.6033093330493529</c:v>
                </c:pt>
                <c:pt idx="30">
                  <c:v>2.3493596206916294</c:v>
                </c:pt>
                <c:pt idx="31">
                  <c:v>2.1185186790482398</c:v>
                </c:pt>
                <c:pt idx="32">
                  <c:v>1.9089409806904918</c:v>
                </c:pt>
                <c:pt idx="33">
                  <c:v>1.7188857259620018</c:v>
                </c:pt>
                <c:pt idx="34">
                  <c:v>1.5467189591225772</c:v>
                </c:pt>
                <c:pt idx="35">
                  <c:v>1.3909135846260856</c:v>
                </c:pt>
                <c:pt idx="36">
                  <c:v>1.2500477674542729</c:v>
                </c:pt>
                <c:pt idx="37">
                  <c:v>1.1228021142295947</c:v>
                </c:pt>
                <c:pt idx="38">
                  <c:v>1.0079559587525786</c:v>
                </c:pt>
                <c:pt idx="39">
                  <c:v>0.90438301449644687</c:v>
                </c:pt>
                <c:pt idx="40">
                  <c:v>0.81104660561089315</c:v>
                </c:pt>
                <c:pt idx="41">
                  <c:v>0.72699464556787152</c:v>
                </c:pt>
                <c:pt idx="42">
                  <c:v>0.65135449739236684</c:v>
                </c:pt>
                <c:pt idx="43">
                  <c:v>0.58332782032458752</c:v>
                </c:pt>
                <c:pt idx="44">
                  <c:v>0.52218548379009988</c:v>
                </c:pt>
                <c:pt idx="45">
                  <c:v>0.46726260989103752</c:v>
                </c:pt>
                <c:pt idx="46">
                  <c:v>0.41795378957883189</c:v>
                </c:pt>
                <c:pt idx="47">
                  <c:v>0.37370850463582217</c:v>
                </c:pt>
                <c:pt idx="48">
                  <c:v>0.33402677708027806</c:v>
                </c:pt>
                <c:pt idx="49">
                  <c:v>0.2984550591949251</c:v>
                </c:pt>
                <c:pt idx="50">
                  <c:v>0.26658237070486912</c:v>
                </c:pt>
                <c:pt idx="51">
                  <c:v>0.23803668439768688</c:v>
                </c:pt>
                <c:pt idx="52">
                  <c:v>0.21248155743203401</c:v>
                </c:pt>
                <c:pt idx="53">
                  <c:v>0.1896130025093048</c:v>
                </c:pt>
                <c:pt idx="54">
                  <c:v>0.1691565908074204</c:v>
                </c:pt>
                <c:pt idx="55">
                  <c:v>0.15086477694688649</c:v>
                </c:pt>
                <c:pt idx="56">
                  <c:v>0.13451443515307315</c:v>
                </c:pt>
                <c:pt idx="57">
                  <c:v>0.1199045950907428</c:v>
                </c:pt>
                <c:pt idx="58">
                  <c:v>0.10685436549151839</c:v>
                </c:pt>
                <c:pt idx="59">
                  <c:v>9.5201033600822549E-2</c:v>
                </c:pt>
                <c:pt idx="60">
                  <c:v>8.4798328578956195E-2</c:v>
                </c:pt>
                <c:pt idx="61">
                  <c:v>7.5514837253192746E-2</c:v>
                </c:pt>
                <c:pt idx="62">
                  <c:v>6.7232560994653578E-2</c:v>
                </c:pt>
                <c:pt idx="63">
                  <c:v>5.9845602952988186E-2</c:v>
                </c:pt>
                <c:pt idx="64">
                  <c:v>5.3258975397750152E-2</c:v>
                </c:pt>
                <c:pt idx="65">
                  <c:v>4.7387517466927098E-2</c:v>
                </c:pt>
                <c:pt idx="66">
                  <c:v>4.2154914193807458E-2</c:v>
                </c:pt>
                <c:pt idx="67">
                  <c:v>3.7492808260227717E-2</c:v>
                </c:pt>
                <c:pt idx="68">
                  <c:v>3.3339996497114277E-2</c:v>
                </c:pt>
                <c:pt idx="69">
                  <c:v>2.9641703714414186E-2</c:v>
                </c:pt>
                <c:pt idx="70">
                  <c:v>2.6348926986176968E-2</c:v>
                </c:pt>
                <c:pt idx="71">
                  <c:v>2.3417844038626234E-2</c:v>
                </c:pt>
                <c:pt idx="72">
                  <c:v>2.0809279886536941E-2</c:v>
                </c:pt>
                <c:pt idx="73">
                  <c:v>1.8488226334384072E-2</c:v>
                </c:pt>
                <c:pt idx="74">
                  <c:v>1.6423409402442912E-2</c:v>
                </c:pt>
                <c:pt idx="75">
                  <c:v>1.4586900153949589E-2</c:v>
                </c:pt>
                <c:pt idx="76">
                  <c:v>1.2953764787736924E-2</c:v>
                </c:pt>
                <c:pt idx="77">
                  <c:v>1.1501750221893814E-2</c:v>
                </c:pt>
                <c:pt idx="78">
                  <c:v>1.0211001728834032E-2</c:v>
                </c:pt>
                <c:pt idx="79">
                  <c:v>9.0638094916729584E-3</c:v>
                </c:pt>
                <c:pt idx="80">
                  <c:v>8.0443812371916584E-3</c:v>
                </c:pt>
                <c:pt idx="81">
                  <c:v>7.1386383631542941E-3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7632"/>
        <c:axId val="531226456"/>
      </c:lineChart>
      <c:catAx>
        <c:axId val="5312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6456"/>
        <c:crosses val="autoZero"/>
        <c:auto val="1"/>
        <c:lblAlgn val="ctr"/>
        <c:lblOffset val="100"/>
        <c:tickLblSkip val="6"/>
        <c:noMultiLvlLbl val="0"/>
      </c:catAx>
      <c:valAx>
        <c:axId val="53122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'C&amp;C-exp'!$A$2</c:f>
              <c:strCache>
                <c:ptCount val="1"/>
                <c:pt idx="0">
                  <c:v>C&amp;C-exp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('C&amp;C-exp'!$C$11:$C$42,'C&amp;C-exp'!$C$48:$C$97)</c:f>
              <c:numCache>
                <c:formatCode>#,##0.0</c:formatCode>
                <c:ptCount val="82"/>
                <c:pt idx="0">
                  <c:v>21</c:v>
                </c:pt>
                <c:pt idx="1">
                  <c:v>20.299348173457769</c:v>
                </c:pt>
                <c:pt idx="2">
                  <c:v>19.521385297798155</c:v>
                </c:pt>
                <c:pt idx="3">
                  <c:v>18.672672024741754</c:v>
                </c:pt>
                <c:pt idx="4">
                  <c:v>17.760802304126091</c:v>
                </c:pt>
                <c:pt idx="5">
                  <c:v>16.794366624088781</c:v>
                </c:pt>
                <c:pt idx="6">
                  <c:v>15.782897621532332</c:v>
                </c:pt>
                <c:pt idx="7">
                  <c:v>14.736794236515685</c:v>
                </c:pt>
                <c:pt idx="8">
                  <c:v>13.667219661742568</c:v>
                </c:pt>
                <c:pt idx="9">
                  <c:v>12.585967515949239</c:v>
                </c:pt>
                <c:pt idx="10">
                  <c:v>11.505290139849127</c:v>
                </c:pt>
                <c:pt idx="11">
                  <c:v>10.437682944829644</c:v>
                </c:pt>
                <c:pt idx="12">
                  <c:v>9.3956196892131878</c:v>
                </c:pt>
                <c:pt idx="13">
                  <c:v>8.3912358363691766</c:v>
                </c:pt>
                <c:pt idx="14">
                  <c:v>7.4359612153323225</c:v>
                </c:pt>
                <c:pt idx="15">
                  <c:v>6.5401094556642958</c:v>
                </c:pt>
                <c:pt idx="16">
                  <c:v>5.7124403024777672</c:v>
                </c:pt>
                <c:pt idx="17">
                  <c:v>4.9597217174177146</c:v>
                </c:pt>
                <c:pt idx="18">
                  <c:v>4.2863307244610631</c:v>
                </c:pt>
                <c:pt idx="19">
                  <c:v>3.6939433620930893</c:v>
                </c:pt>
                <c:pt idx="20">
                  <c:v>3.1813717572500702</c:v>
                </c:pt>
                <c:pt idx="21">
                  <c:v>2.744606026809651</c:v>
                </c:pt>
                <c:pt idx="22">
                  <c:v>2.3771057355189282</c:v>
                </c:pt>
                <c:pt idx="23">
                  <c:v>2.0703562446632646</c:v>
                </c:pt>
                <c:pt idx="24">
                  <c:v>1.814659025118561</c:v>
                </c:pt>
                <c:pt idx="25">
                  <c:v>1.6000675941237334</c:v>
                </c:pt>
                <c:pt idx="26">
                  <c:v>1.4173261744396426</c:v>
                </c:pt>
                <c:pt idx="27">
                  <c:v>1.2586379881321219</c:v>
                </c:pt>
                <c:pt idx="28">
                  <c:v>1.1181071229117585</c:v>
                </c:pt>
                <c:pt idx="29">
                  <c:v>0.99177384886649067</c:v>
                </c:pt>
                <c:pt idx="30">
                  <c:v>0.87728388205238705</c:v>
                </c:pt>
                <c:pt idx="31">
                  <c:v>0.77335076918943702</c:v>
                </c:pt>
                <c:pt idx="32" formatCode="0.0">
                  <c:v>0.67922401305673408</c:v>
                </c:pt>
                <c:pt idx="33" formatCode="0.0">
                  <c:v>0.59432512095118173</c:v>
                </c:pt>
                <c:pt idx="34" formatCode="0.0">
                  <c:v>0.51808805976039229</c:v>
                </c:pt>
                <c:pt idx="35" formatCode="0.0">
                  <c:v>0.44993042991229248</c:v>
                </c:pt>
                <c:pt idx="36" formatCode="0.0">
                  <c:v>0.3892631009381311</c:v>
                </c:pt>
                <c:pt idx="37" formatCode="0.0">
                  <c:v>0.33549878468568733</c:v>
                </c:pt>
                <c:pt idx="38" formatCode="0.0">
                  <c:v>0.28805950670893604</c:v>
                </c:pt>
                <c:pt idx="39" formatCode="0.0">
                  <c:v>0.24638296647093647</c:v>
                </c:pt>
                <c:pt idx="40" formatCode="0.0">
                  <c:v>0.2099278036881618</c:v>
                </c:pt>
                <c:pt idx="41" formatCode="0.0">
                  <c:v>0.17817781104482394</c:v>
                </c:pt>
                <c:pt idx="42" formatCode="0.0">
                  <c:v>0.15064515241260856</c:v>
                </c:pt>
                <c:pt idx="43" formatCode="0.0">
                  <c:v>0.12687266057856594</c:v>
                </c:pt>
                <c:pt idx="44" formatCode="0.0">
                  <c:v>0.10643529940410673</c:v>
                </c:pt>
                <c:pt idx="45" formatCode="0.0">
                  <c:v>8.8940882520877326E-2</c:v>
                </c:pt>
                <c:pt idx="46" formatCode="0.0">
                  <c:v>7.4030144418831711E-2</c:v>
                </c:pt>
                <c:pt idx="47" formatCode="0.0">
                  <c:v>6.1376260472816184E-2</c:v>
                </c:pt>
                <c:pt idx="48" formatCode="0.0">
                  <c:v>5.0683910508547897E-2</c:v>
                </c:pt>
                <c:pt idx="49" formatCode="0.0">
                  <c:v>4.1687976374534287E-2</c:v>
                </c:pt>
                <c:pt idx="50" formatCode="0.0">
                  <c:v>3.4151958116388603E-2</c:v>
                </c:pt>
                <c:pt idx="51" formatCode="0.0">
                  <c:v>2.7866186185702961E-2</c:v>
                </c:pt>
                <c:pt idx="52" formatCode="0.0">
                  <c:v>2.2645899072934614E-2</c:v>
                </c:pt>
                <c:pt idx="53" formatCode="0.0">
                  <c:v>1.8329247211639352E-2</c:v>
                </c:pt>
                <c:pt idx="54" formatCode="0.0">
                  <c:v>1.4775275294181562E-2</c:v>
                </c:pt>
                <c:pt idx="55" formatCode="0.0">
                  <c:v>1.1221303376723769E-2</c:v>
                </c:pt>
                <c:pt idx="56" formatCode="0.0">
                  <c:v>7.6673314592659771E-3</c:v>
                </c:pt>
                <c:pt idx="57" formatCode="0.0">
                  <c:v>4.1133595418081856E-3</c:v>
                </c:pt>
                <c:pt idx="58" formatCode="0.0">
                  <c:v>5.5938762435039317E-4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C&amp;C_exp'!$A$2</c:f>
              <c:strCache>
                <c:ptCount val="1"/>
                <c:pt idx="0">
                  <c:v>SPM-50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C&amp;C_exp'!$C$11:$C$42,'SPM = C&amp;C_exp'!$C$51:$C$100)</c:f>
              <c:numCache>
                <c:formatCode>#,##0.0</c:formatCode>
                <c:ptCount val="82"/>
                <c:pt idx="0">
                  <c:v>21</c:v>
                </c:pt>
                <c:pt idx="1">
                  <c:v>20.894100932579619</c:v>
                </c:pt>
                <c:pt idx="2">
                  <c:v>20.330461752619243</c:v>
                </c:pt>
                <c:pt idx="3">
                  <c:v>19.376041304156388</c:v>
                </c:pt>
                <c:pt idx="4">
                  <c:v>18.17646897457314</c:v>
                </c:pt>
                <c:pt idx="5">
                  <c:v>16.839733875850186</c:v>
                </c:pt>
                <c:pt idx="6">
                  <c:v>15.44467839381889</c:v>
                </c:pt>
                <c:pt idx="7">
                  <c:v>14.047707438736722</c:v>
                </c:pt>
                <c:pt idx="8">
                  <c:v>12.688072011876486</c:v>
                </c:pt>
                <c:pt idx="9">
                  <c:v>11.392015764945256</c:v>
                </c:pt>
                <c:pt idx="10">
                  <c:v>10.176016636314174</c:v>
                </c:pt>
                <c:pt idx="11">
                  <c:v>9.04930989562056</c:v>
                </c:pt>
                <c:pt idx="12">
                  <c:v>8.0158419757005888</c:v>
                </c:pt>
                <c:pt idx="13">
                  <c:v>7.0757746563420625</c:v>
                </c:pt>
                <c:pt idx="14">
                  <c:v>6.2266351356920495</c:v>
                </c:pt>
                <c:pt idx="15">
                  <c:v>5.4641881823651701</c:v>
                </c:pt>
                <c:pt idx="16">
                  <c:v>4.7830910102989357</c:v>
                </c:pt>
                <c:pt idx="17">
                  <c:v>4.1773790328906095</c:v>
                </c:pt>
                <c:pt idx="18">
                  <c:v>3.6408206433629253</c:v>
                </c:pt>
                <c:pt idx="19">
                  <c:v>3.167171156379716</c:v>
                </c:pt>
                <c:pt idx="20">
                  <c:v>2.7503496440287556</c:v>
                </c:pt>
                <c:pt idx="21">
                  <c:v>2.3845572934471768</c:v>
                </c:pt>
                <c:pt idx="22">
                  <c:v>2.0643518495306186</c:v>
                </c:pt>
                <c:pt idx="23">
                  <c:v>1.7846894789517567</c:v>
                </c:pt>
                <c:pt idx="24">
                  <c:v>1.5409428352177912</c:v>
                </c:pt>
                <c:pt idx="25">
                  <c:v>1.3289020848758604</c:v>
                </c:pt>
                <c:pt idx="26">
                  <c:v>1.1447640643479735</c:v>
                </c:pt>
                <c:pt idx="27">
                  <c:v>0.98511348840227164</c:v>
                </c:pt>
                <c:pt idx="28">
                  <c:v>0.84689915512439651</c:v>
                </c:pt>
                <c:pt idx="29">
                  <c:v>0.72740733238170119</c:v>
                </c:pt>
                <c:pt idx="30">
                  <c:v>0.62423392223048602</c:v>
                </c:pt>
                <c:pt idx="31">
                  <c:v>0.53525654652760757</c:v>
                </c:pt>
                <c:pt idx="32">
                  <c:v>0.45860735042430445</c:v>
                </c:pt>
                <c:pt idx="33">
                  <c:v>0.3926470575148473</c:v>
                </c:pt>
                <c:pt idx="34">
                  <c:v>0.33594061293494559</c:v>
                </c:pt>
                <c:pt idx="35">
                  <c:v>0.28723460416174618</c:v>
                </c:pt>
                <c:pt idx="36">
                  <c:v>0.24543654217654898</c:v>
                </c:pt>
                <c:pt idx="37">
                  <c:v>0.20959600894173191</c:v>
                </c:pt>
                <c:pt idx="38">
                  <c:v>0.17888762367036604</c:v>
                </c:pt>
                <c:pt idx="39">
                  <c:v>0.15259574452160196</c:v>
                </c:pt>
                <c:pt idx="40">
                  <c:v>0.13010079975222177</c:v>
                </c:pt>
                <c:pt idx="41">
                  <c:v>0.1108671295802689</c:v>
                </c:pt>
                <c:pt idx="42">
                  <c:v>9.4432214425972161E-2</c:v>
                </c:pt>
                <c:pt idx="43">
                  <c:v>8.0397164751396799E-2</c:v>
                </c:pt>
                <c:pt idx="44">
                  <c:v>6.8418350865568855E-2</c:v>
                </c:pt>
                <c:pt idx="45">
                  <c:v>5.8200056614381213E-2</c:v>
                </c:pt>
                <c:pt idx="46">
                  <c:v>4.9488047946173341E-2</c:v>
                </c:pt>
                <c:pt idx="47">
                  <c:v>4.2063955275528114E-2</c:v>
                </c:pt>
                <c:pt idx="48">
                  <c:v>3.574037687751952E-2</c:v>
                </c:pt>
                <c:pt idx="49">
                  <c:v>3.0356618887113107E-2</c:v>
                </c:pt>
                <c:pt idx="50">
                  <c:v>2.5774995612699414E-2</c:v>
                </c:pt>
                <c:pt idx="51">
                  <c:v>2.1877621637265296E-2</c:v>
                </c:pt>
                <c:pt idx="52">
                  <c:v>1.8563634473283894E-2</c:v>
                </c:pt>
                <c:pt idx="53">
                  <c:v>1.5746793300208187E-2</c:v>
                </c:pt>
                <c:pt idx="54">
                  <c:v>1.3353405520894063E-2</c:v>
                </c:pt>
                <c:pt idx="55">
                  <c:v>1.1320538522949723E-2</c:v>
                </c:pt>
                <c:pt idx="56">
                  <c:v>9.5944791367087862E-3</c:v>
                </c:pt>
                <c:pt idx="57">
                  <c:v>8.1294078678519066E-3</c:v>
                </c:pt>
                <c:pt idx="58">
                  <c:v>6.8862590811796937E-3</c:v>
                </c:pt>
                <c:pt idx="59">
                  <c:v>5.8317419580249108E-3</c:v>
                </c:pt>
                <c:pt idx="60">
                  <c:v>4.937500280422686E-3</c:v>
                </c:pt>
                <c:pt idx="61">
                  <c:v>4.1793919477145884E-3</c:v>
                </c:pt>
                <c:pt idx="62">
                  <c:v>3.5368716421251521E-3</c:v>
                </c:pt>
                <c:pt idx="63">
                  <c:v>2.9924622637615174E-3</c:v>
                </c:pt>
                <c:pt idx="64">
                  <c:v>2.5313026850787481E-3</c:v>
                </c:pt>
                <c:pt idx="65">
                  <c:v>2.1407610604082077E-3</c:v>
                </c:pt>
                <c:pt idx="66">
                  <c:v>1.8101043954479624E-3</c:v>
                </c:pt>
                <c:pt idx="67">
                  <c:v>1.5302163599700477E-3</c:v>
                </c:pt>
                <c:pt idx="68">
                  <c:v>1.2933564372732947E-3</c:v>
                </c:pt>
                <c:pt idx="69">
                  <c:v>1.0929544666470467E-3</c:v>
                </c:pt>
                <c:pt idx="70">
                  <c:v>9.2343546867096164E-4</c:v>
                </c:pt>
                <c:pt idx="71">
                  <c:v>7.8007036389313601E-4</c:v>
                </c:pt>
                <c:pt idx="72">
                  <c:v>6.5884881777970253E-4</c:v>
                </c:pt>
                <c:pt idx="73">
                  <c:v>5.5637098159378763E-4</c:v>
                </c:pt>
                <c:pt idx="74">
                  <c:v>4.6975536129338288E-4</c:v>
                </c:pt>
                <c:pt idx="75">
                  <c:v>3.9656044451237028E-4</c:v>
                </c:pt>
                <c:pt idx="76">
                  <c:v>3.347180578543035E-4</c:v>
                </c:pt>
                <c:pt idx="77">
                  <c:v>2.8247672063939563E-4</c:v>
                </c:pt>
                <c:pt idx="78">
                  <c:v>2.3835351348638965E-4</c:v>
                </c:pt>
                <c:pt idx="79">
                  <c:v>2.0109319641335808E-4</c:v>
                </c:pt>
                <c:pt idx="80">
                  <c:v>1.6963349648064987E-4</c:v>
                </c:pt>
                <c:pt idx="81">
                  <c:v>1.4307564369152033E-4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8024"/>
        <c:axId val="531228416"/>
      </c:lineChart>
      <c:catAx>
        <c:axId val="53122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8416"/>
        <c:crosses val="autoZero"/>
        <c:auto val="1"/>
        <c:lblAlgn val="ctr"/>
        <c:lblOffset val="100"/>
        <c:noMultiLvlLbl val="0"/>
      </c:catAx>
      <c:valAx>
        <c:axId val="5312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C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'C&amp;C-exp'!$A$2</c:f>
              <c:strCache>
                <c:ptCount val="1"/>
                <c:pt idx="0">
                  <c:v>C&amp;C-exp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('C&amp;C-exp'!$I$11:$I$42,'C&amp;C-exp'!$I$48:$I$97)</c:f>
              <c:numCache>
                <c:formatCode>#,##0.0</c:formatCode>
                <c:ptCount val="82"/>
                <c:pt idx="0">
                  <c:v>1.2277171013052595</c:v>
                </c:pt>
                <c:pt idx="1">
                  <c:v>1.3880384695447761</c:v>
                </c:pt>
                <c:pt idx="2">
                  <c:v>1.5568836003390056</c:v>
                </c:pt>
                <c:pt idx="3">
                  <c:v>1.7330337548617245</c:v>
                </c:pt>
                <c:pt idx="4">
                  <c:v>1.9149143082875297</c:v>
                </c:pt>
                <c:pt idx="5">
                  <c:v>2.1005674819755003</c:v>
                </c:pt>
                <c:pt idx="6">
                  <c:v>2.2876332350415041</c:v>
                </c:pt>
                <c:pt idx="7">
                  <c:v>2.4733419864657837</c:v>
                </c:pt>
                <c:pt idx="8">
                  <c:v>2.6545234764414709</c:v>
                </c:pt>
                <c:pt idx="9">
                  <c:v>2.8276366157008708</c:v>
                </c:pt>
                <c:pt idx="10">
                  <c:v>2.9888254881878518</c:v>
                </c:pt>
                <c:pt idx="11">
                  <c:v>3.1340065898549909</c:v>
                </c:pt>
                <c:pt idx="12">
                  <c:v>3.2589916756772945</c:v>
                </c:pt>
                <c:pt idx="13">
                  <c:v>3.3596489737544384</c:v>
                </c:pt>
                <c:pt idx="14">
                  <c:v>3.4321027159141289</c:v>
                </c:pt>
                <c:pt idx="15">
                  <c:v>3.4729666710305764</c:v>
                </c:pt>
                <c:pt idx="16">
                  <c:v>3.4796015245221721</c:v>
                </c:pt>
                <c:pt idx="17">
                  <c:v>3.4503786734015809</c:v>
                </c:pt>
                <c:pt idx="18">
                  <c:v>3.3849249068570115</c:v>
                </c:pt>
                <c:pt idx="19">
                  <c:v>3.2843147762920792</c:v>
                </c:pt>
                <c:pt idx="20">
                  <c:v>3.1511722714453811</c:v>
                </c:pt>
                <c:pt idx="21">
                  <c:v>2.9896434907215901</c:v>
                </c:pt>
                <c:pt idx="22">
                  <c:v>2.8052104259280619</c:v>
                </c:pt>
                <c:pt idx="23">
                  <c:v>2.6043352471819059</c:v>
                </c:pt>
                <c:pt idx="24">
                  <c:v>2.3939548698569415</c:v>
                </c:pt>
                <c:pt idx="25">
                  <c:v>2.1808833499793852</c:v>
                </c:pt>
                <c:pt idx="26">
                  <c:v>1.9712155604768318</c:v>
                </c:pt>
                <c:pt idx="27">
                  <c:v>1.7698454711467635</c:v>
                </c:pt>
                <c:pt idx="28">
                  <c:v>1.5802011447753903</c:v>
                </c:pt>
                <c:pt idx="29">
                  <c:v>1.4042485601588228</c:v>
                </c:pt>
                <c:pt idx="30">
                  <c:v>1.24273695510531</c:v>
                </c:pt>
                <c:pt idx="31">
                  <c:v>1.0955802563517028</c:v>
                </c:pt>
                <c:pt idx="32" formatCode="0.0">
                  <c:v>0.96223401849704016</c:v>
                </c:pt>
                <c:pt idx="33" formatCode="0.0">
                  <c:v>0.84196058801417428</c:v>
                </c:pt>
                <c:pt idx="34" formatCode="0.0">
                  <c:v>0.73395808466055579</c:v>
                </c:pt>
                <c:pt idx="35" formatCode="0.0">
                  <c:v>0.63740144237574781</c:v>
                </c:pt>
                <c:pt idx="36" formatCode="0.0">
                  <c:v>0.55145605966235256</c:v>
                </c:pt>
                <c:pt idx="37" formatCode="0.0">
                  <c:v>0.47528994497139049</c:v>
                </c:pt>
                <c:pt idx="38" formatCode="0.0">
                  <c:v>0.40808430117099276</c:v>
                </c:pt>
                <c:pt idx="39" formatCode="0.0">
                  <c:v>0.34904253583382672</c:v>
                </c:pt>
                <c:pt idx="40" formatCode="0.0">
                  <c:v>0.29739772189156261</c:v>
                </c:pt>
                <c:pt idx="41" formatCode="0.0">
                  <c:v>0.25241856564683396</c:v>
                </c:pt>
                <c:pt idx="42" formatCode="0.0">
                  <c:v>0.21341396591786219</c:v>
                </c:pt>
                <c:pt idx="43" formatCode="0.0">
                  <c:v>0.17973626915296848</c:v>
                </c:pt>
                <c:pt idx="44" formatCode="0.0">
                  <c:v>0.15078334082248457</c:v>
                </c:pt>
                <c:pt idx="45" formatCode="0.0">
                  <c:v>0.12599958357124288</c:v>
                </c:pt>
                <c:pt idx="46" formatCode="0.0">
                  <c:v>0.10487603792667828</c:v>
                </c:pt>
                <c:pt idx="47" formatCode="0.0">
                  <c:v>8.6949702336489618E-2</c:v>
                </c:pt>
                <c:pt idx="48" formatCode="0.0">
                  <c:v>7.1802206553776199E-2</c:v>
                </c:pt>
                <c:pt idx="49" formatCode="0.0">
                  <c:v>5.9057966530590256E-2</c:v>
                </c:pt>
                <c:pt idx="50" formatCode="0.0">
                  <c:v>4.8381940664883862E-2</c:v>
                </c:pt>
                <c:pt idx="51" formatCode="0.0">
                  <c:v>3.9477097096412533E-2</c:v>
                </c:pt>
                <c:pt idx="52" formatCode="0.0">
                  <c:v>3.2081690353324047E-2</c:v>
                </c:pt>
                <c:pt idx="53" formatCode="0.0">
                  <c:v>2.5966433549822421E-2</c:v>
                </c:pt>
                <c:pt idx="54" formatCode="0.0">
                  <c:v>2.093164000009055E-2</c:v>
                </c:pt>
                <c:pt idx="55" formatCode="0.0">
                  <c:v>1.5896846450358677E-2</c:v>
                </c:pt>
                <c:pt idx="56" formatCode="0.0">
                  <c:v>1.0862052900626803E-2</c:v>
                </c:pt>
                <c:pt idx="57" formatCode="0.0">
                  <c:v>5.8272593508949299E-3</c:v>
                </c:pt>
                <c:pt idx="58" formatCode="0.0">
                  <c:v>7.9246580116305713E-4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C&amp;C_exp'!$A$2</c:f>
              <c:strCache>
                <c:ptCount val="1"/>
                <c:pt idx="0">
                  <c:v>SPM-50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C&amp;C_exp'!$I$11:$I$42,'SPM = C&amp;C_exp'!$I$51:$I$100)</c:f>
              <c:numCache>
                <c:formatCode>#,##0.0</c:formatCode>
                <c:ptCount val="82"/>
                <c:pt idx="0">
                  <c:v>1.2277171013052595</c:v>
                </c:pt>
                <c:pt idx="1">
                  <c:v>1.2394955180713652</c:v>
                </c:pt>
                <c:pt idx="2">
                  <c:v>1.2611144499479678</c:v>
                </c:pt>
                <c:pt idx="3">
                  <c:v>1.2799514106251308</c:v>
                </c:pt>
                <c:pt idx="4">
                  <c:v>1.2961666427890037</c:v>
                </c:pt>
                <c:pt idx="5">
                  <c:v>1.3099128368689748</c:v>
                </c:pt>
                <c:pt idx="6">
                  <c:v>1.3213354551742924</c:v>
                </c:pt>
                <c:pt idx="7">
                  <c:v>1.330573042855832</c:v>
                </c:pt>
                <c:pt idx="8">
                  <c:v>1.337757526209387</c:v>
                </c:pt>
                <c:pt idx="9">
                  <c:v>1.3430144988181212</c:v>
                </c:pt>
                <c:pt idx="10">
                  <c:v>1.3464634960118076</c:v>
                </c:pt>
                <c:pt idx="11">
                  <c:v>1.3482182581020794</c:v>
                </c:pt>
                <c:pt idx="12">
                  <c:v>1.3483869828368142</c:v>
                </c:pt>
                <c:pt idx="13">
                  <c:v>1.3470725674977899</c:v>
                </c:pt>
                <c:pt idx="14">
                  <c:v>1.3443728410507703</c:v>
                </c:pt>
                <c:pt idx="15">
                  <c:v>1.340380786741008</c:v>
                </c:pt>
                <c:pt idx="16">
                  <c:v>1.3351847555124152</c:v>
                </c:pt>
                <c:pt idx="17">
                  <c:v>1.3288686706130903</c:v>
                </c:pt>
                <c:pt idx="18">
                  <c:v>1.3215122237374004</c:v>
                </c:pt>
                <c:pt idx="19">
                  <c:v>1.3131910630401507</c:v>
                </c:pt>
                <c:pt idx="20">
                  <c:v>1.3039769733457405</c:v>
                </c:pt>
                <c:pt idx="21">
                  <c:v>1.2939380488631258</c:v>
                </c:pt>
                <c:pt idx="22">
                  <c:v>1.2831388587048309</c:v>
                </c:pt>
                <c:pt idx="23">
                  <c:v>1.2716406054971969</c:v>
                </c:pt>
                <c:pt idx="24">
                  <c:v>1.259501277357316</c:v>
                </c:pt>
                <c:pt idx="25">
                  <c:v>1.2467757935026285</c:v>
                </c:pt>
                <c:pt idx="26">
                  <c:v>1.2335161437468614</c:v>
                </c:pt>
                <c:pt idx="27">
                  <c:v>1.2197715221288021</c:v>
                </c:pt>
                <c:pt idx="28">
                  <c:v>1.2055884549077831</c:v>
                </c:pt>
                <c:pt idx="29">
                  <c:v>1.1910109231536623</c:v>
                </c:pt>
                <c:pt idx="30">
                  <c:v>1.1760804801477889</c:v>
                </c:pt>
                <c:pt idx="31">
                  <c:v>1.1608363638045418</c:v>
                </c:pt>
                <c:pt idx="32">
                  <c:v>1.1453156043140353</c:v>
                </c:pt>
                <c:pt idx="33">
                  <c:v>1.1295531271992942</c:v>
                </c:pt>
                <c:pt idx="34">
                  <c:v>1.1135818519734499</c:v>
                </c:pt>
                <c:pt idx="35">
                  <c:v>1.0974327865746432</c:v>
                </c:pt>
                <c:pt idx="36">
                  <c:v>1.0811351177507333</c:v>
                </c:pt>
                <c:pt idx="37">
                  <c:v>1.064716297558121</c:v>
                </c:pt>
                <c:pt idx="38">
                  <c:v>1.0482021261321108</c:v>
                </c:pt>
                <c:pt idx="39">
                  <c:v>1.0316168308819655</c:v>
                </c:pt>
                <c:pt idx="40">
                  <c:v>1.0149831422555877</c:v>
                </c:pt>
                <c:pt idx="41">
                  <c:v>0.99832236621457326</c:v>
                </c:pt>
                <c:pt idx="42">
                  <c:v>0.9816544535538867</c:v>
                </c:pt>
                <c:pt idx="43">
                  <c:v>0.96499806619624451</c:v>
                </c:pt>
                <c:pt idx="44">
                  <c:v>0.94837064058457798</c:v>
                </c:pt>
                <c:pt idx="45">
                  <c:v>0.93178844829273544</c:v>
                </c:pt>
                <c:pt idx="46">
                  <c:v>0.91526665396840201</c:v>
                </c:pt>
                <c:pt idx="47">
                  <c:v>0.89881937071905327</c:v>
                </c:pt>
                <c:pt idx="48">
                  <c:v>0.88245971304591109</c:v>
                </c:pt>
                <c:pt idx="49">
                  <c:v>0.86619984742809919</c:v>
                </c:pt>
                <c:pt idx="50">
                  <c:v>0.85005104065407266</c:v>
                </c:pt>
                <c:pt idx="51">
                  <c:v>0.83402370599428366</c:v>
                </c:pt>
                <c:pt idx="52">
                  <c:v>0.81812744730459031</c:v>
                </c:pt>
                <c:pt idx="53">
                  <c:v>0.80237110114719457</c:v>
                </c:pt>
                <c:pt idx="54">
                  <c:v>0.78676277701160302</c:v>
                </c:pt>
                <c:pt idx="55">
                  <c:v>0.77130989571541519</c:v>
                </c:pt>
                <c:pt idx="56">
                  <c:v>0.75601922606110961</c:v>
                </c:pt>
                <c:pt idx="57">
                  <c:v>0.74089691982236516</c:v>
                </c:pt>
                <c:pt idx="58">
                  <c:v>0.72594854513015505</c:v>
                </c:pt>
                <c:pt idx="59">
                  <c:v>0.71117911832618574</c:v>
                </c:pt>
                <c:pt idx="60">
                  <c:v>0.696593134348511</c:v>
                </c:pt>
                <c:pt idx="61">
                  <c:v>0.68219459571163199</c:v>
                </c:pt>
                <c:pt idx="62">
                  <c:v>0.66798704014063048</c:v>
                </c:pt>
                <c:pt idx="63">
                  <c:v>0.65397356691677544</c:v>
                </c:pt>
                <c:pt idx="64">
                  <c:v>0.64015686198959187</c:v>
                </c:pt>
                <c:pt idx="65">
                  <c:v>0.62653922190800415</c:v>
                </c:pt>
                <c:pt idx="66">
                  <c:v>0.61312257662128289</c:v>
                </c:pt>
                <c:pt idx="67">
                  <c:v>0.5999085111984499</c:v>
                </c:pt>
                <c:pt idx="68">
                  <c:v>0.58689828651244369</c:v>
                </c:pt>
                <c:pt idx="69">
                  <c:v>0.57409285893408324</c:v>
                </c:pt>
                <c:pt idx="70">
                  <c:v>0.56149289907837741</c:v>
                </c:pt>
                <c:pt idx="71">
                  <c:v>0.5490988096445335</c:v>
                </c:pt>
                <c:pt idx="72">
                  <c:v>0.53691074238896519</c:v>
                </c:pt>
                <c:pt idx="73">
                  <c:v>0.52492861426914317</c:v>
                </c:pt>
                <c:pt idx="74">
                  <c:v>0.5131521227946152</c:v>
                </c:pt>
                <c:pt idx="75">
                  <c:v>0.50158076061978818</c:v>
                </c:pt>
                <c:pt idx="76">
                  <c:v>0.49021382941211655</c:v>
                </c:pt>
                <c:pt idx="77">
                  <c:v>0.47905045302730187</c:v>
                </c:pt>
                <c:pt idx="78">
                  <c:v>0.46808959002246553</c:v>
                </c:pt>
                <c:pt idx="79">
                  <c:v>0.45733004553643752</c:v>
                </c:pt>
                <c:pt idx="80">
                  <c:v>0.44677048256546215</c:v>
                </c:pt>
                <c:pt idx="81">
                  <c:v>0.4364094326611756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29200"/>
        <c:axId val="531229592"/>
      </c:lineChart>
      <c:catAx>
        <c:axId val="53122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9592"/>
        <c:crosses val="autoZero"/>
        <c:auto val="1"/>
        <c:lblAlgn val="ctr"/>
        <c:lblOffset val="100"/>
        <c:noMultiLvlLbl val="0"/>
      </c:catAx>
      <c:valAx>
        <c:axId val="53122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122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Country B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'C&amp;C-exp'!$A$2</c:f>
              <c:strCache>
                <c:ptCount val="1"/>
                <c:pt idx="0">
                  <c:v>C&amp;C-exp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('C&amp;C-exp'!$F$11:$F$42,'C&amp;C-exp'!$F$48:$F$97)</c:f>
              <c:numCache>
                <c:formatCode>#,##0.0</c:formatCode>
                <c:ptCount val="82"/>
                <c:pt idx="0">
                  <c:v>19.5</c:v>
                </c:pt>
                <c:pt idx="1">
                  <c:v>19.205776116276603</c:v>
                </c:pt>
                <c:pt idx="2">
                  <c:v>18.862857647432392</c:v>
                </c:pt>
                <c:pt idx="3">
                  <c:v>18.474499695651041</c:v>
                </c:pt>
                <c:pt idx="4">
                  <c:v>18.044179784242694</c:v>
                </c:pt>
                <c:pt idx="5">
                  <c:v>17.575519249660381</c:v>
                </c:pt>
                <c:pt idx="6">
                  <c:v>17.072204534500727</c:v>
                </c:pt>
                <c:pt idx="7">
                  <c:v>16.537911724446758</c:v>
                </c:pt>
                <c:pt idx="8">
                  <c:v>15.976238039840183</c:v>
                </c:pt>
                <c:pt idx="9">
                  <c:v>15.390644270217331</c:v>
                </c:pt>
                <c:pt idx="10">
                  <c:v>14.784412263351626</c:v>
                </c:pt>
                <c:pt idx="11">
                  <c:v>14.16062146013731</c:v>
                </c:pt>
                <c:pt idx="12">
                  <c:v>13.522147987711611</c:v>
                </c:pt>
                <c:pt idx="13">
                  <c:v>12.871688847638213</c:v>
                </c:pt>
                <c:pt idx="14">
                  <c:v>12.211812116699054</c:v>
                </c:pt>
                <c:pt idx="15">
                  <c:v>11.545031687175435</c:v>
                </c:pt>
                <c:pt idx="16">
                  <c:v>10.873901852367279</c:v>
                </c:pt>
                <c:pt idx="17">
                  <c:v>10.201123074541719</c:v>
                </c:pt>
                <c:pt idx="18">
                  <c:v>9.5296458766647785</c:v>
                </c:pt>
                <c:pt idx="19">
                  <c:v>8.8627556340925775</c:v>
                </c:pt>
                <c:pt idx="20">
                  <c:v>8.2041181729104125</c:v>
                </c:pt>
                <c:pt idx="21">
                  <c:v>7.5577659527756857</c:v>
                </c:pt>
                <c:pt idx="22">
                  <c:v>6.9280088347496562</c:v>
                </c:pt>
                <c:pt idx="23">
                  <c:v>6.3192632928598123</c:v>
                </c:pt>
                <c:pt idx="24">
                  <c:v>5.7358095779765197</c:v>
                </c:pt>
                <c:pt idx="25">
                  <c:v>5.1815058361459823</c:v>
                </c:pt>
                <c:pt idx="26">
                  <c:v>4.6595067408658686</c:v>
                </c:pt>
                <c:pt idx="27">
                  <c:v>4.1720444747160421</c:v>
                </c:pt>
                <c:pt idx="28">
                  <c:v>3.7203240943995604</c:v>
                </c:pt>
                <c:pt idx="29">
                  <c:v>3.3045594380175491</c:v>
                </c:pt>
                <c:pt idx="30">
                  <c:v>2.9241346384659423</c:v>
                </c:pt>
                <c:pt idx="31">
                  <c:v>2.5778358972981237</c:v>
                </c:pt>
                <c:pt idx="32" formatCode="0.0">
                  <c:v>2.2640800435224473</c:v>
                </c:pt>
                <c:pt idx="33" formatCode="0.0">
                  <c:v>1.9810837365039393</c:v>
                </c:pt>
                <c:pt idx="34" formatCode="0.0">
                  <c:v>1.7269601992013077</c:v>
                </c:pt>
                <c:pt idx="35" formatCode="0.0">
                  <c:v>1.4997680997076417</c:v>
                </c:pt>
                <c:pt idx="36" formatCode="0.0">
                  <c:v>1.2975436697937706</c:v>
                </c:pt>
                <c:pt idx="37" formatCode="0.0">
                  <c:v>1.1183292822856246</c:v>
                </c:pt>
                <c:pt idx="38" formatCode="0.0">
                  <c:v>0.96019835569645351</c:v>
                </c:pt>
                <c:pt idx="39" formatCode="0.0">
                  <c:v>0.82127655490312168</c:v>
                </c:pt>
                <c:pt idx="40" formatCode="0.0">
                  <c:v>0.6997593456272061</c:v>
                </c:pt>
                <c:pt idx="41" formatCode="0.0">
                  <c:v>0.59392603681607992</c:v>
                </c:pt>
                <c:pt idx="42" formatCode="0.0">
                  <c:v>0.50215050804202865</c:v>
                </c:pt>
                <c:pt idx="43" formatCode="0.0">
                  <c:v>0.42290886859521987</c:v>
                </c:pt>
                <c:pt idx="44" formatCode="0.0">
                  <c:v>0.35478433134702247</c:v>
                </c:pt>
                <c:pt idx="45" formatCode="0.0">
                  <c:v>0.29646960840292441</c:v>
                </c:pt>
                <c:pt idx="46" formatCode="0.0">
                  <c:v>0.24676714806277239</c:v>
                </c:pt>
                <c:pt idx="47" formatCode="0.0">
                  <c:v>0.2045875349093873</c:v>
                </c:pt>
                <c:pt idx="48" formatCode="0.0">
                  <c:v>0.16894636836182633</c:v>
                </c:pt>
                <c:pt idx="49" formatCode="0.0">
                  <c:v>0.13895992124844764</c:v>
                </c:pt>
                <c:pt idx="50" formatCode="0.0">
                  <c:v>0.11383986038796201</c:v>
                </c:pt>
                <c:pt idx="51" formatCode="0.0">
                  <c:v>9.2887287285676537E-2</c:v>
                </c:pt>
                <c:pt idx="52" formatCode="0.0">
                  <c:v>7.5486330243115393E-2</c:v>
                </c:pt>
                <c:pt idx="53" formatCode="0.0">
                  <c:v>6.1097490705464517E-2</c:v>
                </c:pt>
                <c:pt idx="54" formatCode="0.0">
                  <c:v>4.9250917647271873E-2</c:v>
                </c:pt>
                <c:pt idx="55" formatCode="0.0">
                  <c:v>3.7404344589079236E-2</c:v>
                </c:pt>
                <c:pt idx="56" formatCode="0.0">
                  <c:v>2.5557771530886592E-2</c:v>
                </c:pt>
                <c:pt idx="57" formatCode="0.0">
                  <c:v>1.3711198472693951E-2</c:v>
                </c:pt>
                <c:pt idx="58" formatCode="0.0">
                  <c:v>1.8646254145013108E-3</c:v>
                </c:pt>
                <c:pt idx="59" formatCode="0.0">
                  <c:v>0</c:v>
                </c:pt>
                <c:pt idx="60" formatCode="0.0">
                  <c:v>0</c:v>
                </c:pt>
                <c:pt idx="61" formatCode="0.0">
                  <c:v>0</c:v>
                </c:pt>
                <c:pt idx="62" formatCode="0.0">
                  <c:v>0</c:v>
                </c:pt>
                <c:pt idx="63" formatCode="0.0">
                  <c:v>0</c:v>
                </c:pt>
                <c:pt idx="64" formatCode="0.0">
                  <c:v>0</c:v>
                </c:pt>
                <c:pt idx="65" formatCode="0.0">
                  <c:v>0</c:v>
                </c:pt>
                <c:pt idx="66" formatCode="0.0">
                  <c:v>0</c:v>
                </c:pt>
                <c:pt idx="67" formatCode="0.0">
                  <c:v>0</c:v>
                </c:pt>
                <c:pt idx="68" formatCode="0.0">
                  <c:v>0</c:v>
                </c:pt>
                <c:pt idx="69" formatCode="0.0">
                  <c:v>0</c:v>
                </c:pt>
                <c:pt idx="70" formatCode="0.0">
                  <c:v>0</c:v>
                </c:pt>
                <c:pt idx="71" formatCode="0.0">
                  <c:v>0</c:v>
                </c:pt>
                <c:pt idx="72" formatCode="0.0">
                  <c:v>0</c:v>
                </c:pt>
                <c:pt idx="73" formatCode="0.0">
                  <c:v>0</c:v>
                </c:pt>
                <c:pt idx="74" formatCode="0.0">
                  <c:v>0</c:v>
                </c:pt>
                <c:pt idx="75" formatCode="0.0">
                  <c:v>0</c:v>
                </c:pt>
                <c:pt idx="76" formatCode="0.0">
                  <c:v>0</c:v>
                </c:pt>
                <c:pt idx="77" formatCode="0.0">
                  <c:v>0</c:v>
                </c:pt>
                <c:pt idx="78" formatCode="0.0">
                  <c:v>0</c:v>
                </c:pt>
                <c:pt idx="79" formatCode="0.0">
                  <c:v>0</c:v>
                </c:pt>
                <c:pt idx="80" formatCode="0.0">
                  <c:v>0</c:v>
                </c:pt>
                <c:pt idx="81" formatCode="0.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'SPM = C&amp;C_exp'!$A$2</c:f>
              <c:strCache>
                <c:ptCount val="1"/>
                <c:pt idx="0">
                  <c:v>SPM-50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'global path'!$B$6:$B$87</c:f>
              <c:numCache>
                <c:formatCode>General</c:formatCode>
                <c:ptCount val="8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  <c:pt idx="45">
                  <c:v>2064</c:v>
                </c:pt>
                <c:pt idx="46">
                  <c:v>2065</c:v>
                </c:pt>
                <c:pt idx="47">
                  <c:v>2066</c:v>
                </c:pt>
                <c:pt idx="48">
                  <c:v>2067</c:v>
                </c:pt>
                <c:pt idx="49">
                  <c:v>2068</c:v>
                </c:pt>
                <c:pt idx="50">
                  <c:v>2069</c:v>
                </c:pt>
                <c:pt idx="51">
                  <c:v>2070</c:v>
                </c:pt>
                <c:pt idx="52">
                  <c:v>2071</c:v>
                </c:pt>
                <c:pt idx="53">
                  <c:v>2072</c:v>
                </c:pt>
                <c:pt idx="54">
                  <c:v>2073</c:v>
                </c:pt>
                <c:pt idx="55">
                  <c:v>2074</c:v>
                </c:pt>
                <c:pt idx="56">
                  <c:v>2075</c:v>
                </c:pt>
                <c:pt idx="57">
                  <c:v>2076</c:v>
                </c:pt>
                <c:pt idx="58">
                  <c:v>2077</c:v>
                </c:pt>
                <c:pt idx="59">
                  <c:v>2078</c:v>
                </c:pt>
                <c:pt idx="60">
                  <c:v>2079</c:v>
                </c:pt>
                <c:pt idx="61">
                  <c:v>2080</c:v>
                </c:pt>
                <c:pt idx="62">
                  <c:v>2081</c:v>
                </c:pt>
                <c:pt idx="63">
                  <c:v>2082</c:v>
                </c:pt>
                <c:pt idx="64">
                  <c:v>2083</c:v>
                </c:pt>
                <c:pt idx="65">
                  <c:v>2084</c:v>
                </c:pt>
                <c:pt idx="66">
                  <c:v>2085</c:v>
                </c:pt>
                <c:pt idx="67">
                  <c:v>2086</c:v>
                </c:pt>
                <c:pt idx="68">
                  <c:v>2087</c:v>
                </c:pt>
                <c:pt idx="69">
                  <c:v>2088</c:v>
                </c:pt>
                <c:pt idx="70">
                  <c:v>2089</c:v>
                </c:pt>
                <c:pt idx="71">
                  <c:v>2090</c:v>
                </c:pt>
                <c:pt idx="72">
                  <c:v>2091</c:v>
                </c:pt>
                <c:pt idx="73">
                  <c:v>2092</c:v>
                </c:pt>
                <c:pt idx="74">
                  <c:v>2093</c:v>
                </c:pt>
                <c:pt idx="75">
                  <c:v>2094</c:v>
                </c:pt>
                <c:pt idx="76">
                  <c:v>2095</c:v>
                </c:pt>
                <c:pt idx="77">
                  <c:v>2096</c:v>
                </c:pt>
                <c:pt idx="78">
                  <c:v>2097</c:v>
                </c:pt>
                <c:pt idx="79">
                  <c:v>2098</c:v>
                </c:pt>
                <c:pt idx="80">
                  <c:v>2099</c:v>
                </c:pt>
                <c:pt idx="81">
                  <c:v>2100</c:v>
                </c:pt>
              </c:numCache>
            </c:numRef>
          </c:cat>
          <c:val>
            <c:numRef>
              <c:f>('SPM = C&amp;C_exp'!$F$11:$F$42,'SPM = C&amp;C_exp'!$F$51:$F$100)</c:f>
              <c:numCache>
                <c:formatCode>#,##0.0</c:formatCode>
                <c:ptCount val="82"/>
                <c:pt idx="0">
                  <c:v>19.5</c:v>
                </c:pt>
                <c:pt idx="1">
                  <c:v>19.724056924744673</c:v>
                </c:pt>
                <c:pt idx="2">
                  <c:v>19.927599275176931</c:v>
                </c:pt>
                <c:pt idx="3">
                  <c:v>19.823339058122656</c:v>
                </c:pt>
                <c:pt idx="4">
                  <c:v>19.479394797244595</c:v>
                </c:pt>
                <c:pt idx="5">
                  <c:v>18.952286629278149</c:v>
                </c:pt>
                <c:pt idx="6">
                  <c:v>18.288703274400319</c:v>
                </c:pt>
                <c:pt idx="7">
                  <c:v>17.527015968053973</c:v>
                </c:pt>
                <c:pt idx="8">
                  <c:v>16.698574187674637</c:v>
                </c:pt>
                <c:pt idx="9">
                  <c:v>15.828813342189534</c:v>
                </c:pt>
                <c:pt idx="10">
                  <c:v>14.938200539028372</c:v>
                </c:pt>
                <c:pt idx="11">
                  <c:v>14.043041023543111</c:v>
                </c:pt>
                <c:pt idx="12">
                  <c:v>13.156164830106889</c:v>
                </c:pt>
                <c:pt idx="13">
                  <c:v>12.28751053254544</c:v>
                </c:pt>
                <c:pt idx="14">
                  <c:v>11.444620681421725</c:v>
                </c:pt>
                <c:pt idx="15">
                  <c:v>10.633061521273106</c:v>
                </c:pt>
                <c:pt idx="16">
                  <c:v>9.856777852292339</c:v>
                </c:pt>
                <c:pt idx="17">
                  <c:v>9.1183924033923347</c:v>
                </c:pt>
                <c:pt idx="18">
                  <c:v>8.4194577868025959</c:v>
                </c:pt>
                <c:pt idx="19">
                  <c:v>7.7606679819577948</c:v>
                </c:pt>
                <c:pt idx="20">
                  <c:v>7.1420353254806912</c:v>
                </c:pt>
                <c:pt idx="21">
                  <c:v>6.5630381445449615</c:v>
                </c:pt>
                <c:pt idx="22">
                  <c:v>6.0227434454503879</c:v>
                </c:pt>
                <c:pt idx="23">
                  <c:v>5.5199084426995242</c:v>
                </c:pt>
                <c:pt idx="24">
                  <c:v>5.0530641730979156</c:v>
                </c:pt>
                <c:pt idx="25">
                  <c:v>4.620583972944118</c:v>
                </c:pt>
                <c:pt idx="26">
                  <c:v>4.2207391943102763</c:v>
                </c:pt>
                <c:pt idx="27">
                  <c:v>3.8517441900823641</c:v>
                </c:pt>
                <c:pt idx="28">
                  <c:v>3.5117922993366477</c:v>
                </c:pt>
                <c:pt idx="29">
                  <c:v>3.1990843082613765</c:v>
                </c:pt>
                <c:pt idx="30">
                  <c:v>2.9118506415284493</c:v>
                </c:pt>
                <c:pt idx="31">
                  <c:v>2.6483683498831034</c:v>
                </c:pt>
                <c:pt idx="32">
                  <c:v>2.4069737974868062</c:v>
                </c:pt>
                <c:pt idx="33">
                  <c:v>2.186071813540206</c:v>
                </c:pt>
                <c:pt idx="34">
                  <c:v>1.9841419537263114</c:v>
                </c:pt>
                <c:pt idx="35">
                  <c:v>1.7997424152874082</c:v>
                </c:pt>
                <c:pt idx="36">
                  <c:v>1.6315120626821145</c:v>
                </c:pt>
                <c:pt idx="37">
                  <c:v>1.478170946692714</c:v>
                </c:pt>
                <c:pt idx="38">
                  <c:v>1.3385196367700196</c:v>
                </c:pt>
                <c:pt idx="39">
                  <c:v>1.2114376327688259</c:v>
                </c:pt>
                <c:pt idx="40">
                  <c:v>1.0958810766989551</c:v>
                </c:pt>
                <c:pt idx="41">
                  <c:v>0.99087994654231792</c:v>
                </c:pt>
                <c:pt idx="42">
                  <c:v>0.89553488156613881</c:v>
                </c:pt>
                <c:pt idx="43">
                  <c:v>0.80901376103816425</c:v>
                </c:pt>
                <c:pt idx="44">
                  <c:v>0.73054813508102345</c:v>
                </c:pt>
                <c:pt idx="45">
                  <c:v>0.65942958694977527</c:v>
                </c:pt>
                <c:pt idx="46">
                  <c:v>0.59500608973421887</c:v>
                </c:pt>
                <c:pt idx="47">
                  <c:v>0.53667840690039537</c:v>
                </c:pt>
                <c:pt idx="48">
                  <c:v>0.48389657479196657</c:v>
                </c:pt>
                <c:pt idx="49">
                  <c:v>0.43615649586173255</c:v>
                </c:pt>
                <c:pt idx="50">
                  <c:v>0.39299666370067232</c:v>
                </c:pt>
                <c:pt idx="51">
                  <c:v>0.35399503462007864</c:v>
                </c:pt>
                <c:pt idx="52">
                  <c:v>0.31876605540371106</c:v>
                </c:pt>
                <c:pt idx="53">
                  <c:v>0.28695785269560536</c:v>
                </c:pt>
                <c:pt idx="54">
                  <c:v>0.25824958616520721</c:v>
                </c:pt>
                <c:pt idx="55">
                  <c:v>0.23234896496035429</c:v>
                </c:pt>
                <c:pt idx="56">
                  <c:v>0.20898992490403168</c:v>
                </c:pt>
                <c:pt idx="57">
                  <c:v>0.18793046231572497</c:v>
                </c:pt>
                <c:pt idx="58">
                  <c:v>0.16895061915888743</c:v>
                </c:pt>
                <c:pt idx="59">
                  <c:v>0.15185061336269268</c:v>
                </c:pt>
                <c:pt idx="60">
                  <c:v>0.13644910757918183</c:v>
                </c:pt>
                <c:pt idx="61">
                  <c:v>0.12258160926641271</c:v>
                </c:pt>
                <c:pt idx="62">
                  <c:v>0.11009899479210961</c:v>
                </c:pt>
                <c:pt idx="63">
                  <c:v>9.8866150195289437E-2</c:v>
                </c:pt>
                <c:pt idx="64">
                  <c:v>8.8760721296230249E-2</c:v>
                </c:pt>
                <c:pt idx="65">
                  <c:v>7.9671965983180937E-2</c:v>
                </c:pt>
                <c:pt idx="66">
                  <c:v>7.1499701707284036E-2</c:v>
                </c:pt>
                <c:pt idx="67">
                  <c:v>6.4153341468352498E-2</c:v>
                </c:pt>
                <c:pt idx="68">
                  <c:v>5.7551011859805434E-2</c:v>
                </c:pt>
                <c:pt idx="69">
                  <c:v>5.1618747049832214E-2</c:v>
                </c:pt>
                <c:pt idx="70">
                  <c:v>4.6289752898729608E-2</c:v>
                </c:pt>
                <c:pt idx="71">
                  <c:v>4.1503735741949599E-2</c:v>
                </c:pt>
                <c:pt idx="72">
                  <c:v>3.7206290698879041E-2</c:v>
                </c:pt>
                <c:pt idx="73">
                  <c:v>3.3348344694287491E-2</c:v>
                </c:pt>
                <c:pt idx="74">
                  <c:v>2.9885649698986994E-2</c:v>
                </c:pt>
                <c:pt idx="75">
                  <c:v>2.6778322006109606E-2</c:v>
                </c:pt>
                <c:pt idx="76">
                  <c:v>2.3990423657383381E-2</c:v>
                </c:pt>
                <c:pt idx="77">
                  <c:v>2.1489582418567521E-2</c:v>
                </c:pt>
                <c:pt idx="78">
                  <c:v>1.9246646973921061E-2</c:v>
                </c:pt>
                <c:pt idx="79">
                  <c:v>1.7235374265623576E-2</c:v>
                </c:pt>
                <c:pt idx="80">
                  <c:v>1.5432146145268472E-2</c:v>
                </c:pt>
                <c:pt idx="81">
                  <c:v>1.3815712730967586E-2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880768"/>
        <c:axId val="529878808"/>
      </c:lineChart>
      <c:catAx>
        <c:axId val="52988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9878808"/>
        <c:crosses val="autoZero"/>
        <c:auto val="1"/>
        <c:lblAlgn val="ctr"/>
        <c:lblOffset val="100"/>
        <c:noMultiLvlLbl val="0"/>
      </c:catAx>
      <c:valAx>
        <c:axId val="52987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Gt</a:t>
                </a:r>
                <a:r>
                  <a:rPr lang="de-DE" baseline="0"/>
                  <a:t> CO</a:t>
                </a:r>
                <a:r>
                  <a:rPr lang="de-DE" baseline="-25000"/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988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2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jpeg"/><Relationship Id="rId1" Type="http://schemas.openxmlformats.org/officeDocument/2006/relationships/chart" Target="../charts/chart30.xml"/><Relationship Id="rId4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31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chart" Target="../charts/chart32.xml"/><Relationship Id="rId4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chart" Target="../charts/chart34.xml"/><Relationship Id="rId4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image" Target="../media/image13.png"/><Relationship Id="rId7" Type="http://schemas.openxmlformats.org/officeDocument/2006/relationships/chart" Target="../charts/chart39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image" Target="../media/image14.png"/><Relationship Id="rId9" Type="http://schemas.openxmlformats.org/officeDocument/2006/relationships/chart" Target="../charts/chart4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3</xdr:row>
      <xdr:rowOff>17318</xdr:rowOff>
    </xdr:from>
    <xdr:to>
      <xdr:col>7</xdr:col>
      <xdr:colOff>365760</xdr:colOff>
      <xdr:row>19</xdr:row>
      <xdr:rowOff>59530</xdr:rowOff>
    </xdr:to>
    <xdr:graphicFrame macro="">
      <xdr:nvGraphicFramePr>
        <xdr:cNvPr id="1282428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2</xdr:row>
      <xdr:rowOff>190499</xdr:rowOff>
    </xdr:from>
    <xdr:to>
      <xdr:col>14</xdr:col>
      <xdr:colOff>228600</xdr:colOff>
      <xdr:row>19</xdr:row>
      <xdr:rowOff>71436</xdr:rowOff>
    </xdr:to>
    <xdr:graphicFrame macro="">
      <xdr:nvGraphicFramePr>
        <xdr:cNvPr id="12824286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2</xdr:row>
      <xdr:rowOff>173182</xdr:rowOff>
    </xdr:from>
    <xdr:to>
      <xdr:col>20</xdr:col>
      <xdr:colOff>685800</xdr:colOff>
      <xdr:row>19</xdr:row>
      <xdr:rowOff>35719</xdr:rowOff>
    </xdr:to>
    <xdr:graphicFrame macro="">
      <xdr:nvGraphicFramePr>
        <xdr:cNvPr id="12824287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139065</xdr:colOff>
      <xdr:row>20</xdr:row>
      <xdr:rowOff>67151</xdr:rowOff>
    </xdr:from>
    <xdr:to>
      <xdr:col>7</xdr:col>
      <xdr:colOff>413385</xdr:colOff>
      <xdr:row>38</xdr:row>
      <xdr:rowOff>59530</xdr:rowOff>
    </xdr:to>
    <xdr:graphicFrame macro="">
      <xdr:nvGraphicFramePr>
        <xdr:cNvPr id="12824288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692467</xdr:colOff>
      <xdr:row>20</xdr:row>
      <xdr:rowOff>71436</xdr:rowOff>
    </xdr:from>
    <xdr:to>
      <xdr:col>14</xdr:col>
      <xdr:colOff>235267</xdr:colOff>
      <xdr:row>38</xdr:row>
      <xdr:rowOff>71437</xdr:rowOff>
    </xdr:to>
    <xdr:graphicFrame macro="">
      <xdr:nvGraphicFramePr>
        <xdr:cNvPr id="12824289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464820</xdr:colOff>
      <xdr:row>20</xdr:row>
      <xdr:rowOff>76200</xdr:rowOff>
    </xdr:from>
    <xdr:to>
      <xdr:col>20</xdr:col>
      <xdr:colOff>685800</xdr:colOff>
      <xdr:row>38</xdr:row>
      <xdr:rowOff>59531</xdr:rowOff>
    </xdr:to>
    <xdr:graphicFrame macro="">
      <xdr:nvGraphicFramePr>
        <xdr:cNvPr id="12824290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129553</xdr:colOff>
      <xdr:row>2</xdr:row>
      <xdr:rowOff>190000</xdr:rowOff>
    </xdr:from>
    <xdr:to>
      <xdr:col>27</xdr:col>
      <xdr:colOff>381000</xdr:colOff>
      <xdr:row>18</xdr:row>
      <xdr:rowOff>59031</xdr:rowOff>
    </xdr:to>
    <xdr:graphicFrame macro="">
      <xdr:nvGraphicFramePr>
        <xdr:cNvPr id="9" name="Diagramm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128588</xdr:colOff>
      <xdr:row>20</xdr:row>
      <xdr:rowOff>188120</xdr:rowOff>
    </xdr:from>
    <xdr:to>
      <xdr:col>27</xdr:col>
      <xdr:colOff>342900</xdr:colOff>
      <xdr:row>36</xdr:row>
      <xdr:rowOff>21432</xdr:rowOff>
    </xdr:to>
    <xdr:graphicFrame macro="">
      <xdr:nvGraphicFramePr>
        <xdr:cNvPr id="10" name="Diagram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595311</xdr:colOff>
      <xdr:row>20</xdr:row>
      <xdr:rowOff>178594</xdr:rowOff>
    </xdr:from>
    <xdr:to>
      <xdr:col>34</xdr:col>
      <xdr:colOff>59530</xdr:colOff>
      <xdr:row>35</xdr:row>
      <xdr:rowOff>166688</xdr:rowOff>
    </xdr:to>
    <xdr:graphicFrame macro="">
      <xdr:nvGraphicFramePr>
        <xdr:cNvPr id="12" name="Diagramm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238126</xdr:colOff>
      <xdr:row>21</xdr:row>
      <xdr:rowOff>0</xdr:rowOff>
    </xdr:from>
    <xdr:to>
      <xdr:col>40</xdr:col>
      <xdr:colOff>464345</xdr:colOff>
      <xdr:row>35</xdr:row>
      <xdr:rowOff>178594</xdr:rowOff>
    </xdr:to>
    <xdr:graphicFrame macro="">
      <xdr:nvGraphicFramePr>
        <xdr:cNvPr id="13" name="Diagramm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607219</xdr:colOff>
      <xdr:row>21</xdr:row>
      <xdr:rowOff>11907</xdr:rowOff>
    </xdr:from>
    <xdr:to>
      <xdr:col>47</xdr:col>
      <xdr:colOff>71438</xdr:colOff>
      <xdr:row>36</xdr:row>
      <xdr:rowOff>1</xdr:rowOff>
    </xdr:to>
    <xdr:graphicFrame macro="">
      <xdr:nvGraphicFramePr>
        <xdr:cNvPr id="15" name="Diagramm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202406</xdr:colOff>
      <xdr:row>21</xdr:row>
      <xdr:rowOff>23812</xdr:rowOff>
    </xdr:from>
    <xdr:to>
      <xdr:col>53</xdr:col>
      <xdr:colOff>428625</xdr:colOff>
      <xdr:row>36</xdr:row>
      <xdr:rowOff>11906</xdr:rowOff>
    </xdr:to>
    <xdr:graphicFrame macro="">
      <xdr:nvGraphicFramePr>
        <xdr:cNvPr id="17" name="Diagramm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53</xdr:col>
      <xdr:colOff>583407</xdr:colOff>
      <xdr:row>21</xdr:row>
      <xdr:rowOff>23814</xdr:rowOff>
    </xdr:from>
    <xdr:to>
      <xdr:col>60</xdr:col>
      <xdr:colOff>47626</xdr:colOff>
      <xdr:row>36</xdr:row>
      <xdr:rowOff>11908</xdr:rowOff>
    </xdr:to>
    <xdr:graphicFrame macro="">
      <xdr:nvGraphicFramePr>
        <xdr:cNvPr id="19" name="Diagramm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60</xdr:col>
      <xdr:colOff>142875</xdr:colOff>
      <xdr:row>21</xdr:row>
      <xdr:rowOff>23813</xdr:rowOff>
    </xdr:from>
    <xdr:to>
      <xdr:col>66</xdr:col>
      <xdr:colOff>369094</xdr:colOff>
      <xdr:row>36</xdr:row>
      <xdr:rowOff>11907</xdr:rowOff>
    </xdr:to>
    <xdr:graphicFrame macro="">
      <xdr:nvGraphicFramePr>
        <xdr:cNvPr id="20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66</xdr:col>
      <xdr:colOff>476250</xdr:colOff>
      <xdr:row>21</xdr:row>
      <xdr:rowOff>23813</xdr:rowOff>
    </xdr:from>
    <xdr:to>
      <xdr:col>72</xdr:col>
      <xdr:colOff>702469</xdr:colOff>
      <xdr:row>36</xdr:row>
      <xdr:rowOff>11907</xdr:rowOff>
    </xdr:to>
    <xdr:graphicFrame macro="">
      <xdr:nvGraphicFramePr>
        <xdr:cNvPr id="21" name="Diagramm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35719</xdr:colOff>
      <xdr:row>21</xdr:row>
      <xdr:rowOff>0</xdr:rowOff>
    </xdr:from>
    <xdr:to>
      <xdr:col>79</xdr:col>
      <xdr:colOff>261938</xdr:colOff>
      <xdr:row>35</xdr:row>
      <xdr:rowOff>178594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79</xdr:col>
      <xdr:colOff>357188</xdr:colOff>
      <xdr:row>20</xdr:row>
      <xdr:rowOff>178594</xdr:rowOff>
    </xdr:from>
    <xdr:to>
      <xdr:col>85</xdr:col>
      <xdr:colOff>583407</xdr:colOff>
      <xdr:row>35</xdr:row>
      <xdr:rowOff>185738</xdr:rowOff>
    </xdr:to>
    <xdr:graphicFrame macro="">
      <xdr:nvGraphicFramePr>
        <xdr:cNvPr id="18" name="Diagramm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123825</xdr:colOff>
      <xdr:row>39</xdr:row>
      <xdr:rowOff>33337</xdr:rowOff>
    </xdr:from>
    <xdr:to>
      <xdr:col>27</xdr:col>
      <xdr:colOff>381000</xdr:colOff>
      <xdr:row>56</xdr:row>
      <xdr:rowOff>38099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66</xdr:col>
      <xdr:colOff>457200</xdr:colOff>
      <xdr:row>36</xdr:row>
      <xdr:rowOff>152401</xdr:rowOff>
    </xdr:from>
    <xdr:to>
      <xdr:col>72</xdr:col>
      <xdr:colOff>683419</xdr:colOff>
      <xdr:row>50</xdr:row>
      <xdr:rowOff>81879</xdr:rowOff>
    </xdr:to>
    <xdr:graphicFrame macro="">
      <xdr:nvGraphicFramePr>
        <xdr:cNvPr id="25" name="Diagramm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66</xdr:col>
      <xdr:colOff>476250</xdr:colOff>
      <xdr:row>51</xdr:row>
      <xdr:rowOff>9525</xdr:rowOff>
    </xdr:from>
    <xdr:to>
      <xdr:col>72</xdr:col>
      <xdr:colOff>702469</xdr:colOff>
      <xdr:row>65</xdr:row>
      <xdr:rowOff>24728</xdr:rowOff>
    </xdr:to>
    <xdr:graphicFrame macro="">
      <xdr:nvGraphicFramePr>
        <xdr:cNvPr id="23" name="Diagramm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0.02715</cdr:x>
      <cdr:y>0.02007</cdr:y>
    </cdr:from>
    <cdr:to>
      <cdr:x>0.10896</cdr:x>
      <cdr:y>0.11114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136525" y="60325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136525" y="60325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</xdr:colOff>
      <xdr:row>3</xdr:row>
      <xdr:rowOff>196215</xdr:rowOff>
    </xdr:from>
    <xdr:to>
      <xdr:col>22</xdr:col>
      <xdr:colOff>421005</xdr:colOff>
      <xdr:row>20</xdr:row>
      <xdr:rowOff>3810</xdr:rowOff>
    </xdr:to>
    <xdr:graphicFrame macro="">
      <xdr:nvGraphicFramePr>
        <xdr:cNvPr id="13944888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666749</xdr:colOff>
      <xdr:row>21</xdr:row>
      <xdr:rowOff>4762</xdr:rowOff>
    </xdr:from>
    <xdr:to>
      <xdr:col>22</xdr:col>
      <xdr:colOff>400049</xdr:colOff>
      <xdr:row>36</xdr:row>
      <xdr:rowOff>19050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4</xdr:row>
      <xdr:rowOff>0</xdr:rowOff>
    </xdr:from>
    <xdr:to>
      <xdr:col>29</xdr:col>
      <xdr:colOff>291465</xdr:colOff>
      <xdr:row>20</xdr:row>
      <xdr:rowOff>7620</xdr:rowOff>
    </xdr:to>
    <xdr:graphicFrame macro="">
      <xdr:nvGraphicFramePr>
        <xdr:cNvPr id="6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4</xdr:row>
      <xdr:rowOff>0</xdr:rowOff>
    </xdr:from>
    <xdr:to>
      <xdr:col>38</xdr:col>
      <xdr:colOff>291465</xdr:colOff>
      <xdr:row>20</xdr:row>
      <xdr:rowOff>7620</xdr:rowOff>
    </xdr:to>
    <xdr:graphicFrame macro="">
      <xdr:nvGraphicFramePr>
        <xdr:cNvPr id="7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28402</xdr:colOff>
      <xdr:row>13</xdr:row>
      <xdr:rowOff>72737</xdr:rowOff>
    </xdr:from>
    <xdr:to>
      <xdr:col>21</xdr:col>
      <xdr:colOff>214746</xdr:colOff>
      <xdr:row>25</xdr:row>
      <xdr:rowOff>145473</xdr:rowOff>
    </xdr:to>
    <xdr:graphicFrame macro="">
      <xdr:nvGraphicFramePr>
        <xdr:cNvPr id="12820690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3</xdr:row>
      <xdr:rowOff>0</xdr:rowOff>
    </xdr:from>
    <xdr:to>
      <xdr:col>20</xdr:col>
      <xdr:colOff>211995</xdr:colOff>
      <xdr:row>11</xdr:row>
      <xdr:rowOff>126230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17673" y="623455"/>
          <a:ext cx="3426249" cy="1767993"/>
        </a:xfrm>
        <a:prstGeom prst="rect">
          <a:avLst/>
        </a:prstGeom>
      </xdr:spPr>
    </xdr:pic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0.01339</cdr:x>
      <cdr:y>0.02987</cdr:y>
    </cdr:from>
    <cdr:to>
      <cdr:x>0.12187</cdr:x>
      <cdr:y>0.19079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̅</a:t>
              </a:r>
              <a:endParaRPr lang="de-DE" sz="1100"/>
            </a:p>
          </cdr:txBody>
        </cdr:sp>
      </mc:Fallback>
    </mc:AlternateContent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</xdr:colOff>
      <xdr:row>15</xdr:row>
      <xdr:rowOff>7620</xdr:rowOff>
    </xdr:from>
    <xdr:to>
      <xdr:col>25</xdr:col>
      <xdr:colOff>106680</xdr:colOff>
      <xdr:row>26</xdr:row>
      <xdr:rowOff>15240</xdr:rowOff>
    </xdr:to>
    <xdr:graphicFrame macro="">
      <xdr:nvGraphicFramePr>
        <xdr:cNvPr id="12627281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0</xdr:colOff>
      <xdr:row>6</xdr:row>
      <xdr:rowOff>0</xdr:rowOff>
    </xdr:from>
    <xdr:to>
      <xdr:col>25</xdr:col>
      <xdr:colOff>67616</xdr:colOff>
      <xdr:row>14</xdr:row>
      <xdr:rowOff>53491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65420" y="1089660"/>
          <a:ext cx="3535986" cy="1737511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0.0144</cdr:x>
      <cdr:y>0.02743</cdr:y>
    </cdr:from>
    <cdr:to>
      <cdr:x>0.13103</cdr:x>
      <cdr:y>0.17523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12</xdr:row>
      <xdr:rowOff>0</xdr:rowOff>
    </xdr:from>
    <xdr:to>
      <xdr:col>25</xdr:col>
      <xdr:colOff>76200</xdr:colOff>
      <xdr:row>23</xdr:row>
      <xdr:rowOff>53340</xdr:rowOff>
    </xdr:to>
    <xdr:graphicFrame macro="">
      <xdr:nvGraphicFramePr>
        <xdr:cNvPr id="12789020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83820</xdr:colOff>
      <xdr:row>12</xdr:row>
      <xdr:rowOff>95250</xdr:rowOff>
    </xdr:from>
    <xdr:to>
      <xdr:col>16</xdr:col>
      <xdr:colOff>129540</xdr:colOff>
      <xdr:row>14</xdr:row>
      <xdr:rowOff>33635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/>
            <xdr:cNvSpPr txBox="1"/>
          </xdr:nvSpPr>
          <xdr:spPr>
            <a:xfrm>
              <a:off x="5303520" y="2457450"/>
              <a:ext cx="411480" cy="273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/>
            <xdr:cNvSpPr txBox="1"/>
          </xdr:nvSpPr>
          <xdr:spPr>
            <a:xfrm>
              <a:off x="5303520" y="2457450"/>
              <a:ext cx="411480" cy="273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3</xdr:row>
      <xdr:rowOff>0</xdr:rowOff>
    </xdr:from>
    <xdr:to>
      <xdr:col>25</xdr:col>
      <xdr:colOff>68886</xdr:colOff>
      <xdr:row>11</xdr:row>
      <xdr:rowOff>65681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9700" y="541020"/>
          <a:ext cx="3535986" cy="171922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33411</xdr:colOff>
      <xdr:row>39</xdr:row>
      <xdr:rowOff>73416</xdr:rowOff>
    </xdr:from>
    <xdr:to>
      <xdr:col>38</xdr:col>
      <xdr:colOff>1489857</xdr:colOff>
      <xdr:row>50</xdr:row>
      <xdr:rowOff>44402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0</xdr:colOff>
      <xdr:row>8</xdr:row>
      <xdr:rowOff>0</xdr:rowOff>
    </xdr:from>
    <xdr:to>
      <xdr:col>39</xdr:col>
      <xdr:colOff>416033</xdr:colOff>
      <xdr:row>38</xdr:row>
      <xdr:rowOff>55063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36782" y="1537855"/>
          <a:ext cx="4572396" cy="5492972"/>
        </a:xfrm>
        <a:prstGeom prst="rect">
          <a:avLst/>
        </a:prstGeom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0.01437</cdr:x>
      <cdr:y>0.02769</cdr:y>
    </cdr:from>
    <cdr:to>
      <cdr:x>0.13079</cdr:x>
      <cdr:y>0.17688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12</xdr:row>
      <xdr:rowOff>0</xdr:rowOff>
    </xdr:from>
    <xdr:to>
      <xdr:col>27</xdr:col>
      <xdr:colOff>76200</xdr:colOff>
      <xdr:row>23</xdr:row>
      <xdr:rowOff>53340</xdr:rowOff>
    </xdr:to>
    <xdr:graphicFrame macro="">
      <xdr:nvGraphicFramePr>
        <xdr:cNvPr id="3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83820</xdr:colOff>
      <xdr:row>12</xdr:row>
      <xdr:rowOff>95250</xdr:rowOff>
    </xdr:from>
    <xdr:to>
      <xdr:col>18</xdr:col>
      <xdr:colOff>129540</xdr:colOff>
      <xdr:row>14</xdr:row>
      <xdr:rowOff>33635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/>
            <xdr:cNvSpPr txBox="1"/>
          </xdr:nvSpPr>
          <xdr:spPr>
            <a:xfrm>
              <a:off x="5141595" y="2571750"/>
              <a:ext cx="398145" cy="2622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/>
            <xdr:cNvSpPr txBox="1"/>
          </xdr:nvSpPr>
          <xdr:spPr>
            <a:xfrm>
              <a:off x="5141595" y="2571750"/>
              <a:ext cx="398145" cy="2622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297180</xdr:colOff>
      <xdr:row>13</xdr:row>
      <xdr:rowOff>152400</xdr:rowOff>
    </xdr:from>
    <xdr:to>
      <xdr:col>25</xdr:col>
      <xdr:colOff>76200</xdr:colOff>
      <xdr:row>25</xdr:row>
      <xdr:rowOff>30480</xdr:rowOff>
    </xdr:to>
    <xdr:graphicFrame macro="">
      <xdr:nvGraphicFramePr>
        <xdr:cNvPr id="1401161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0</xdr:colOff>
      <xdr:row>1</xdr:row>
      <xdr:rowOff>0</xdr:rowOff>
    </xdr:from>
    <xdr:to>
      <xdr:col>33</xdr:col>
      <xdr:colOff>640080</xdr:colOff>
      <xdr:row>6</xdr:row>
      <xdr:rowOff>121920</xdr:rowOff>
    </xdr:to>
    <xdr:pic>
      <xdr:nvPicPr>
        <xdr:cNvPr id="14011617" name="Grafik 4" descr="http://www.feem-project.net/limits/images/banner-limits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3520" y="198120"/>
          <a:ext cx="8580120" cy="1287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0</xdr:rowOff>
    </xdr:from>
    <xdr:to>
      <xdr:col>30</xdr:col>
      <xdr:colOff>1341120</xdr:colOff>
      <xdr:row>28</xdr:row>
      <xdr:rowOff>144780</xdr:rowOff>
    </xdr:to>
    <xdr:pic>
      <xdr:nvPicPr>
        <xdr:cNvPr id="14011618" name="Grafik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3520" y="1531620"/>
          <a:ext cx="3040380" cy="3665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25</xdr:col>
      <xdr:colOff>68886</xdr:colOff>
      <xdr:row>11</xdr:row>
      <xdr:rowOff>65681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4460" y="548640"/>
          <a:ext cx="3535986" cy="1719221"/>
        </a:xfrm>
        <a:prstGeom prst="rect">
          <a:avLst/>
        </a:prstGeom>
      </xdr:spPr>
    </xdr:pic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0.01431</cdr:x>
      <cdr:y>0.02688</cdr:y>
    </cdr:from>
    <cdr:to>
      <cdr:x>0.13019</cdr:x>
      <cdr:y>0.1717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297180</xdr:colOff>
      <xdr:row>16</xdr:row>
      <xdr:rowOff>30480</xdr:rowOff>
    </xdr:from>
    <xdr:to>
      <xdr:col>24</xdr:col>
      <xdr:colOff>358140</xdr:colOff>
      <xdr:row>25</xdr:row>
      <xdr:rowOff>91440</xdr:rowOff>
    </xdr:to>
    <xdr:graphicFrame macro="">
      <xdr:nvGraphicFramePr>
        <xdr:cNvPr id="14560290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3</xdr:row>
      <xdr:rowOff>0</xdr:rowOff>
    </xdr:from>
    <xdr:to>
      <xdr:col>18</xdr:col>
      <xdr:colOff>391005</xdr:colOff>
      <xdr:row>12</xdr:row>
      <xdr:rowOff>15112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2564" y="644236"/>
          <a:ext cx="3535986" cy="1719221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0.01256</cdr:x>
      <cdr:y>0.02708</cdr:y>
    </cdr:from>
    <cdr:to>
      <cdr:x>0.11431</cdr:x>
      <cdr:y>0.17296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283864</xdr:colOff>
      <xdr:row>42</xdr:row>
      <xdr:rowOff>35952</xdr:rowOff>
    </xdr:from>
    <xdr:to>
      <xdr:col>27</xdr:col>
      <xdr:colOff>318695</xdr:colOff>
      <xdr:row>56</xdr:row>
      <xdr:rowOff>156938</xdr:rowOff>
    </xdr:to>
    <xdr:graphicFrame macro="">
      <xdr:nvGraphicFramePr>
        <xdr:cNvPr id="14253076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47627</xdr:colOff>
      <xdr:row>19</xdr:row>
      <xdr:rowOff>15875</xdr:rowOff>
    </xdr:from>
    <xdr:to>
      <xdr:col>28</xdr:col>
      <xdr:colOff>317502</xdr:colOff>
      <xdr:row>31</xdr:row>
      <xdr:rowOff>130435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85002" y="3810000"/>
          <a:ext cx="5238750" cy="201956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18</xdr:col>
      <xdr:colOff>87313</xdr:colOff>
      <xdr:row>32</xdr:row>
      <xdr:rowOff>142875</xdr:rowOff>
    </xdr:from>
    <xdr:to>
      <xdr:col>23</xdr:col>
      <xdr:colOff>182562</xdr:colOff>
      <xdr:row>38</xdr:row>
      <xdr:rowOff>23790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24688" y="6000750"/>
          <a:ext cx="2246312" cy="833415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23</xdr:col>
      <xdr:colOff>581890</xdr:colOff>
      <xdr:row>33</xdr:row>
      <xdr:rowOff>0</xdr:rowOff>
    </xdr:from>
    <xdr:to>
      <xdr:col>27</xdr:col>
      <xdr:colOff>494033</xdr:colOff>
      <xdr:row>38</xdr:row>
      <xdr:rowOff>34636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89126" y="6068291"/>
          <a:ext cx="2239707" cy="86590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85426</xdr:colOff>
      <xdr:row>19</xdr:row>
      <xdr:rowOff>51827</xdr:rowOff>
    </xdr:from>
    <xdr:to>
      <xdr:col>27</xdr:col>
      <xdr:colOff>120257</xdr:colOff>
      <xdr:row>34</xdr:row>
      <xdr:rowOff>61688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283864</xdr:colOff>
      <xdr:row>42</xdr:row>
      <xdr:rowOff>35952</xdr:rowOff>
    </xdr:from>
    <xdr:to>
      <xdr:col>27</xdr:col>
      <xdr:colOff>318695</xdr:colOff>
      <xdr:row>56</xdr:row>
      <xdr:rowOff>156938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47627</xdr:colOff>
      <xdr:row>19</xdr:row>
      <xdr:rowOff>15875</xdr:rowOff>
    </xdr:from>
    <xdr:to>
      <xdr:col>28</xdr:col>
      <xdr:colOff>317502</xdr:colOff>
      <xdr:row>31</xdr:row>
      <xdr:rowOff>130435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00877" y="3863975"/>
          <a:ext cx="5232400" cy="2057660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18</xdr:col>
      <xdr:colOff>87313</xdr:colOff>
      <xdr:row>32</xdr:row>
      <xdr:rowOff>142875</xdr:rowOff>
    </xdr:from>
    <xdr:to>
      <xdr:col>23</xdr:col>
      <xdr:colOff>182562</xdr:colOff>
      <xdr:row>38</xdr:row>
      <xdr:rowOff>23790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40563" y="6096000"/>
          <a:ext cx="2247899" cy="852465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  <xdr:twoCellAnchor editAs="oneCell">
    <xdr:from>
      <xdr:col>23</xdr:col>
      <xdr:colOff>293688</xdr:colOff>
      <xdr:row>33</xdr:row>
      <xdr:rowOff>0</xdr:rowOff>
    </xdr:from>
    <xdr:to>
      <xdr:col>25</xdr:col>
      <xdr:colOff>460375</xdr:colOff>
      <xdr:row>37</xdr:row>
      <xdr:rowOff>285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9588" y="6115050"/>
          <a:ext cx="1290637" cy="647985"/>
        </a:xfrm>
        <a:prstGeom prst="rect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68</xdr:row>
      <xdr:rowOff>167640</xdr:rowOff>
    </xdr:to>
    <xdr:graphicFrame macro="">
      <xdr:nvGraphicFramePr>
        <xdr:cNvPr id="14594257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7</xdr:col>
      <xdr:colOff>0</xdr:colOff>
      <xdr:row>53</xdr:row>
      <xdr:rowOff>175260</xdr:rowOff>
    </xdr:to>
    <xdr:graphicFrame macro="">
      <xdr:nvGraphicFramePr>
        <xdr:cNvPr id="14594258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45720</xdr:colOff>
      <xdr:row>48</xdr:row>
      <xdr:rowOff>7620</xdr:rowOff>
    </xdr:from>
    <xdr:to>
      <xdr:col>18</xdr:col>
      <xdr:colOff>320040</xdr:colOff>
      <xdr:row>50</xdr:row>
      <xdr:rowOff>152400</xdr:rowOff>
    </xdr:to>
    <xdr:pic>
      <xdr:nvPicPr>
        <xdr:cNvPr id="14594259" name="Grafik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1720" y="8328660"/>
          <a:ext cx="262890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0</xdr:colOff>
      <xdr:row>52</xdr:row>
      <xdr:rowOff>22860</xdr:rowOff>
    </xdr:from>
    <xdr:to>
      <xdr:col>16</xdr:col>
      <xdr:colOff>708660</xdr:colOff>
      <xdr:row>53</xdr:row>
      <xdr:rowOff>60960</xdr:rowOff>
    </xdr:to>
    <xdr:pic>
      <xdr:nvPicPr>
        <xdr:cNvPr id="14594260" name="Grafik 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9060180"/>
          <a:ext cx="149352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69</xdr:row>
      <xdr:rowOff>0</xdr:rowOff>
    </xdr:from>
    <xdr:to>
      <xdr:col>7</xdr:col>
      <xdr:colOff>0</xdr:colOff>
      <xdr:row>84</xdr:row>
      <xdr:rowOff>0</xdr:rowOff>
    </xdr:to>
    <xdr:graphicFrame macro="">
      <xdr:nvGraphicFramePr>
        <xdr:cNvPr id="14594261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0</xdr:colOff>
      <xdr:row>68</xdr:row>
      <xdr:rowOff>167640</xdr:rowOff>
    </xdr:to>
    <xdr:graphicFrame macro="">
      <xdr:nvGraphicFramePr>
        <xdr:cNvPr id="14594262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</xdr:row>
      <xdr:rowOff>0</xdr:rowOff>
    </xdr:from>
    <xdr:to>
      <xdr:col>14</xdr:col>
      <xdr:colOff>0</xdr:colOff>
      <xdr:row>53</xdr:row>
      <xdr:rowOff>175260</xdr:rowOff>
    </xdr:to>
    <xdr:graphicFrame macro="">
      <xdr:nvGraphicFramePr>
        <xdr:cNvPr id="14594263" name="Diagram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69</xdr:row>
      <xdr:rowOff>0</xdr:rowOff>
    </xdr:from>
    <xdr:to>
      <xdr:col>14</xdr:col>
      <xdr:colOff>0</xdr:colOff>
      <xdr:row>84</xdr:row>
      <xdr:rowOff>0</xdr:rowOff>
    </xdr:to>
    <xdr:graphicFrame macro="">
      <xdr:nvGraphicFramePr>
        <xdr:cNvPr id="14594264" name="Diagramm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0</xdr:colOff>
      <xdr:row>54</xdr:row>
      <xdr:rowOff>0</xdr:rowOff>
    </xdr:from>
    <xdr:to>
      <xdr:col>21</xdr:col>
      <xdr:colOff>0</xdr:colOff>
      <xdr:row>68</xdr:row>
      <xdr:rowOff>167640</xdr:rowOff>
    </xdr:to>
    <xdr:graphicFrame macro="">
      <xdr:nvGraphicFramePr>
        <xdr:cNvPr id="14594265" name="Diagramm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39</xdr:row>
      <xdr:rowOff>0</xdr:rowOff>
    </xdr:from>
    <xdr:to>
      <xdr:col>21</xdr:col>
      <xdr:colOff>0</xdr:colOff>
      <xdr:row>53</xdr:row>
      <xdr:rowOff>175260</xdr:rowOff>
    </xdr:to>
    <xdr:graphicFrame macro="">
      <xdr:nvGraphicFramePr>
        <xdr:cNvPr id="14594266" name="Diagramm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69</xdr:row>
      <xdr:rowOff>0</xdr:rowOff>
    </xdr:from>
    <xdr:to>
      <xdr:col>21</xdr:col>
      <xdr:colOff>0</xdr:colOff>
      <xdr:row>84</xdr:row>
      <xdr:rowOff>0</xdr:rowOff>
    </xdr:to>
    <xdr:graphicFrame macro="">
      <xdr:nvGraphicFramePr>
        <xdr:cNvPr id="14594267" name="Diagram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6</xdr:row>
      <xdr:rowOff>152400</xdr:rowOff>
    </xdr:from>
    <xdr:to>
      <xdr:col>39</xdr:col>
      <xdr:colOff>76200</xdr:colOff>
      <xdr:row>10</xdr:row>
      <xdr:rowOff>167640</xdr:rowOff>
    </xdr:to>
    <xdr:sp macro="" textlink="">
      <xdr:nvSpPr>
        <xdr:cNvPr id="2" name="Textfeld 1"/>
        <xdr:cNvSpPr txBox="1"/>
      </xdr:nvSpPr>
      <xdr:spPr>
        <a:xfrm>
          <a:off x="22844760" y="1066800"/>
          <a:ext cx="5570220" cy="7162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/>
            <a:t>You can also use the </a:t>
          </a:r>
          <a:r>
            <a:rPr lang="de-DE" b="1"/>
            <a:t>macro</a:t>
          </a:r>
          <a:r>
            <a:rPr lang="de-DE" b="1" baseline="0"/>
            <a:t> </a:t>
          </a:r>
          <a:r>
            <a:rPr lang="de-DE" b="0" baseline="0"/>
            <a:t>(click button above)</a:t>
          </a:r>
          <a:r>
            <a:rPr lang="de-DE"/>
            <a:t>.</a:t>
          </a:r>
        </a:p>
        <a:p>
          <a:r>
            <a:rPr lang="de-DE"/>
            <a:t>You need the "Solver" added as an add-ins and you have to create</a:t>
          </a:r>
          <a:r>
            <a:rPr lang="de-DE" baseline="0"/>
            <a:t> a reference to the</a:t>
          </a:r>
          <a:r>
            <a:rPr lang="de-DE"/>
            <a:t> "Solver" in VBA</a:t>
          </a:r>
          <a:r>
            <a:rPr lang="de-DE" baseline="0"/>
            <a:t> m</a:t>
          </a:r>
          <a:r>
            <a:rPr lang="de-DE"/>
            <a:t>enu "Tools".</a:t>
          </a:r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1</xdr:row>
          <xdr:rowOff>171450</xdr:rowOff>
        </xdr:from>
        <xdr:to>
          <xdr:col>35</xdr:col>
          <xdr:colOff>219075</xdr:colOff>
          <xdr:row>5</xdr:row>
          <xdr:rowOff>114300</xdr:rowOff>
        </xdr:to>
        <xdr:sp macro="" textlink="">
          <xdr:nvSpPr>
            <xdr:cNvPr id="12843349" name="Button 341" hidden="1">
              <a:extLst>
                <a:ext uri="{63B3BB69-23CF-44E3-9099-C40C66FF867C}">
                  <a14:compatExt spid="_x0000_s1284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25</xdr:col>
      <xdr:colOff>45720</xdr:colOff>
      <xdr:row>6</xdr:row>
      <xdr:rowOff>144780</xdr:rowOff>
    </xdr:to>
    <xdr:pic>
      <xdr:nvPicPr>
        <xdr:cNvPr id="14023749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2560" y="601980"/>
          <a:ext cx="3512820" cy="960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19050</xdr:colOff>
      <xdr:row>14</xdr:row>
      <xdr:rowOff>64859</xdr:rowOff>
    </xdr:from>
    <xdr:to>
      <xdr:col>30</xdr:col>
      <xdr:colOff>1774371</xdr:colOff>
      <xdr:row>32</xdr:row>
      <xdr:rowOff>3627</xdr:rowOff>
    </xdr:to>
    <xdr:grpSp>
      <xdr:nvGrpSpPr>
        <xdr:cNvPr id="2" name="Gruppieren 1"/>
        <xdr:cNvGrpSpPr/>
      </xdr:nvGrpSpPr>
      <xdr:grpSpPr>
        <a:xfrm>
          <a:off x="8789988" y="2874734"/>
          <a:ext cx="5628821" cy="2796268"/>
          <a:chOff x="9779001" y="2488972"/>
          <a:chExt cx="5628821" cy="2796268"/>
        </a:xfrm>
      </xdr:grpSpPr>
      <xdr:graphicFrame macro="">
        <xdr:nvGraphicFramePr>
          <xdr:cNvPr id="3" name="Diagramm 1"/>
          <xdr:cNvGraphicFramePr>
            <a:graphicFrameLocks/>
          </xdr:cNvGraphicFramePr>
        </xdr:nvGraphicFramePr>
        <xdr:xfrm>
          <a:off x="9779001" y="2488972"/>
          <a:ext cx="5628821" cy="27962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feld 3"/>
              <xdr:cNvSpPr txBox="1"/>
            </xdr:nvSpPr>
            <xdr:spPr>
              <a:xfrm>
                <a:off x="9958070" y="2540000"/>
                <a:ext cx="394970" cy="25588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Sup>
                        <m:sSubSupPr>
                          <m:ctrlPr>
                            <a:rPr lang="de-DE" sz="1100" b="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acc>
                            <m:accPr>
                              <m:chr m:val="̂"/>
                              <m:ctrlPr>
                                <a:rPr lang="de-DE" sz="1100" b="0" i="1">
                                  <a:latin typeface="Cambria Math" panose="02040503050406030204" pitchFamily="18" charset="0"/>
                                </a:rPr>
                              </m:ctrlPr>
                            </m:accPr>
                            <m:e>
                              <m:r>
                                <a:rPr lang="de-DE" sz="11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e>
                          </m:acc>
                        </m:e>
                        <m:sub>
                          <m:r>
                            <a:rPr lang="de-DE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  <m:sup>
                          <m:r>
                            <a:rPr lang="de-DE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  <m:r>
                            <a:rPr lang="de-DE" sz="1100" b="0" i="1">
                              <a:latin typeface="Cambria Math" panose="02040503050406030204" pitchFamily="18" charset="0"/>
                            </a:rPr>
                            <m:t>_</m:t>
                          </m:r>
                          <m:r>
                            <a:rPr lang="de-DE" sz="1100" b="0" i="1">
                              <a:latin typeface="Cambria Math" panose="02040503050406030204" pitchFamily="18" charset="0"/>
                            </a:rPr>
                            <m:t>𝑅𝑀</m:t>
                          </m:r>
                        </m:sup>
                      </m:sSubSup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4" name="Textfeld 3"/>
              <xdr:cNvSpPr txBox="1"/>
            </xdr:nvSpPr>
            <xdr:spPr>
              <a:xfrm>
                <a:off x="9958070" y="2540000"/>
                <a:ext cx="394970" cy="25588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pPr/>
                <a:r>
                  <a:rPr lang="de-DE" sz="1100" b="0" i="0">
                    <a:latin typeface="Cambria Math" panose="02040503050406030204" pitchFamily="18" charset="0"/>
                  </a:rPr>
                  <a:t>𝐶</a:t>
                </a:r>
                <a:r>
                  <a:rPr lang="de-DE" sz="1100" b="0" i="0">
                    <a:latin typeface="Cambria Math"/>
                  </a:rPr>
                  <a:t> ̂_</a:t>
                </a:r>
                <a:r>
                  <a:rPr lang="de-DE" sz="1100" b="0" i="0">
                    <a:latin typeface="Cambria Math" panose="02040503050406030204" pitchFamily="18" charset="0"/>
                  </a:rPr>
                  <a:t>𝑡</a:t>
                </a:r>
                <a:r>
                  <a:rPr lang="de-DE" sz="1100" b="0" i="0">
                    <a:latin typeface="Cambria Math"/>
                  </a:rPr>
                  <a:t>^(</a:t>
                </a:r>
                <a:r>
                  <a:rPr lang="de-DE" sz="1100" b="0" i="0">
                    <a:latin typeface="Cambria Math" panose="02040503050406030204" pitchFamily="18" charset="0"/>
                  </a:rPr>
                  <a:t>𝑖_𝑅𝑀</a:t>
                </a:r>
                <a:r>
                  <a:rPr lang="de-DE" sz="1100" b="0" i="0">
                    <a:latin typeface="Cambria Math"/>
                  </a:rPr>
                  <a:t>)</a:t>
                </a:r>
                <a:endParaRPr lang="de-DE" sz="1100"/>
              </a:p>
            </xdr:txBody>
          </xdr:sp>
        </mc:Fallback>
      </mc:AlternateContent>
    </xdr:grpSp>
    <xdr:clientData/>
  </xdr:twoCellAnchor>
  <xdr:twoCellAnchor>
    <xdr:from>
      <xdr:col>24</xdr:col>
      <xdr:colOff>6350</xdr:colOff>
      <xdr:row>33</xdr:row>
      <xdr:rowOff>0</xdr:rowOff>
    </xdr:from>
    <xdr:to>
      <xdr:col>30</xdr:col>
      <xdr:colOff>1761671</xdr:colOff>
      <xdr:row>50</xdr:row>
      <xdr:rowOff>78468</xdr:rowOff>
    </xdr:to>
    <xdr:grpSp>
      <xdr:nvGrpSpPr>
        <xdr:cNvPr id="9" name="Gruppieren 8"/>
        <xdr:cNvGrpSpPr/>
      </xdr:nvGrpSpPr>
      <xdr:grpSpPr>
        <a:xfrm>
          <a:off x="8777288" y="5826125"/>
          <a:ext cx="5628821" cy="2808968"/>
          <a:chOff x="8770938" y="5667375"/>
          <a:chExt cx="5628821" cy="2808968"/>
        </a:xfrm>
      </xdr:grpSpPr>
      <xdr:graphicFrame macro="">
        <xdr:nvGraphicFramePr>
          <xdr:cNvPr id="8" name="Diagramm 1"/>
          <xdr:cNvGraphicFramePr>
            <a:graphicFrameLocks/>
          </xdr:cNvGraphicFramePr>
        </xdr:nvGraphicFramePr>
        <xdr:xfrm>
          <a:off x="8770938" y="5667375"/>
          <a:ext cx="5628821" cy="28089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" name="Textfeld 6"/>
              <xdr:cNvSpPr txBox="1"/>
            </xdr:nvSpPr>
            <xdr:spPr>
              <a:xfrm>
                <a:off x="9099550" y="5777706"/>
                <a:ext cx="161711" cy="1815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de-DE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acc>
                            <m:accPr>
                              <m:chr m:val="̂"/>
                              <m:ctrlPr>
                                <a:rPr lang="de-DE" sz="1100" i="1">
                                  <a:latin typeface="Cambria Math" panose="02040503050406030204" pitchFamily="18" charset="0"/>
                                </a:rPr>
                              </m:ctrlPr>
                            </m:accPr>
                            <m:e>
                              <m:r>
                                <a:rPr lang="de-DE" sz="1100" b="0" i="1">
                                  <a:latin typeface="Cambria Math" panose="02040503050406030204" pitchFamily="18" charset="0"/>
                                </a:rPr>
                                <m:t>𝐶</m:t>
                              </m:r>
                            </m:e>
                          </m:acc>
                        </m:e>
                        <m:sub>
                          <m:r>
                            <a:rPr lang="de-DE" sz="11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sub>
                      </m:sSub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7" name="Textfeld 6"/>
              <xdr:cNvSpPr txBox="1"/>
            </xdr:nvSpPr>
            <xdr:spPr>
              <a:xfrm>
                <a:off x="9099550" y="5777706"/>
                <a:ext cx="161711" cy="18152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de-DE" sz="1100" b="0" i="0">
                    <a:latin typeface="Cambria Math" panose="02040503050406030204" pitchFamily="18" charset="0"/>
                  </a:rPr>
                  <a:t>𝐶</a:t>
                </a:r>
                <a:r>
                  <a:rPr lang="de-DE" sz="1100" b="0" i="0">
                    <a:latin typeface="Cambria Math"/>
                  </a:rPr>
                  <a:t> ̂_</a:t>
                </a:r>
                <a:r>
                  <a:rPr lang="de-DE" sz="1100" b="0" i="0">
                    <a:latin typeface="Cambria Math" panose="02040503050406030204" pitchFamily="18" charset="0"/>
                  </a:rPr>
                  <a:t>𝑡</a:t>
                </a:r>
                <a:endParaRPr lang="de-DE" sz="1100"/>
              </a:p>
            </xdr:txBody>
          </xdr:sp>
        </mc:Fallback>
      </mc:AlternateContent>
    </xdr:grpSp>
    <xdr:clientData/>
  </xdr:twoCellAnchor>
  <xdr:twoCellAnchor editAs="oneCell">
    <xdr:from>
      <xdr:col>24</xdr:col>
      <xdr:colOff>0</xdr:colOff>
      <xdr:row>1</xdr:row>
      <xdr:rowOff>0</xdr:rowOff>
    </xdr:from>
    <xdr:to>
      <xdr:col>29</xdr:col>
      <xdr:colOff>1587550</xdr:colOff>
      <xdr:row>13</xdr:row>
      <xdr:rowOff>156427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86850" y="196850"/>
          <a:ext cx="3511600" cy="249957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278130</xdr:colOff>
      <xdr:row>14</xdr:row>
      <xdr:rowOff>9525</xdr:rowOff>
    </xdr:from>
    <xdr:to>
      <xdr:col>20</xdr:col>
      <xdr:colOff>1685925</xdr:colOff>
      <xdr:row>25</xdr:row>
      <xdr:rowOff>49530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358140</xdr:colOff>
      <xdr:row>7</xdr:row>
      <xdr:rowOff>160020</xdr:rowOff>
    </xdr:from>
    <xdr:to>
      <xdr:col>20</xdr:col>
      <xdr:colOff>478727</xdr:colOff>
      <xdr:row>11</xdr:row>
      <xdr:rowOff>38148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11440" y="1714500"/>
          <a:ext cx="2200847" cy="548688"/>
        </a:xfrm>
        <a:prstGeom prst="rect">
          <a:avLst/>
        </a:prstGeom>
      </xdr:spPr>
    </xdr:pic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0.01431</cdr:x>
      <cdr:y>0.02688</cdr:y>
    </cdr:from>
    <cdr:to>
      <cdr:x>0.13019</cdr:x>
      <cdr:y>0.1717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de-DE" sz="1100"/>
            </a:p>
          </cdr:txBody>
        </cdr:sp>
      </mc:Choice>
      <mc:Fallback xmlns="">
        <cdr:sp macro="" textlink="">
          <cdr:nvSpPr>
            <cdr:cNvPr id="2" name="Textfeld 2"/>
            <cdr:cNvSpPr txBox="1"/>
          </cdr:nvSpPr>
          <cdr:spPr>
            <a:xfrm xmlns:a="http://schemas.openxmlformats.org/drawingml/2006/main">
              <a:off x="50800" y="50800"/>
              <a:ext cx="411480" cy="273665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de-DE" sz="1100" i="0">
                  <a:latin typeface="Cambria Math"/>
                </a:rPr>
                <a:t>(</a:t>
              </a:r>
              <a:r>
                <a:rPr lang="de-DE" sz="1100" b="0" i="0">
                  <a:latin typeface="Cambria Math"/>
                </a:rPr>
                <a:t>𝐶_𝑡 ) ̂</a:t>
              </a:r>
              <a:endParaRPr lang="de-DE" sz="1100"/>
            </a:p>
          </cdr:txBody>
        </cdr:sp>
      </mc:Fallback>
    </mc:AlternateContent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4762</xdr:colOff>
      <xdr:row>8</xdr:row>
      <xdr:rowOff>581817</xdr:rowOff>
    </xdr:from>
    <xdr:to>
      <xdr:col>28</xdr:col>
      <xdr:colOff>333375</xdr:colOff>
      <xdr:row>29</xdr:row>
      <xdr:rowOff>15874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6350</xdr:colOff>
      <xdr:row>50</xdr:row>
      <xdr:rowOff>158750</xdr:rowOff>
    </xdr:from>
    <xdr:to>
      <xdr:col>28</xdr:col>
      <xdr:colOff>334963</xdr:colOff>
      <xdr:row>71</xdr:row>
      <xdr:rowOff>69057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558800</xdr:colOff>
      <xdr:row>30</xdr:row>
      <xdr:rowOff>12700</xdr:rowOff>
    </xdr:from>
    <xdr:to>
      <xdr:col>28</xdr:col>
      <xdr:colOff>322263</xdr:colOff>
      <xdr:row>49</xdr:row>
      <xdr:rowOff>145257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4762</xdr:colOff>
      <xdr:row>8</xdr:row>
      <xdr:rowOff>581817</xdr:rowOff>
    </xdr:from>
    <xdr:to>
      <xdr:col>28</xdr:col>
      <xdr:colOff>333375</xdr:colOff>
      <xdr:row>29</xdr:row>
      <xdr:rowOff>15874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6350</xdr:colOff>
      <xdr:row>50</xdr:row>
      <xdr:rowOff>158750</xdr:rowOff>
    </xdr:from>
    <xdr:to>
      <xdr:col>28</xdr:col>
      <xdr:colOff>334963</xdr:colOff>
      <xdr:row>71</xdr:row>
      <xdr:rowOff>69057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558800</xdr:colOff>
      <xdr:row>30</xdr:row>
      <xdr:rowOff>12700</xdr:rowOff>
    </xdr:from>
    <xdr:to>
      <xdr:col>28</xdr:col>
      <xdr:colOff>322263</xdr:colOff>
      <xdr:row>49</xdr:row>
      <xdr:rowOff>145257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769621</xdr:colOff>
      <xdr:row>1</xdr:row>
      <xdr:rowOff>114300</xdr:rowOff>
    </xdr:from>
    <xdr:to>
      <xdr:col>10</xdr:col>
      <xdr:colOff>327661</xdr:colOff>
      <xdr:row>11</xdr:row>
      <xdr:rowOff>91440</xdr:rowOff>
    </xdr:to>
    <xdr:grpSp>
      <xdr:nvGrpSpPr>
        <xdr:cNvPr id="14820429" name="Gruppieren 4"/>
        <xdr:cNvGrpSpPr>
          <a:grpSpLocks/>
        </xdr:cNvGrpSpPr>
      </xdr:nvGrpSpPr>
      <xdr:grpSpPr bwMode="auto">
        <a:xfrm>
          <a:off x="4570096" y="304800"/>
          <a:ext cx="3377565" cy="1882140"/>
          <a:chOff x="4739641" y="2567940"/>
          <a:chExt cx="3512820" cy="172212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feld 3"/>
              <xdr:cNvSpPr txBox="1"/>
            </xdr:nvSpPr>
            <xdr:spPr>
              <a:xfrm>
                <a:off x="4739641" y="2567940"/>
                <a:ext cx="3512820" cy="172212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de-DE" sz="1100" b="1"/>
                  <a:t>C&amp;C-exp</a:t>
                </a:r>
              </a:p>
              <a:p>
                <a:pPr algn="ctr"/>
                <a:endParaRPr lang="de-DE" sz="1100" b="1"/>
              </a:p>
              <a:p>
                <a:pPr algn="ctr"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Sup>
                        <m:sSubSupPr>
                          <m:ctrlPr>
                            <a:rPr lang="de-DE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acc>
                            <m:accPr>
                              <m:chr m:val="̂"/>
                              <m:ctrlPr>
                                <a:rPr lang="de-DE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r>
                                <a:rPr lang="de-DE" sz="1100" b="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</m:acc>
                        </m:e>
                        <m:sub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𝑡</m:t>
                          </m:r>
                        </m:sub>
                        <m:sup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𝑖</m:t>
                          </m:r>
                        </m:sup>
                      </m:sSubSup>
                      <m:r>
                        <a:rPr lang="en-GB" sz="1100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=</m:t>
                      </m:r>
                      <m:d>
                        <m:dPr>
                          <m:ctrlPr>
                            <a:rPr lang="de-DE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(1−</m:t>
                          </m:r>
                          <m:acc>
                            <m:accPr>
                              <m:chr m:val="̂"/>
                              <m:ctrlPr>
                                <a:rPr lang="de-DE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sSub>
                                <m:sSub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𝐶</m:t>
                                  </m:r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sub>
                              </m:sSub>
                            </m:e>
                          </m:acc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)∗</m:t>
                          </m:r>
                          <m:f>
                            <m:fPr>
                              <m:ctrlPr>
                                <a:rPr lang="de-DE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sSubSup>
                                <m:sSubSup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SupPr>
                                <m:e>
                                  <m:acc>
                                    <m:accPr>
                                      <m:chr m:val="̂"/>
                                      <m:ctrlPr>
                                        <a:rPr lang="de-DE" sz="1100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accPr>
                                    <m:e>
                                      <m:r>
                                        <a:rPr lang="de-DE" sz="1100" b="0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/>
                                          <a:ea typeface="+mn-ea"/>
                                          <a:cs typeface="+mn-cs"/>
                                        </a:rPr>
                                        <m:t>𝐸</m:t>
                                      </m:r>
                                    </m:e>
                                  </m:acc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−1</m:t>
                                  </m:r>
                                </m:sub>
                                <m:sup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p>
                              </m:sSubSup>
                            </m:num>
                            <m:den>
                              <m:sSub>
                                <m:sSub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𝐸</m:t>
                                  </m:r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−1</m:t>
                                  </m:r>
                                </m:sub>
                              </m:sSub>
                            </m:den>
                          </m:f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+</m:t>
                          </m:r>
                          <m:acc>
                            <m:accPr>
                              <m:chr m:val="̂"/>
                              <m:ctrlPr>
                                <a:rPr lang="de-DE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accPr>
                            <m:e>
                              <m:sSub>
                                <m:sSub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𝐶</m:t>
                                  </m:r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sub>
                              </m:sSub>
                            </m:e>
                          </m:acc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∗</m:t>
                          </m:r>
                          <m:f>
                            <m:fPr>
                              <m:ctrlPr>
                                <a:rPr lang="de-DE" sz="11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sSubSup>
                                <m:sSubSup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SupPr>
                                <m:e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sub>
                                <m:sup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𝑖</m:t>
                                  </m:r>
                                </m:sup>
                              </m:sSubSup>
                            </m:num>
                            <m:den>
                              <m:sSub>
                                <m:sSubPr>
                                  <m:ctrlPr>
                                    <a:rPr lang="de-DE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n-GB" sz="11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/>
                                      <a:ea typeface="+mn-ea"/>
                                      <a:cs typeface="+mn-cs"/>
                                    </a:rPr>
                                    <m:t>𝑡</m:t>
                                  </m:r>
                                </m:sub>
                              </m:sSub>
                            </m:den>
                          </m:f>
                        </m:e>
                      </m:d>
                      <m:r>
                        <a:rPr lang="en-GB" sz="1100" i="1">
                          <a:solidFill>
                            <a:schemeClr val="dk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∗</m:t>
                      </m:r>
                      <m:sSub>
                        <m:sSubPr>
                          <m:ctrlPr>
                            <a:rPr lang="de-DE" sz="11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𝐸</m:t>
                          </m:r>
                        </m:e>
                        <m:sub>
                          <m:r>
                            <a:rPr lang="en-GB" sz="1100" i="1">
                              <a:solidFill>
                                <a:schemeClr val="dk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𝑡</m:t>
                          </m:r>
                        </m:sub>
                      </m:sSub>
                    </m:oMath>
                  </m:oMathPara>
                </a14:m>
                <a:endParaRPr lang="de-DE" sz="1100" b="1"/>
              </a:p>
            </xdr:txBody>
          </xdr:sp>
        </mc:Choice>
        <mc:Fallback xmlns="">
          <xdr:sp macro="" textlink="">
            <xdr:nvSpPr>
              <xdr:cNvPr id="4" name="Textfeld 3"/>
              <xdr:cNvSpPr txBox="1"/>
            </xdr:nvSpPr>
            <xdr:spPr>
              <a:xfrm>
                <a:off x="4739641" y="2567940"/>
                <a:ext cx="3512820" cy="172212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de-DE" sz="1100" b="1"/>
                  <a:t>C&amp;C-exp</a:t>
                </a:r>
              </a:p>
              <a:p>
                <a:pPr algn="ctr"/>
                <a:endParaRPr lang="de-DE" sz="1100" b="1"/>
              </a:p>
              <a:p>
                <a:pPr algn="ctr"/>
                <a:r>
                  <a:rPr lang="de-DE" sz="1100" b="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𝐸 ̂_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𝑡^𝑖=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(1−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𝐶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 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 ̂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)∗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</a:t>
                </a:r>
                <a:r>
                  <a:rPr lang="de-DE" sz="1100" b="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𝐸 ̂_(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𝑡−1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^𝑖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)/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𝐸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𝑡−1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 +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𝐶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 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 ̂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∗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(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𝑃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𝑡^𝑖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)/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𝑃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 )∗𝐸</a:t>
                </a:r>
                <a:r>
                  <a:rPr lang="de-DE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_</a:t>
                </a:r>
                <a:r>
                  <a:rPr lang="en-GB" sz="1100" i="0">
                    <a:solidFill>
                      <a:schemeClr val="dk1"/>
                    </a:solidFill>
                    <a:effectLst/>
                    <a:latin typeface="Cambria Math"/>
                    <a:ea typeface="+mn-ea"/>
                    <a:cs typeface="+mn-cs"/>
                  </a:rPr>
                  <a:t>𝑡</a:t>
                </a:r>
                <a:endParaRPr lang="de-DE" sz="1100" b="1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feld 8"/>
              <xdr:cNvSpPr txBox="1"/>
            </xdr:nvSpPr>
            <xdr:spPr>
              <a:xfrm>
                <a:off x="4990556" y="3698318"/>
                <a:ext cx="2615606" cy="34978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acc>
                        <m:accPr>
                          <m:chr m:val="̂"/>
                          <m:ctrlPr>
                            <a:rPr lang="de-DE" sz="110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sSub>
                            <m:sSubPr>
                              <m:ctrlPr>
                                <a:rPr lang="de-DE" sz="110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de-DE" sz="1100" b="0" i="1">
                                  <a:latin typeface="Cambria Math"/>
                                </a:rPr>
                                <m:t>𝐶</m:t>
                              </m:r>
                            </m:e>
                            <m:sub>
                              <m:r>
                                <a:rPr lang="de-DE" sz="1100" b="0" i="1">
                                  <a:latin typeface="Cambria Math"/>
                                </a:rPr>
                                <m:t>𝑡</m:t>
                              </m:r>
                            </m:sub>
                          </m:sSub>
                        </m:e>
                      </m:acc>
                      <m:r>
                        <a:rPr lang="de-DE" sz="1100" b="0" i="1">
                          <a:latin typeface="Cambria Math"/>
                        </a:rPr>
                        <m:t>=</m:t>
                      </m:r>
                      <m:sSup>
                        <m:sSupPr>
                          <m:ctrlP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𝑒</m:t>
                          </m:r>
                        </m:e>
                        <m:sup>
                          <m: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−</m:t>
                          </m:r>
                          <m: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(1−</m:t>
                          </m:r>
                          <m:f>
                            <m:fPr>
                              <m:ctrlP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𝑡</m:t>
                              </m:r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𝐵𝑌</m:t>
                              </m:r>
                            </m:num>
                            <m:den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𝐶𝑌</m:t>
                              </m:r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r>
                                <a:rPr lang="de-DE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  <m:t>𝐵𝑌</m:t>
                              </m:r>
                            </m:den>
                          </m:f>
                          <m:r>
                            <a:rPr lang="de-DE" sz="11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)</m:t>
                          </m:r>
                        </m:sup>
                      </m:s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=</m:t>
                      </m:r>
                      <m:sSup>
                        <m:sSupPr>
                          <m:ctrlPr>
                            <a:rPr lang="de-DE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de-DE" sz="1100" b="0" i="1">
                              <a:latin typeface="Cambria Math"/>
                            </a:rPr>
                            <m:t>𝑒</m:t>
                          </m:r>
                        </m:e>
                        <m:sup>
                          <m:r>
                            <a:rPr lang="de-DE" sz="1100" b="0" i="1">
                              <a:latin typeface="Cambria Math"/>
                            </a:rPr>
                            <m:t>−</m:t>
                          </m:r>
                          <m:r>
                            <a:rPr lang="de-DE" sz="1100" b="0" i="1">
                              <a:latin typeface="Cambria Math"/>
                            </a:rPr>
                            <m:t>𝑎</m:t>
                          </m:r>
                          <m:r>
                            <a:rPr lang="de-DE" sz="1100" b="0" i="1">
                              <a:latin typeface="Cambria Math"/>
                            </a:rPr>
                            <m:t>(1−</m:t>
                          </m:r>
                          <m:f>
                            <m:fPr>
                              <m:ctrlPr>
                                <a:rPr lang="de-DE" sz="1100" b="0" i="1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de-DE" sz="1100" b="0" i="1">
                                  <a:latin typeface="Cambria Math"/>
                                </a:rPr>
                                <m:t>𝑡</m:t>
                              </m:r>
                              <m:r>
                                <a:rPr lang="de-DE" sz="1100" b="0" i="1">
                                  <a:latin typeface="Cambria Math"/>
                                </a:rPr>
                                <m:t>−2019</m:t>
                              </m:r>
                            </m:num>
                            <m:den>
                              <m:r>
                                <a:rPr lang="de-DE" sz="1100" b="0" i="1">
                                  <a:latin typeface="Cambria Math"/>
                                </a:rPr>
                                <m:t>2050−2019</m:t>
                              </m:r>
                            </m:den>
                          </m:f>
                          <m:r>
                            <a:rPr lang="de-DE" sz="1100" b="0" i="1">
                              <a:latin typeface="Cambria Math"/>
                            </a:rPr>
                            <m:t>)</m:t>
                          </m:r>
                        </m:sup>
                      </m:sSup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9" name="Textfeld 8"/>
              <xdr:cNvSpPr txBox="1"/>
            </xdr:nvSpPr>
            <xdr:spPr>
              <a:xfrm>
                <a:off x="4990556" y="3698318"/>
                <a:ext cx="2615606" cy="34978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pPr/>
                <a:r>
                  <a:rPr lang="de-DE" sz="1100" i="0">
                    <a:latin typeface="Cambria Math"/>
                  </a:rPr>
                  <a:t>(</a:t>
                </a:r>
                <a:r>
                  <a:rPr lang="de-DE" sz="1100" b="0" i="0">
                    <a:latin typeface="Cambria Math"/>
                  </a:rPr>
                  <a:t>𝐶_𝑡 ) ̂=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𝑒^(−𝑎(1−(𝑡−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Cambria Math"/>
                    <a:ea typeface="+mn-ea"/>
                    <a:cs typeface="+mn-cs"/>
                  </a:rPr>
                  <a:t>𝐵𝑌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)/(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Cambria Math"/>
                    <a:ea typeface="+mn-ea"/>
                    <a:cs typeface="+mn-cs"/>
                  </a:rPr>
                  <a:t>𝐶𝑌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−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Cambria Math"/>
                    <a:ea typeface="+mn-ea"/>
                    <a:cs typeface="+mn-cs"/>
                  </a:rPr>
                  <a:t>𝐵𝑌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)))</a:t>
                </a:r>
                <a:r>
                  <a:rPr lang="de-DE" sz="1100" b="0" i="0">
                    <a:solidFill>
                      <a:schemeClr val="tx1"/>
                    </a:solidFill>
                    <a:effectLst/>
                    <a:latin typeface="Cambria Math"/>
                    <a:ea typeface="+mn-ea"/>
                    <a:cs typeface="+mn-cs"/>
                  </a:rPr>
                  <a:t>=</a:t>
                </a:r>
                <a:r>
                  <a:rPr lang="de-DE" sz="1100" b="0" i="0">
                    <a:latin typeface="Cambria Math"/>
                  </a:rPr>
                  <a:t>𝑒^(−𝑎(1−(𝑡−2019)/(2050−2019)))</a:t>
                </a:r>
                <a:endParaRPr lang="de-DE" sz="1100"/>
              </a:p>
            </xdr:txBody>
          </xdr:sp>
        </mc:Fallback>
      </mc:AlternateContent>
    </xdr:grpSp>
    <xdr:clientData/>
  </xdr:twoCellAnchor>
  <xdr:twoCellAnchor>
    <xdr:from>
      <xdr:col>11</xdr:col>
      <xdr:colOff>0</xdr:colOff>
      <xdr:row>1</xdr:row>
      <xdr:rowOff>0</xdr:rowOff>
    </xdr:from>
    <xdr:to>
      <xdr:col>15</xdr:col>
      <xdr:colOff>350520</xdr:colOff>
      <xdr:row>10</xdr:row>
      <xdr:rowOff>137160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/>
            <xdr:cNvSpPr txBox="1"/>
          </xdr:nvSpPr>
          <xdr:spPr bwMode="auto">
            <a:xfrm>
              <a:off x="8727141" y="174812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C&amp;C-lin</a:t>
              </a:r>
            </a:p>
            <a:p>
              <a:pPr algn="ctr"/>
              <a:endParaRPr lang="de-DE" sz="1100" b="1"/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(1−</m:t>
                        </m:r>
                        <m:acc>
                          <m:accPr>
                            <m:chr m:val="̂"/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acc>
                          <m:accPr>
                            <m:chr m:val="̂"/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de-DE">
                <a:effectLst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>
                <a:effectLst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 −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𝐶𝑌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den>
                    </m:f>
                    <m:r>
                      <a:rPr lang="de-DE" sz="1100" b="1" i="0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−2019</m:t>
                        </m:r>
                      </m:num>
                      <m:den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2050−2019</m:t>
                        </m:r>
                      </m:den>
                    </m:f>
                  </m:oMath>
                </m:oMathPara>
              </a14:m>
              <a:endParaRPr lang="de-DE" sz="1100" b="0"/>
            </a:p>
          </xdr:txBody>
        </xdr:sp>
      </mc:Choice>
      <mc:Fallback xmlns="">
        <xdr:sp macro="" textlink="">
          <xdr:nvSpPr>
            <xdr:cNvPr id="12" name="Textfeld 11"/>
            <xdr:cNvSpPr txBox="1"/>
          </xdr:nvSpPr>
          <xdr:spPr bwMode="auto">
            <a:xfrm>
              <a:off x="8727141" y="174812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C&amp;C-lin</a:t>
              </a:r>
            </a:p>
            <a:p>
              <a:pPr algn="ctr"/>
              <a:endParaRPr lang="de-DE" sz="1100" b="1"/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𝑡^𝑖=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(1−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𝑡−1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𝑡−1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+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)∗𝐸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</a:t>
              </a:r>
              <a:endParaRPr lang="de-DE">
                <a:effectLst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>
                <a:effectLst/>
              </a:endParaRPr>
            </a:p>
            <a:p>
              <a:pPr algn="ctr"/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 ̂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= 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− 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𝐶𝑌−𝐵𝑌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(𝑡−2019)/(2050−2019)</a:t>
              </a:r>
              <a:endParaRPr lang="de-DE" sz="1100" b="0"/>
            </a:p>
          </xdr:txBody>
        </xdr:sp>
      </mc:Fallback>
    </mc:AlternateContent>
    <xdr:clientData/>
  </xdr:twoCellAnchor>
  <xdr:twoCellAnchor>
    <xdr:from>
      <xdr:col>0</xdr:col>
      <xdr:colOff>0</xdr:colOff>
      <xdr:row>13</xdr:row>
      <xdr:rowOff>0</xdr:rowOff>
    </xdr:from>
    <xdr:to>
      <xdr:col>4</xdr:col>
      <xdr:colOff>350520</xdr:colOff>
      <xdr:row>22</xdr:row>
      <xdr:rowOff>137160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/>
            <xdr:cNvSpPr txBox="1"/>
          </xdr:nvSpPr>
          <xdr:spPr bwMode="auto">
            <a:xfrm>
              <a:off x="0" y="2272553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LIMITS</a:t>
              </a:r>
            </a:p>
            <a:p>
              <a:pPr algn="ctr"/>
              <a:endParaRPr lang="de-DE" sz="1100" b="1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1−</m:t>
                            </m:r>
                            <m:acc>
                              <m:accPr>
                                <m:chr m:val="̂"/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GB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</m:sSub>
                          </m:den>
                        </m:f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acc>
                          <m:accPr>
                            <m:chr m:val="̂"/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de-DE" sz="1100" b="1"/>
            </a:p>
            <a:p>
              <a:pPr algn="ctr"/>
              <a:endParaRPr lang="de-DE" sz="1100" b="1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 − 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num>
                      <m:den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𝐶𝑌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den>
                    </m:f>
                  </m:oMath>
                </m:oMathPara>
              </a14:m>
              <a:endParaRPr lang="de-DE" sz="1100" b="1"/>
            </a:p>
          </xdr:txBody>
        </xdr:sp>
      </mc:Choice>
      <mc:Fallback xmlns="">
        <xdr:sp macro="" textlink="">
          <xdr:nvSpPr>
            <xdr:cNvPr id="19" name="Textfeld 18"/>
            <xdr:cNvSpPr txBox="1"/>
          </xdr:nvSpPr>
          <xdr:spPr bwMode="auto">
            <a:xfrm>
              <a:off x="0" y="2272553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LIMITS</a:t>
              </a:r>
            </a:p>
            <a:p>
              <a:pPr algn="ctr"/>
              <a:endParaRPr lang="de-DE" sz="1100" b="1"/>
            </a:p>
            <a:p>
              <a:pPr algn="ctr"/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𝑡^𝑖=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1−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)∗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 +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)∗𝐸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endParaRPr lang="de-DE" sz="1100" b="1"/>
            </a:p>
            <a:p>
              <a:pPr algn="ctr"/>
              <a:endParaRPr lang="de-DE" sz="1100" b="1"/>
            </a:p>
            <a:p>
              <a:pPr algn="ctr"/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 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− 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𝐶𝑌−𝐵𝑌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de-DE" sz="1100" b="1"/>
            </a:p>
          </xdr:txBody>
        </xdr:sp>
      </mc:Fallback>
    </mc:AlternateContent>
    <xdr:clientData/>
  </xdr:twoCellAnchor>
  <xdr:twoCellAnchor>
    <xdr:from>
      <xdr:col>5</xdr:col>
      <xdr:colOff>0</xdr:colOff>
      <xdr:row>13</xdr:row>
      <xdr:rowOff>0</xdr:rowOff>
    </xdr:from>
    <xdr:to>
      <xdr:col>9</xdr:col>
      <xdr:colOff>347345</xdr:colOff>
      <xdr:row>18</xdr:row>
      <xdr:rowOff>79983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feld 29"/>
            <xdr:cNvSpPr txBox="1"/>
          </xdr:nvSpPr>
          <xdr:spPr>
            <a:xfrm>
              <a:off x="3962400" y="4556760"/>
              <a:ext cx="3512820" cy="952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per capita starting 2020</a:t>
              </a:r>
            </a:p>
            <a:p>
              <a:pPr algn="ctr"/>
              <a:endParaRPr lang="de-DE" sz="1100" b="1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b="1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de-DE" sz="1100" b="1" i="1">
                            <a:latin typeface="Cambria Math" panose="02040503050406030204" pitchFamily="18" charset="0"/>
                          </a:rPr>
                          <m:t>𝑬</m:t>
                        </m:r>
                      </m:e>
                      <m:sub>
                        <m:r>
                          <a:rPr lang="de-DE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sub>
                      <m:sup>
                        <m:r>
                          <a:rPr lang="de-DE" sz="1100" b="1" i="1">
                            <a:latin typeface="Cambria Math" panose="02040503050406030204" pitchFamily="18" charset="0"/>
                          </a:rPr>
                          <m:t>𝒊</m:t>
                        </m:r>
                      </m:sup>
                    </m:sSubSup>
                    <m:r>
                      <a:rPr lang="de-DE" sz="1100" b="1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de-DE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de-DE" sz="1100" b="1" i="1">
                                <a:latin typeface="Cambria Math" panose="02040503050406030204" pitchFamily="18" charset="0"/>
                              </a:rPr>
                              <m:t>𝑷</m:t>
                            </m:r>
                          </m:e>
                          <m:sub>
                            <m:r>
                              <a:rPr lang="de-DE" sz="1100" b="1" i="1">
                                <a:latin typeface="Cambria Math" panose="02040503050406030204" pitchFamily="18" charset="0"/>
                              </a:rPr>
                              <m:t>𝒕</m:t>
                            </m:r>
                          </m:sub>
                          <m:sup>
                            <m:r>
                              <a:rPr lang="de-DE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p>
                        </m:sSubSup>
                      </m:num>
                      <m:den>
                        <m:sSub>
                          <m:sSubPr>
                            <m:ctrlPr>
                              <a:rPr lang="de-DE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1" i="1">
                                <a:latin typeface="Cambria Math" panose="02040503050406030204" pitchFamily="18" charset="0"/>
                              </a:rPr>
                              <m:t>𝑷</m:t>
                            </m:r>
                          </m:e>
                          <m:sub>
                            <m:r>
                              <a:rPr lang="de-DE" sz="1100" b="1" i="1">
                                <a:latin typeface="Cambria Math" panose="02040503050406030204" pitchFamily="18" charset="0"/>
                              </a:rPr>
                              <m:t>𝒕</m:t>
                            </m:r>
                          </m:sub>
                        </m:sSub>
                      </m:den>
                    </m:f>
                    <m:r>
                      <a:rPr lang="de-DE" sz="1100" b="1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de-DE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1" i="1">
                            <a:latin typeface="Cambria Math" panose="02040503050406030204" pitchFamily="18" charset="0"/>
                          </a:rPr>
                          <m:t>𝑬</m:t>
                        </m:r>
                      </m:e>
                      <m:sub>
                        <m:r>
                          <a:rPr lang="de-DE" sz="1100" b="1" i="1">
                            <a:latin typeface="Cambria Math" panose="02040503050406030204" pitchFamily="18" charset="0"/>
                          </a:rPr>
                          <m:t>𝒕</m:t>
                        </m:r>
                      </m:sub>
                    </m:sSub>
                  </m:oMath>
                </m:oMathPara>
              </a14:m>
              <a:endParaRPr lang="de-DE" sz="1100" b="1"/>
            </a:p>
          </xdr:txBody>
        </xdr:sp>
      </mc:Choice>
      <mc:Fallback xmlns="">
        <xdr:sp macro="" textlink="">
          <xdr:nvSpPr>
            <xdr:cNvPr id="30" name="Textfeld 29"/>
            <xdr:cNvSpPr txBox="1"/>
          </xdr:nvSpPr>
          <xdr:spPr>
            <a:xfrm>
              <a:off x="3962400" y="4556760"/>
              <a:ext cx="3512820" cy="9525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per capita starting 2020</a:t>
              </a:r>
            </a:p>
            <a:p>
              <a:pPr algn="ctr"/>
              <a:endParaRPr lang="de-DE" sz="1100" b="1"/>
            </a:p>
            <a:p>
              <a:pPr algn="ctr"/>
              <a:r>
                <a:rPr lang="de-DE" sz="1100" b="1" i="0">
                  <a:latin typeface="Cambria Math" panose="02040503050406030204" pitchFamily="18" charset="0"/>
                </a:rPr>
                <a:t>𝑬_𝒕^𝒊=(𝑷_𝒕^𝒊)/𝑷_𝒕 ∗𝑬_𝒕</a:t>
              </a:r>
              <a:endParaRPr lang="de-DE" sz="1100" b="1"/>
            </a:p>
          </xdr:txBody>
        </xdr:sp>
      </mc:Fallback>
    </mc:AlternateContent>
    <xdr:clientData/>
  </xdr:twoCellAnchor>
  <xdr:oneCellAnchor>
    <xdr:from>
      <xdr:col>0</xdr:col>
      <xdr:colOff>264795</xdr:colOff>
      <xdr:row>23</xdr:row>
      <xdr:rowOff>174811</xdr:rowOff>
    </xdr:from>
    <xdr:ext cx="3410734" cy="1757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/>
            <xdr:cNvSpPr txBox="1"/>
          </xdr:nvSpPr>
          <xdr:spPr>
            <a:xfrm>
              <a:off x="264795" y="4195482"/>
              <a:ext cx="3410734" cy="1757083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Regensburg Model:</a:t>
              </a: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bar>
                          <m:barPr>
                            <m:pos m:val="top"/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</m:bar>
                      </m:e>
                      <m: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d>
                          <m:d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1 − </m:t>
                            </m:r>
                            <m:acc>
                              <m:accPr>
                                <m:chr m:val="̅"/>
                                <m:ctrlP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2019</m:t>
                        </m:r>
                      </m:sub>
                      <m:sup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</m:t>
                    </m:r>
                    <m:acc>
                      <m:accPr>
                        <m:chr m:val="̅"/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𝐶𝑌</m:t>
                        </m:r>
                      </m:sub>
                      <m:sup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</m:oMath>
                </m:oMathPara>
              </a14:m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2019</m:t>
                            </m:r>
                          </m:sub>
                        </m:s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2019</m:t>
                            </m:r>
                          </m:sub>
                        </m:s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𝐶𝑌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𝐶𝑌</m:t>
                        </m:r>
                      </m:sub>
                      <m:sup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𝐶𝑌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𝐶𝑌</m:t>
                            </m:r>
                          </m:sub>
                        </m:sSub>
                      </m:den>
                    </m:f>
                    <m:r>
                      <a:rPr kumimoji="0" lang="de-DE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𝐶𝑌</m:t>
                        </m:r>
                      </m:sub>
                      <m:sup>
                        <m: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</m:oMath>
                </m:oMathPara>
              </a14:m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0" name="Textfeld 19"/>
            <xdr:cNvSpPr txBox="1"/>
          </xdr:nvSpPr>
          <xdr:spPr>
            <a:xfrm>
              <a:off x="264795" y="4195482"/>
              <a:ext cx="3410734" cy="1757083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  <a:effectLst/>
          </xdr:spPr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Regensburg Model:</a:t>
              </a: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¯𝐸_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𝑖= 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〖(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1 − 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(𝐶_𝑡 ) ̅ )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∗𝐸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〗_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2019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  + 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(𝐶_𝑡 ) ̅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∗𝐸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(𝐶_𝑡 ) ̅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= 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 (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2019−𝐸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)/(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2019−𝐸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 )</a:t>
              </a: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𝑖=𝐸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/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 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∗𝑃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0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ts val="11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11</xdr:col>
      <xdr:colOff>0</xdr:colOff>
      <xdr:row>14</xdr:row>
      <xdr:rowOff>447</xdr:rowOff>
    </xdr:from>
    <xdr:to>
      <xdr:col>16</xdr:col>
      <xdr:colOff>593912</xdr:colOff>
      <xdr:row>45</xdr:row>
      <xdr:rowOff>62753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feld 20"/>
            <xdr:cNvSpPr txBox="1"/>
          </xdr:nvSpPr>
          <xdr:spPr>
            <a:xfrm>
              <a:off x="8727141" y="2447812"/>
              <a:ext cx="4560795" cy="548147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4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CDC</a:t>
              </a:r>
            </a:p>
            <a:p>
              <a:pPr algn="ctr"/>
              <a:endParaRPr lang="de-DE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14:m>
                <m:oMath xmlns:m="http://schemas.openxmlformats.org/officeDocument/2006/math">
                  <m:sSub>
                    <m:sSubPr>
                      <m:ctrlP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𝑇𝐻</m:t>
                      </m:r>
                    </m:e>
                    <m:sub>
                      <m: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</m:e>
                        <m:sub>
                          <m: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</m:t>
                          </m:r>
                        </m:e>
                        <m:sub>
                          <m:r>
                            <a:rPr lang="de-DE" sz="11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b>
                      </m:sSub>
                    </m:den>
                  </m:f>
                  <m:r>
                    <a:rPr lang="de-DE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r>
                    <a:rPr lang="de-DE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𝑃𝑇</m:t>
                  </m:r>
                  <m:r>
                    <a:rPr lang="de-DE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 </m:t>
                  </m:r>
                </m:oMath>
              </a14:m>
              <a: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threshold in year</a:t>
              </a:r>
              <a:r>
                <a:rPr lang="de-DE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de-DE" sz="1100" b="0" i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sSup>
                    <m:sSupPr>
                      <m:ctrlP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</m:t>
                      </m:r>
                    </m:e>
                    <m:sup>
                      <m:r>
                        <a:rPr lang="de-DE" sz="11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p>
                  </m:sSup>
                  <m:r>
                    <a:rPr lang="de-DE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change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rate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of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country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de-DE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𝑖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business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as</m:t>
                  </m:r>
                  <m: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m:rPr>
                      <m:sty m:val="p"/>
                    </m:rPr>
                    <a:rPr lang="de-DE" sz="11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usual</m:t>
                  </m:r>
                </m:oMath>
              </a14:m>
              <a:r>
                <a:rPr lang="de-DE" i="0">
                  <a:effectLst/>
                </a:rPr>
                <a:t> (bau)</a:t>
              </a:r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de-DE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14:m>
                <m:oMath xmlns:m="http://schemas.openxmlformats.org/officeDocument/2006/math">
                  <m:r>
                    <a:rPr lang="de-DE" sz="1100" b="1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𝐢𝐟</m:t>
                  </m:r>
                  <m:r>
                    <a:rPr lang="de-DE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f>
                    <m:fPr>
                      <m:ctrlP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Sup>
                        <m:sSubSupPr>
                          <m:ctrlP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𝑬</m:t>
                          </m:r>
                        </m:e>
                        <m:sub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sub>
                        <m:sup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_</m:t>
                          </m:r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𝒃𝒂𝒖</m:t>
                          </m:r>
                        </m:sup>
                      </m:sSubSup>
                    </m:num>
                    <m:den>
                      <m:sSubSup>
                        <m:sSubSupPr>
                          <m:ctrlP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𝑷</m:t>
                          </m:r>
                        </m:e>
                        <m:sub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sub>
                        <m:sup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p>
                      </m:sSubSup>
                    </m:den>
                  </m:f>
                  <m:r>
                    <a:rPr lang="de-DE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≤</m:t>
                  </m:r>
                  <m:sSub>
                    <m:sSubPr>
                      <m:ctrlP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𝑻𝑯</m:t>
                      </m:r>
                    </m:e>
                    <m:sub>
                      <m: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b>
                  </m:sSub>
                </m:oMath>
              </a14:m>
              <a:r>
                <a:rPr lang="de-DE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de-DE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Sup>
                      <m:sSubSupPr>
                        <m:ctrlP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𝑏𝑎𝑢</m:t>
                        </m:r>
                      </m:sup>
                    </m:sSubSup>
                    <m:r>
                      <a:rPr lang="de-DE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Sup>
                      <m:sSubSupPr>
                        <m:ctrlP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b>
                      <m:sup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_</m:t>
                        </m:r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𝑏𝑎𝑢</m:t>
                        </m:r>
                      </m:sup>
                    </m:sSubSup>
                    <m:r>
                      <a:rPr lang="de-DE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∗(1+</m:t>
                    </m:r>
                    <m:sSup>
                      <m:sSupPr>
                        <m:ctrlP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𝐶𝑅</m:t>
                        </m:r>
                      </m:e>
                      <m:sup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  <m:r>
                      <a:rPr lang="de-DE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de-DE" sz="1100" b="1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else (</a:t>
              </a:r>
              <a14:m>
                <m:oMath xmlns:m="http://schemas.openxmlformats.org/officeDocument/2006/math">
                  <m:r>
                    <a:rPr lang="de-DE" sz="1100" b="1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𝐢𝐟</m:t>
                  </m:r>
                  <m:r>
                    <a:rPr lang="de-DE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f>
                    <m:fPr>
                      <m:ctrlP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Sup>
                        <m:sSubSupPr>
                          <m:ctrlP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𝑬</m:t>
                          </m:r>
                        </m:e>
                        <m:sub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sub>
                        <m:sup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_</m:t>
                          </m:r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𝒃𝒂𝒖</m:t>
                          </m:r>
                        </m:sup>
                      </m:sSubSup>
                    </m:num>
                    <m:den>
                      <m:sSubSup>
                        <m:sSubSupPr>
                          <m:ctrlP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𝑷</m:t>
                          </m:r>
                        </m:e>
                        <m:sub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sub>
                        <m:sup>
                          <m:r>
                            <a:rPr lang="de-DE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𝒊</m:t>
                          </m:r>
                        </m:sup>
                      </m:sSubSup>
                    </m:den>
                  </m:f>
                  <m:r>
                    <a:rPr lang="de-DE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𝑻𝑯</m:t>
                      </m:r>
                    </m:e>
                    <m:sub>
                      <m:r>
                        <a:rPr lang="de-DE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sub>
                  </m:sSub>
                </m:oMath>
              </a14:m>
              <a:r>
                <a:rPr lang="de-DE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):</a:t>
              </a:r>
            </a:p>
            <a:p>
              <a:endParaRPr lang="de-DE" sz="110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acc>
                          <m:accPr>
                            <m:chr m:val="̂"/>
                            <m:ctrlP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𝐸𝑃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𝑜𝑇𝐻</m:t>
                                </m:r>
                              </m:sup>
                            </m:sSubSup>
                          </m:den>
                        </m:f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acc>
                          <m:accPr>
                            <m:chr m:val="̂"/>
                            <m:ctrlP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Sup>
                              <m:sSubSup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𝑜𝑇𝐻</m:t>
                                </m:r>
                              </m:sup>
                            </m:sSubSup>
                          </m:den>
                        </m:f>
                      </m:e>
                    </m:d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Sup>
                      <m:sSubSupPr>
                        <m:ctrlP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𝑜𝑇𝐻</m:t>
                        </m:r>
                      </m:sup>
                    </m:sSubSup>
                  </m:oMath>
                </m:oMathPara>
              </a14:m>
              <a:endParaRPr lang="de-DE" sz="1100"/>
            </a:p>
            <a:p>
              <a:endParaRPr lang="de-DE" sz="1100"/>
            </a:p>
            <a:p>
              <a:pPr algn="ctr"/>
              <a:r>
                <a:rPr lang="de-DE" sz="1100"/>
                <a:t>Where:</a:t>
              </a:r>
            </a:p>
            <a:p>
              <a:endParaRPr lang="de-DE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(1−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𝐵𝑌</m:t>
                            </m:r>
                          </m:num>
                          <m:den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𝐶𝑌</m:t>
                            </m:r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𝐵𝑌</m:t>
                            </m:r>
                          </m:den>
                        </m:f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de-DE" sz="1100"/>
            </a:p>
            <a:p>
              <a:endParaRPr lang="de-DE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𝑜𝑇𝐻</m:t>
                        </m:r>
                      </m:sup>
                    </m:sSubSup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−</m:t>
                    </m:r>
                    <m:nary>
                      <m:naryPr>
                        <m:chr m:val="∑"/>
                        <m:sup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eqArr>
                          <m:eqArr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r>
                              <m:rPr>
                                <m:brk m:alnAt="7"/>
                              </m:rP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e>
                          <m:e>
                            <m:r>
                              <m:rPr>
                                <m:sty m:val="p"/>
                              </m:rPr>
                              <a:rPr lang="de-DE" sz="1100" b="0" i="0">
                                <a:latin typeface="Cambria Math" panose="02040503050406030204" pitchFamily="18" charset="0"/>
                              </a:rPr>
                              <m:t>if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f>
                              <m:f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sub>
                                  <m:sup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_</m:t>
                                    </m:r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𝑏𝑎𝑢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sub>
                                  <m:sup>
                                    <m:r>
                                      <a:rPr lang="de-DE" sz="1100" b="0" i="1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</m:sup>
                                </m:sSubSup>
                              </m:den>
                            </m:f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brk m:alnAt="7"/>
                              </m:rP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≤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𝑇𝐻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eqArr>
                      </m:sub>
                      <m:sup/>
                      <m:e>
                        <m:sSubSup>
                          <m:sSub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bSup>
                      </m:e>
                    </m:nary>
                  </m:oMath>
                </m:oMathPara>
              </a14:m>
              <a:endParaRPr lang="de-DE" sz="1100"/>
            </a:p>
            <a:p>
              <a:endParaRPr lang="de-DE" sz="11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𝐸𝑃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𝑜𝑇𝐻</m:t>
                        </m:r>
                      </m:sup>
                    </m:sSubSup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p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eqArr>
                          <m:eqArr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eqArrPr>
                          <m:e>
                            <m:r>
                              <m:rPr>
                                <m:brk m:alnAt="7"/>
                              </m:rP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e>
                          <m:e>
                            <m:r>
                              <m:rPr>
                                <m:sty m:val="p"/>
                              </m:rPr>
                              <a:rPr lang="de-DE" sz="110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if</m:t>
                            </m:r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 </m:t>
                            </m:r>
                            <m:f>
                              <m:f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  <m:sup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_</m:t>
                                    </m:r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𝑏𝑎𝑢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  <m:sup>
                                    <m: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bSup>
                              </m:den>
                            </m:f>
                            <m: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&gt; </m:t>
                            </m:r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𝑇𝐻</m:t>
                                </m:r>
                              </m:e>
                              <m:sub>
                                <m: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  <m:r>
                              <m:rPr>
                                <m:brk m:alnAt="7"/>
                              </m:rPr>
                              <a:rPr lang="de-DE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</m:e>
                        </m:eqArr>
                      </m:sub>
                      <m:sup/>
                      <m:e>
                        <m:sSubSup>
                          <m:sSub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b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bSup>
                      </m:e>
                    </m:nary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1" name="Textfeld 20"/>
            <xdr:cNvSpPr txBox="1"/>
          </xdr:nvSpPr>
          <xdr:spPr>
            <a:xfrm>
              <a:off x="8727141" y="2447812"/>
              <a:ext cx="4560795" cy="548147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4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CDC</a:t>
              </a:r>
            </a:p>
            <a:p>
              <a:pPr algn="ctr"/>
              <a:endParaRPr lang="de-DE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𝑇𝐻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𝑡=𝐸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/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∗𝑃𝑇= 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threshold in year</a:t>
              </a:r>
              <a:r>
                <a:rPr lang="de-DE" sz="1100" b="0" i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de-DE" sz="1100" b="0" i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𝐶𝑅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𝑖=change rate of country 𝑖 business as usual</a:t>
              </a:r>
              <a:r>
                <a:rPr lang="de-DE" i="0">
                  <a:effectLst/>
                </a:rPr>
                <a:t> (bau)</a:t>
              </a:r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de-DE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𝐢𝐟 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𝒊_𝒃𝒂𝒖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))/(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𝑷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≤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𝑻𝑯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: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/>
              </a:r>
              <a:b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</a:br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𝑖=𝐸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𝑖_𝑏𝑎𝑢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=𝐸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)^(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𝑖_𝑏𝑎𝑢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∗(1+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𝐶𝑅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𝑖)</a:t>
              </a:r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endParaRPr lang="de-DE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ctr"/>
              <a:r>
                <a:rPr lang="de-DE" sz="1100" b="1">
                  <a:solidFill>
                    <a:schemeClr val="dk1"/>
                  </a:solidFill>
                  <a:effectLst/>
                  <a:ea typeface="+mn-ea"/>
                  <a:cs typeface="+mn-cs"/>
                </a:rPr>
                <a:t>else 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𝐢𝐟 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𝑬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𝒊_𝒃𝒂𝒖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))/(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𝑷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𝒊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&gt;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𝑻𝑯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〗_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</a:t>
              </a:r>
              <a:r>
                <a:rPr lang="de-DE" sz="11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):</a:t>
              </a:r>
            </a:p>
            <a:p>
              <a:endParaRPr lang="de-DE" sz="1100" i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/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(1−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)/(〖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𝐸𝑃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〗_(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𝑜𝑇𝐻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𝑡 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𝑜𝑇𝐻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))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𝑜𝑇𝐻</a:t>
              </a:r>
              <a:endParaRPr lang="de-DE" sz="1100"/>
            </a:p>
            <a:p>
              <a:endParaRPr lang="de-DE" sz="1100"/>
            </a:p>
            <a:p>
              <a:pPr algn="ctr"/>
              <a:r>
                <a:rPr lang="de-DE" sz="1100"/>
                <a:t>Where:</a:t>
              </a:r>
            </a:p>
            <a:p>
              <a:endParaRPr lang="de-DE" sz="1100"/>
            </a:p>
            <a:p>
              <a:pPr/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𝐶_𝑡 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𝐶𝑌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𝐵𝑌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endParaRPr lang="de-DE" sz="1100"/>
            </a:p>
            <a:p>
              <a:endParaRPr lang="de-DE" sz="1100"/>
            </a:p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𝐸</a:t>
              </a:r>
              <a:r>
                <a:rPr lang="de-DE" sz="1100" b="0" i="0">
                  <a:latin typeface="Cambria Math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</a:rPr>
                <a:t>𝑡</a:t>
              </a:r>
              <a:r>
                <a:rPr lang="de-DE" sz="1100" b="0" i="0">
                  <a:latin typeface="Cambria Math"/>
                </a:rPr>
                <a:t>^</a:t>
              </a:r>
              <a:r>
                <a:rPr lang="de-DE" sz="1100" b="0" i="0">
                  <a:latin typeface="Cambria Math" panose="02040503050406030204" pitchFamily="18" charset="0"/>
                </a:rPr>
                <a:t>𝑜𝑇𝐻=𝐸</a:t>
              </a:r>
              <a:r>
                <a:rPr lang="de-DE" sz="1100" b="0" i="0">
                  <a:latin typeface="Cambria Math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</a:rPr>
                <a:t>𝑡−</a:t>
              </a:r>
              <a:r>
                <a:rPr lang="de-DE" sz="1100" b="0" i="0">
                  <a:latin typeface="Cambria Math"/>
                </a:rPr>
                <a:t>∑</a:t>
              </a:r>
              <a:r>
                <a:rPr lang="de-DE" sz="1100" b="0" i="0">
                  <a:latin typeface="Cambria Math"/>
                  <a:ea typeface="Cambria Math" panose="02040503050406030204" pitchFamily="18" charset="0"/>
                </a:rPr>
                <a:t>_█(</a:t>
              </a:r>
              <a:r>
                <a:rPr lang="de-DE" sz="1100" b="0" i="0">
                  <a:latin typeface="Cambria Math" panose="02040503050406030204" pitchFamily="18" charset="0"/>
                </a:rPr>
                <a:t>𝑖</a:t>
              </a:r>
              <a:r>
                <a:rPr lang="de-DE" sz="1100" b="0" i="0">
                  <a:latin typeface="Cambria Math"/>
                </a:rPr>
                <a:t>@</a:t>
              </a:r>
              <a:r>
                <a:rPr lang="de-DE" sz="1100" b="0" i="0">
                  <a:latin typeface="Cambria Math" panose="02040503050406030204" pitchFamily="18" charset="0"/>
                </a:rPr>
                <a:t>if </a:t>
              </a:r>
              <a:r>
                <a:rPr lang="de-DE" sz="1100" b="0" i="0">
                  <a:latin typeface="Cambria Math"/>
                </a:rPr>
                <a:t>(</a:t>
              </a:r>
              <a:r>
                <a:rPr lang="de-DE" sz="1100" b="0" i="0">
                  <a:latin typeface="Cambria Math" panose="02040503050406030204" pitchFamily="18" charset="0"/>
                </a:rPr>
                <a:t>𝐸</a:t>
              </a:r>
              <a:r>
                <a:rPr lang="de-DE" sz="1100" b="0" i="0">
                  <a:latin typeface="Cambria Math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</a:rPr>
                <a:t>𝑡</a:t>
              </a:r>
              <a:r>
                <a:rPr lang="de-DE" sz="1100" b="0" i="0">
                  <a:latin typeface="Cambria Math"/>
                </a:rPr>
                <a:t>^(</a:t>
              </a:r>
              <a:r>
                <a:rPr lang="de-DE" sz="1100" b="0" i="0">
                  <a:latin typeface="Cambria Math" panose="02040503050406030204" pitchFamily="18" charset="0"/>
                </a:rPr>
                <a:t>𝑖_𝑏𝑎𝑢</a:t>
              </a:r>
              <a:r>
                <a:rPr lang="de-DE" sz="1100" b="0" i="0">
                  <a:latin typeface="Cambria Math"/>
                </a:rPr>
                <a:t>))/(</a:t>
              </a:r>
              <a:r>
                <a:rPr lang="de-DE" sz="1100" b="0" i="0">
                  <a:latin typeface="Cambria Math" panose="02040503050406030204" pitchFamily="18" charset="0"/>
                </a:rPr>
                <a:t>𝑃</a:t>
              </a:r>
              <a:r>
                <a:rPr lang="de-DE" sz="1100" b="0" i="0">
                  <a:latin typeface="Cambria Math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</a:rPr>
                <a:t>𝑡</a:t>
              </a:r>
              <a:r>
                <a:rPr lang="de-DE" sz="1100" b="0" i="0">
                  <a:latin typeface="Cambria Math"/>
                </a:rPr>
                <a:t>^</a:t>
              </a:r>
              <a:r>
                <a:rPr lang="de-DE" sz="1100" b="0" i="0">
                  <a:latin typeface="Cambria Math" panose="02040503050406030204" pitchFamily="18" charset="0"/>
                </a:rPr>
                <a:t>𝑖</a:t>
              </a:r>
              <a:r>
                <a:rPr lang="de-DE" sz="1100" b="0" i="0">
                  <a:latin typeface="Cambria Math"/>
                </a:rPr>
                <a:t> )</a:t>
              </a:r>
              <a:r>
                <a:rPr lang="de-DE" sz="1100" b="0" i="0">
                  <a:latin typeface="Cambria Math" panose="02040503050406030204" pitchFamily="18" charset="0"/>
                </a:rPr>
                <a:t> 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 </a:t>
              </a:r>
              <a:r>
                <a:rPr lang="de-DE" sz="1100" b="0" i="0">
                  <a:latin typeface="Cambria Math"/>
                  <a:ea typeface="Cambria Math" panose="02040503050406030204" pitchFamily="18" charset="0"/>
                </a:rPr>
                <a:t>〖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𝑇𝐻</a:t>
              </a:r>
              <a:r>
                <a:rPr lang="de-DE" sz="1100" b="0" i="0">
                  <a:latin typeface="Cambria Math"/>
                  <a:ea typeface="Cambria Math" panose="02040503050406030204" pitchFamily="18" charset="0"/>
                </a:rPr>
                <a:t>〗_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</a:t>
              </a:r>
              <a:r>
                <a:rPr lang="de-DE" sz="1100" b="0" i="0">
                  <a:latin typeface="Cambria Math"/>
                  <a:ea typeface="Cambria Math" panose="02040503050406030204" pitchFamily="18" charset="0"/>
                </a:rPr>
                <a:t> )▒</a:t>
              </a:r>
              <a:r>
                <a:rPr lang="de-DE" sz="1100" b="0" i="0">
                  <a:latin typeface="Cambria Math" panose="02040503050406030204" pitchFamily="18" charset="0"/>
                </a:rPr>
                <a:t>𝐸</a:t>
              </a:r>
              <a:r>
                <a:rPr lang="de-DE" sz="1100" b="0" i="0">
                  <a:latin typeface="Cambria Math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</a:rPr>
                <a:t>𝑡</a:t>
              </a:r>
              <a:r>
                <a:rPr lang="de-DE" sz="1100" b="0" i="0">
                  <a:latin typeface="Cambria Math"/>
                </a:rPr>
                <a:t>^</a:t>
              </a:r>
              <a:r>
                <a:rPr lang="de-DE" sz="1100" b="0" i="0">
                  <a:latin typeface="Cambria Math" panose="02040503050406030204" pitchFamily="18" charset="0"/>
                </a:rPr>
                <a:t>𝑖</a:t>
              </a:r>
              <a:r>
                <a:rPr lang="de-DE" sz="1100" b="0" i="0">
                  <a:latin typeface="Cambria Math"/>
                </a:rPr>
                <a:t> </a:t>
              </a:r>
              <a:endParaRPr lang="de-DE" sz="1100"/>
            </a:p>
            <a:p>
              <a:endParaRPr lang="de-DE" sz="1100"/>
            </a:p>
            <a:p>
              <a:pPr/>
              <a:r>
                <a:rPr lang="de-DE" sz="1100" i="0">
                  <a:latin typeface="Cambria Math"/>
                </a:rPr>
                <a:t>〖</a:t>
              </a:r>
              <a:r>
                <a:rPr lang="de-DE" sz="1100" b="0" i="0">
                  <a:latin typeface="Cambria Math" panose="02040503050406030204" pitchFamily="18" charset="0"/>
                </a:rPr>
                <a:t>𝐸𝑃</a:t>
              </a:r>
              <a:r>
                <a:rPr lang="de-DE" sz="1100" b="0" i="0">
                  <a:latin typeface="Cambria Math"/>
                </a:rPr>
                <a:t>〗_(</a:t>
              </a:r>
              <a:r>
                <a:rPr lang="de-DE" sz="1100" b="0" i="0">
                  <a:latin typeface="Cambria Math" panose="02040503050406030204" pitchFamily="18" charset="0"/>
                </a:rPr>
                <a:t>𝑡−1</a:t>
              </a:r>
              <a:r>
                <a:rPr lang="de-DE" sz="1100" b="0" i="0">
                  <a:latin typeface="Cambria Math"/>
                </a:rPr>
                <a:t>)^</a:t>
              </a:r>
              <a:r>
                <a:rPr lang="de-DE" sz="1100" b="0" i="0">
                  <a:latin typeface="Cambria Math" panose="02040503050406030204" pitchFamily="18" charset="0"/>
                </a:rPr>
                <a:t>𝑜𝑇𝐻=</a:t>
              </a:r>
              <a:r>
                <a:rPr lang="de-DE" sz="1100" b="0" i="0">
                  <a:latin typeface="Cambria Math"/>
                </a:rPr>
                <a:t>∑_█(</a:t>
              </a:r>
              <a:r>
                <a:rPr lang="de-DE" sz="1100" b="0" i="0">
                  <a:latin typeface="Cambria Math" panose="02040503050406030204" pitchFamily="18" charset="0"/>
                </a:rPr>
                <a:t>𝑖</a:t>
              </a:r>
              <a:r>
                <a:rPr lang="de-DE" sz="1100" b="0" i="0">
                  <a:latin typeface="Cambria Math"/>
                </a:rPr>
                <a:t>@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if 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𝑖_𝑏𝑎𝑢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))/(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&gt;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𝑇𝐻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〗_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de-DE" sz="1100" b="0" i="0">
                  <a:latin typeface="Cambria Math" panose="02040503050406030204" pitchFamily="18" charset="0"/>
                </a:rPr>
                <a:t> </a:t>
              </a:r>
              <a:r>
                <a:rPr lang="de-DE" sz="1100" b="0" i="0">
                  <a:latin typeface="Cambria Math"/>
                </a:rPr>
                <a:t>)▒</a:t>
              </a:r>
              <a:r>
                <a:rPr lang="de-DE" sz="1100" b="0" i="0">
                  <a:latin typeface="Cambria Math" panose="02040503050406030204" pitchFamily="18" charset="0"/>
                </a:rPr>
                <a:t>𝐸</a:t>
              </a:r>
              <a:r>
                <a:rPr lang="de-DE" sz="1100" b="0" i="0">
                  <a:latin typeface="Cambria Math"/>
                </a:rPr>
                <a:t>_(</a:t>
              </a:r>
              <a:r>
                <a:rPr lang="de-DE" sz="1100" b="0" i="0">
                  <a:latin typeface="Cambria Math" panose="02040503050406030204" pitchFamily="18" charset="0"/>
                </a:rPr>
                <a:t>𝑡−1</a:t>
              </a:r>
              <a:r>
                <a:rPr lang="de-DE" sz="1100" b="0" i="0">
                  <a:latin typeface="Cambria Math"/>
                </a:rPr>
                <a:t>)^</a:t>
              </a:r>
              <a:r>
                <a:rPr lang="de-DE" sz="1100" b="0" i="0">
                  <a:latin typeface="Cambria Math" panose="02040503050406030204" pitchFamily="18" charset="0"/>
                </a:rPr>
                <a:t>𝑖</a:t>
              </a:r>
              <a:r>
                <a:rPr lang="de-DE" sz="1100" b="0" i="0">
                  <a:latin typeface="Cambria Math"/>
                </a:rPr>
                <a:t> </a:t>
              </a:r>
              <a:endParaRPr lang="de-DE" sz="1100"/>
            </a:p>
          </xdr:txBody>
        </xdr:sp>
      </mc:Fallback>
    </mc:AlternateContent>
    <xdr:clientData/>
  </xdr:twoCellAnchor>
  <xdr:twoCellAnchor>
    <xdr:from>
      <xdr:col>0</xdr:col>
      <xdr:colOff>793376</xdr:colOff>
      <xdr:row>61</xdr:row>
      <xdr:rowOff>174811</xdr:rowOff>
    </xdr:from>
    <xdr:to>
      <xdr:col>5</xdr:col>
      <xdr:colOff>762896</xdr:colOff>
      <xdr:row>71</xdr:row>
      <xdr:rowOff>121471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feld 32"/>
            <xdr:cNvSpPr txBox="1"/>
          </xdr:nvSpPr>
          <xdr:spPr bwMode="auto">
            <a:xfrm>
              <a:off x="793376" y="10838329"/>
              <a:ext cx="3936402" cy="1694777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ysClr val="window" lastClr="FFFFFF">
                  <a:shade val="50000"/>
                </a:sysClr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General Qadratic Weighting Formula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en-GB" sz="1100" i="1"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1−</m:t>
                            </m:r>
                            <m:acc>
                              <m:accPr>
                                <m:chr m:val="̂"/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de-DE" sz="110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i="1"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GB" sz="1100" i="1"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  <m:sup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</m:sSub>
                          </m:den>
                        </m:f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acc>
                          <m:accPr>
                            <m:chr m:val="̂"/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GB" sz="1100" i="1">
                        <a:effectLst/>
                        <a:latin typeface="Cambria Math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𝑎</m:t>
                    </m:r>
                    <m:sSup>
                      <m:sSup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𝐵𝑌</m:t>
                            </m:r>
                          </m:e>
                        </m:d>
                      </m:e>
                      <m:sup>
                        <m:r>
                          <a:rPr lang="en-US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𝑏</m:t>
                    </m:r>
                    <m:d>
                      <m:d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e>
                    </m:d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i="1">
                        <a:effectLst/>
                        <a:latin typeface="Cambria Math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3" name="Textfeld 32"/>
            <xdr:cNvSpPr txBox="1"/>
          </xdr:nvSpPr>
          <xdr:spPr bwMode="auto">
            <a:xfrm>
              <a:off x="793376" y="10838329"/>
              <a:ext cx="3936402" cy="1694777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ysClr val="window" lastClr="FFFFFF">
                  <a:shade val="50000"/>
                </a:sysClr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General Qadratic Weighting Formula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𝑡^𝑖=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1−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 )∗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2019^𝑖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2019 +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𝑡^𝑖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 )∗𝐸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effectLst/>
                  <a:latin typeface="+mn-lt"/>
                  <a:ea typeface="+mn-ea"/>
                  <a:cs typeface="+mn-cs"/>
                </a:rPr>
                <a:t>𝑡</a:t>
              </a: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=𝑎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𝑡−𝐵𝑌)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2+𝑏</a:t>
              </a:r>
              <a:r>
                <a:rPr lang="de-DE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effectLst/>
                  <a:latin typeface="+mn-lt"/>
                  <a:ea typeface="+mn-ea"/>
                  <a:cs typeface="+mn-cs"/>
                </a:rPr>
                <a:t>𝑡−𝐵𝑌)+𝑐</a:t>
              </a: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0</xdr:col>
      <xdr:colOff>0</xdr:colOff>
      <xdr:row>1</xdr:row>
      <xdr:rowOff>0</xdr:rowOff>
    </xdr:from>
    <xdr:to>
      <xdr:col>4</xdr:col>
      <xdr:colOff>350520</xdr:colOff>
      <xdr:row>10</xdr:row>
      <xdr:rowOff>137160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feld 35"/>
            <xdr:cNvSpPr txBox="1"/>
          </xdr:nvSpPr>
          <xdr:spPr bwMode="auto">
            <a:xfrm>
              <a:off x="0" y="174812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GQWF</a:t>
              </a:r>
            </a:p>
            <a:p>
              <a:pPr algn="ctr"/>
              <a:endParaRPr lang="de-DE" sz="1100" b="1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1−</m:t>
                            </m:r>
                            <m:acc>
                              <m:accPr>
                                <m:chr m:val="̂"/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de-DE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GB" sz="110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2019</m:t>
                                </m:r>
                              </m:sub>
                            </m:sSub>
                          </m:den>
                        </m:f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acc>
                          <m:accPr>
                            <m:chr m:val="̂"/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acc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de-DE" sz="1100" b="1"/>
            </a:p>
            <a:p>
              <a:pPr algn="ctr"/>
              <a:endParaRPr lang="de-DE" sz="1100" b="1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e>
                    </m:acc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</m:t>
                    </m:r>
                    <m:sSup>
                      <m:s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𝐵𝑌</m:t>
                            </m:r>
                          </m:e>
                        </m:d>
                      </m:e>
                      <m:sup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𝑏</m:t>
                    </m:r>
                    <m:d>
                      <m:d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𝐵𝑌</m:t>
                        </m:r>
                      </m:e>
                    </m:d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lang="de-DE" sz="1100" b="1"/>
            </a:p>
          </xdr:txBody>
        </xdr:sp>
      </mc:Choice>
      <mc:Fallback xmlns="">
        <xdr:sp macro="" textlink="">
          <xdr:nvSpPr>
            <xdr:cNvPr id="36" name="Textfeld 35"/>
            <xdr:cNvSpPr txBox="1"/>
          </xdr:nvSpPr>
          <xdr:spPr bwMode="auto">
            <a:xfrm>
              <a:off x="0" y="174812"/>
              <a:ext cx="3524026" cy="171046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DE" sz="1100" b="1"/>
                <a:t>GQWF</a:t>
              </a:r>
            </a:p>
            <a:p>
              <a:pPr algn="ctr"/>
              <a:endParaRPr lang="de-DE" sz="1100" b="1"/>
            </a:p>
            <a:p>
              <a:pPr algn="ctr"/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𝑡^𝑖=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1−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)∗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 +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∗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𝑡^𝑖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𝑃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)∗𝐸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endParaRPr lang="de-DE" sz="1100" b="1"/>
            </a:p>
            <a:p>
              <a:pPr algn="ctr"/>
              <a:endParaRPr lang="de-DE" sz="1100" b="1"/>
            </a:p>
            <a:p>
              <a:pPr algn="ctr"/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 ̂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=𝑎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𝑡−𝐵𝑌)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2+𝑏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𝑡−𝐵𝑌)+𝑐</a:t>
              </a:r>
              <a:endParaRPr lang="de-DE" sz="1100" b="1"/>
            </a:p>
          </xdr:txBody>
        </xdr:sp>
      </mc:Fallback>
    </mc:AlternateContent>
    <xdr:clientData/>
  </xdr:twoCellAnchor>
  <xdr:twoCellAnchor>
    <xdr:from>
      <xdr:col>5</xdr:col>
      <xdr:colOff>0</xdr:colOff>
      <xdr:row>19</xdr:row>
      <xdr:rowOff>184897</xdr:rowOff>
    </xdr:from>
    <xdr:to>
      <xdr:col>9</xdr:col>
      <xdr:colOff>352985</xdr:colOff>
      <xdr:row>25</xdr:row>
      <xdr:rowOff>156882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/>
            <xdr:cNvSpPr txBox="1"/>
          </xdr:nvSpPr>
          <xdr:spPr>
            <a:xfrm>
              <a:off x="3810000" y="3804397"/>
              <a:ext cx="3400985" cy="111498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de-DE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de-DE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</m:acc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𝑅𝐹</m:t>
                        </m:r>
                      </m:sup>
                    </m:sSubSup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</m:num>
                      <m:den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3810000" y="3804397"/>
              <a:ext cx="3400985" cy="111498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de-DE" sz="1100" i="1">
                <a:latin typeface="Cambria Math" panose="02040503050406030204" pitchFamily="18" charset="0"/>
              </a:endParaRPr>
            </a:p>
            <a:p>
              <a:r>
                <a:rPr lang="de-DE" sz="1100" b="0" i="0">
                  <a:latin typeface="Cambria Math" panose="02040503050406030204" pitchFamily="18" charset="0"/>
                </a:rPr>
                <a:t>𝐶 ̂_𝑡^(𝑖_𝑅𝐹)=((𝐸_𝑡^𝑖)/𝐸_𝑡 −(𝐸_(𝑡−1)^𝑖)/𝐸_(𝑡−1) )/((𝑃_𝑡^𝑖)/𝑃_𝑡 −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(𝐸_(𝑡−1)^𝑖)/𝐸_(𝑡−1) 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de-DE" sz="1100"/>
            </a:p>
          </xdr:txBody>
        </xdr:sp>
      </mc:Fallback>
    </mc:AlternateContent>
    <xdr:clientData/>
  </xdr:twoCellAnchor>
  <xdr:twoCellAnchor>
    <xdr:from>
      <xdr:col>4</xdr:col>
      <xdr:colOff>793376</xdr:colOff>
      <xdr:row>27</xdr:row>
      <xdr:rowOff>446</xdr:rowOff>
    </xdr:from>
    <xdr:to>
      <xdr:col>9</xdr:col>
      <xdr:colOff>329565</xdr:colOff>
      <xdr:row>41</xdr:row>
      <xdr:rowOff>35859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feld 22"/>
            <xdr:cNvSpPr txBox="1"/>
          </xdr:nvSpPr>
          <xdr:spPr bwMode="auto">
            <a:xfrm>
              <a:off x="3966882" y="4720364"/>
              <a:ext cx="3503071" cy="2482777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ysClr val="window" lastClr="FFFFFF">
                  <a:shade val="50000"/>
                </a:sysClr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G-C&amp;C </a:t>
              </a: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Unicode MS"/>
                  <a:ea typeface="Arial Unicode MS"/>
                  <a:cs typeface="Arial Unicode MS"/>
                </a:rPr>
                <a:t>≙</a:t>
              </a: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 RM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kumimoji="0" lang="en-GB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kumimoji="0" lang="en-GB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kumimoji="0" lang="en-GB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acc>
                                  <m:accPr>
                                    <m:chr m:val="̂"/>
                                    <m:ctrlPr>
                                      <a:rPr kumimoji="0" lang="en-GB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accPr>
                                  <m:e>
                                    <m: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sSub>
                                  <m:sSubPr>
                                    <m:ctrlP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kumimoji="0" lang="de-DE" sz="1100" b="0" i="1" u="none" strike="noStrike" kern="0" cap="none" spc="0" normalizeH="0" baseline="0" noProof="0">
                                        <a:ln>
                                          <a:noFill/>
                                        </a:ln>
                                        <a:solidFill>
                                          <a:sysClr val="windowText" lastClr="000000"/>
                                        </a:solidFill>
                                        <a:effectLst/>
                                        <a:uLnTx/>
                                        <a:uFillTx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e>
                                  <m:sub/>
                                </m:sSub>
                              </m:sup>
                            </m:sSubSup>
                          </m:e>
                        </m:d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bSup>
                          <m:sSubSupPr>
                            <m:ctrlPr>
                              <a:rPr lang="en-GB" sz="1100" b="0" i="1" baseline="0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acc>
                              <m:accPr>
                                <m:chr m:val="̂"/>
                                <m:ctrlPr>
                                  <a:rPr lang="en-GB" sz="1100" b="0" i="1" baseline="0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de-DE" sz="1100" b="0" i="1" baseline="0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</m:acc>
                          </m:e>
                          <m:sub>
                            <m:r>
                              <a:rPr lang="de-DE" sz="1100" b="0" i="1" baseline="0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sSub>
                              <m:sSubPr>
                                <m:ctrlPr>
                                  <a:rPr lang="de-DE" sz="1100" b="0" i="1" baseline="0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 baseline="0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e>
                              <m:sub/>
                            </m:sSub>
                          </m:sup>
                        </m:sSubSup>
                        <m:r>
                          <a:rPr lang="de-DE" sz="1100" b="0" i="1" baseline="0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f>
                          <m:fPr>
                            <m:ctrlPr>
                              <a:rPr kumimoji="0" lang="de-DE" sz="11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sysClr val="windowText" lastClr="000000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kumimoji="0" lang="de-DE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kumimoji="0" lang="en-GB" sz="1100" b="0" i="1" u="none" strike="noStrike" kern="0" cap="none" spc="0" normalizeH="0" baseline="0" noProof="0">
                                    <a:ln>
                                      <a:noFill/>
                                    </a:ln>
                                    <a:solidFill>
                                      <a:sysClr val="windowText" lastClr="000000"/>
                                    </a:solidFill>
                                    <a:effectLst/>
                                    <a:uLnTx/>
                                    <a:uFillTx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kumimoji="0" lang="en-GB" sz="11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kumimoji="0" lang="de-DE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kumimoji="0" lang="en-GB" sz="11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sysClr val="windowText" lastClr="000000"/>
                            </a:solidFill>
                            <a:effectLst/>
                            <a:uLnTx/>
                            <a:uFillTx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de-DE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</m:acc>
                      </m:e>
                      <m:sub>
                        <m: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de-DE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bar>
                                  <m:barPr>
                                    <m:pos m:val="top"/>
                                    <m:ctrlPr>
                                      <a:rPr lang="de-DE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barPr>
                                  <m:e>
                                    <m:r>
                                      <a:rPr lang="de-DE" sz="1100" b="0" i="1"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</m:ba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  <m: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bar>
                                  <m:barPr>
                                    <m:pos m:val="top"/>
                                    <m:ctrlPr>
                                      <a:rPr lang="de-DE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barPr>
                                  <m:e>
                                    <m:r>
                                      <a:rPr lang="de-DE" sz="1100" b="0" i="1"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</m:ba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</m:num>
                      <m:den>
                        <m:f>
                          <m:fPr>
                            <m:ctrlP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  <m:sup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den>
                        </m:f>
                        <m: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bar>
                                  <m:barPr>
                                    <m:pos m:val="top"/>
                                    <m:ctrlPr>
                                      <a:rPr lang="de-DE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barPr>
                                  <m:e>
                                    <m:r>
                                      <a:rPr lang="de-DE" sz="1100" b="0" i="1"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</m:ba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  <m:sup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  <m:r>
                                  <a:rPr lang="de-DE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de-DE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bar>
                          <m:barPr>
                            <m:pos m:val="top"/>
                            <m:ctrlPr>
                              <a:rPr lang="de-DE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barPr>
                          <m:e>
                            <m:r>
                              <a:rPr lang="de-DE" sz="1100" b="0" i="1"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</m:bar>
                      </m:e>
                      <m:sub>
                        <m:r>
                          <a:rPr lang="de-DE" sz="1100" b="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</m:sub>
                      <m:sup>
                        <m:r>
                          <a:rPr lang="de-DE" sz="1100" b="0" i="1"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bSup>
                    <m:r>
                      <a:rPr lang="de-DE" sz="1100" b="0" i="1">
                        <a:effectLst/>
                        <a:latin typeface="Cambria Math"/>
                        <a:ea typeface="+mn-ea"/>
                        <a:cs typeface="+mn-cs"/>
                      </a:rPr>
                      <m:t>≜</m:t>
                    </m:r>
                    <m:r>
                      <a:rPr lang="de-DE" sz="1100" b="0" i="1">
                        <a:effectLst/>
                        <a:latin typeface="Cambria Math"/>
                        <a:ea typeface="+mn-ea"/>
                        <a:cs typeface="+mn-cs"/>
                      </a:rPr>
                      <m:t>𝑅𝑀</m:t>
                    </m:r>
                  </m:oMath>
                </m:oMathPara>
              </a14:m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3" name="Textfeld 22"/>
            <xdr:cNvSpPr txBox="1"/>
          </xdr:nvSpPr>
          <xdr:spPr bwMode="auto">
            <a:xfrm>
              <a:off x="3966882" y="4720364"/>
              <a:ext cx="3503071" cy="2482777"/>
            </a:xfrm>
            <a:prstGeom prst="rect">
              <a:avLst/>
            </a:prstGeom>
            <a:solidFill>
              <a:sysClr val="window" lastClr="FFFFFF"/>
            </a:solidFill>
            <a:ln w="9525" cmpd="sng">
              <a:solidFill>
                <a:sysClr val="window" lastClr="FFFFFF">
                  <a:shade val="50000"/>
                </a:sysClr>
              </a:solidFill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G-C&amp;C </a:t>
              </a: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Arial Unicode MS"/>
                  <a:ea typeface="Arial Unicode MS"/>
                  <a:cs typeface="Arial Unicode MS"/>
                </a:rPr>
                <a:t>≙</a:t>
              </a:r>
              <a:r>
                <a:rPr kumimoji="0" lang="de-DE" sz="11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 RM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𝑡^𝑖=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(1−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 ̂_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 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 )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∗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_(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𝑡−1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^𝑖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)/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_(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𝑡−1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 +</a:t>
              </a:r>
              <a:r>
                <a:rPr lang="de-DE" sz="11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 baseline="0">
                  <a:effectLst/>
                  <a:latin typeface="Cambria Math"/>
                  <a:ea typeface="+mn-ea"/>
                  <a:cs typeface="+mn-cs"/>
                </a:rPr>
                <a:t> ̂_</a:t>
              </a:r>
              <a:r>
                <a:rPr lang="de-DE" sz="11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 baseline="0"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en-GB" sz="1100" b="0" i="0" baseline="0">
                  <a:effectLst/>
                  <a:latin typeface="Cambria Math"/>
                  <a:ea typeface="+mn-ea"/>
                  <a:cs typeface="+mn-cs"/>
                </a:rPr>
                <a:t>(</a:t>
              </a:r>
              <a:r>
                <a:rPr lang="de-DE" sz="11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b="0" i="0" baseline="0">
                  <a:effectLst/>
                  <a:latin typeface="Cambria Math"/>
                  <a:ea typeface="+mn-ea"/>
                  <a:cs typeface="+mn-cs"/>
                </a:rPr>
                <a:t>_ </a:t>
              </a:r>
              <a:r>
                <a:rPr lang="en-GB" sz="1100" b="0" i="0" baseline="0"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de-DE" sz="1100" b="0" i="0" baseline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(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𝑃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𝑡^𝑖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)/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𝑃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 )∗𝐸</a:t>
              </a:r>
              <a:r>
                <a:rPr kumimoji="0" lang="de-DE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_</a:t>
              </a:r>
              <a:r>
                <a:rPr kumimoji="0" lang="en-GB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/>
                  <a:ea typeface="+mn-ea"/>
                  <a:cs typeface="+mn-cs"/>
                </a:rPr>
                <a:t>𝑡</a:t>
              </a: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 ̂_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((¯𝐸_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(¯𝐸_(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)^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 )/((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(¯𝐸_(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)^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)/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_(</a:t>
              </a:r>
              <a:r>
                <a:rPr lang="de-DE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𝑡−1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) )</a:t>
              </a: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100" b="0" i="0">
                  <a:effectLst/>
                  <a:latin typeface="+mn-lt"/>
                  <a:ea typeface="+mn-ea"/>
                  <a:cs typeface="+mn-cs"/>
                </a:rPr>
                <a:t>¯𝐸_𝑡^𝑖</a:t>
              </a:r>
              <a:r>
                <a:rPr lang="de-DE" sz="1100" b="0" i="0">
                  <a:effectLst/>
                  <a:latin typeface="Cambria Math"/>
                  <a:ea typeface="+mn-ea"/>
                  <a:cs typeface="+mn-cs"/>
                </a:rPr>
                <a:t>≜𝑅𝑀</a:t>
              </a: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de-DE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4</xdr:col>
      <xdr:colOff>793376</xdr:colOff>
      <xdr:row>41</xdr:row>
      <xdr:rowOff>174811</xdr:rowOff>
    </xdr:from>
    <xdr:to>
      <xdr:col>7</xdr:col>
      <xdr:colOff>614581</xdr:colOff>
      <xdr:row>45</xdr:row>
      <xdr:rowOff>22411</xdr:rowOff>
    </xdr:to>
    <xdr:pic>
      <xdr:nvPicPr>
        <xdr:cNvPr id="18" name="Grafik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6882" y="7342093"/>
          <a:ext cx="2201334" cy="546847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340658</xdr:colOff>
      <xdr:row>35</xdr:row>
      <xdr:rowOff>161364</xdr:rowOff>
    </xdr:from>
    <xdr:to>
      <xdr:col>3</xdr:col>
      <xdr:colOff>381000</xdr:colOff>
      <xdr:row>39</xdr:row>
      <xdr:rowOff>85165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/>
            <xdr:cNvSpPr txBox="1"/>
          </xdr:nvSpPr>
          <xdr:spPr>
            <a:xfrm>
              <a:off x="1134034" y="6279776"/>
              <a:ext cx="1627095" cy="623048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de-D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𝑅𝐵</m:t>
                            </m:r>
                          </m:e>
                          <m:sup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acc>
                              <m:accPr>
                                <m:chr m:val="̇"/>
                                <m:ctrlPr>
                                  <a:rPr lang="de-DE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n-GB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</m:acc>
                          </m:e>
                          <m:sub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𝐵𝑌</m:t>
                            </m:r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+1</m:t>
                            </m:r>
                          </m:sub>
                          <m:sup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bSup>
                      </m:den>
                    </m:f>
                    <m:r>
                      <a:rPr lang="en-GB" sz="1100" i="1">
                        <a:solidFill>
                          <a:schemeClr val="dk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≈</m:t>
                    </m:r>
                    <m:f>
                      <m:fPr>
                        <m:ctrlPr>
                          <a:rPr lang="en-GB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𝑅𝐵</m:t>
                            </m:r>
                          </m:e>
                          <m:sup>
                            <m: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𝑖</m:t>
                            </m:r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de-D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de-DE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𝐵𝑌</m:t>
                            </m:r>
                          </m:sub>
                          <m:sup>
                            <m:r>
                              <a:rPr lang="en-GB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/>
            <xdr:cNvSpPr txBox="1"/>
          </xdr:nvSpPr>
          <xdr:spPr>
            <a:xfrm>
              <a:off x="1134034" y="6279776"/>
              <a:ext cx="1627095" cy="623048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𝑇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𝑖=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 〖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𝑅𝐵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/(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 ̇_(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𝐵𝑌+1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^𝑖 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≈〖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𝑅𝐵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〗^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𝑖</a:t>
              </a:r>
              <a:r>
                <a:rPr lang="en-GB" sz="1100" b="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/(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𝐸</a:t>
              </a:r>
              <a:r>
                <a:rPr lang="de-DE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de-DE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𝐵𝑌^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𝑖 </a:t>
              </a:r>
              <a:r>
                <a:rPr lang="en-GB" sz="1100" i="0">
                  <a:solidFill>
                    <a:schemeClr val="dk1"/>
                  </a:solidFill>
                  <a:effectLst/>
                  <a:latin typeface="Cambria Math"/>
                  <a:ea typeface="Cambria Math"/>
                  <a:cs typeface="+mn-cs"/>
                </a:rPr>
                <a:t>)</a:t>
              </a:r>
              <a:endParaRPr lang="de-DE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downloads.save-the-climate.info/" TargetMode="External"/><Relationship Id="rId1" Type="http://schemas.openxmlformats.org/officeDocument/2006/relationships/hyperlink" Target="http://www.save-the-climate.info/" TargetMode="Externa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gci.org.uk/index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gci.org.uk/index.htm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ethree.com/downloads/Climate%20Change%20Readings/International%20Climate%20Policy/Hohne%20-%20Common%20but%20differentiated%20convergence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feem-project.net/limits/docs/03.%20cce%20limits%20special%20issue_paper2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://www.pnas.org/" TargetMode="External"/><Relationship Id="rId1" Type="http://schemas.openxmlformats.org/officeDocument/2006/relationships/hyperlink" Target="http://data.worldbank.org/indicator/SI.DST.04TH.20/countries?display=defaul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ave-the-climate.info/" TargetMode="External"/><Relationship Id="rId1" Type="http://schemas.openxmlformats.org/officeDocument/2006/relationships/hyperlink" Target="mailto:save-the-climate@online.m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</sheetPr>
  <dimension ref="B2:BW51"/>
  <sheetViews>
    <sheetView tabSelected="1" zoomScale="90" zoomScaleNormal="90" workbookViewId="0"/>
  </sheetViews>
  <sheetFormatPr baseColWidth="10" defaultRowHeight="15" x14ac:dyDescent="0.25"/>
  <cols>
    <col min="1" max="1" width="2.7109375" customWidth="1"/>
    <col min="2" max="2" width="15.85546875" bestFit="1" customWidth="1"/>
    <col min="7" max="7" width="12.7109375" customWidth="1"/>
  </cols>
  <sheetData>
    <row r="2" spans="2:8" x14ac:dyDescent="0.25">
      <c r="B2" s="366" t="s">
        <v>198</v>
      </c>
      <c r="C2" s="388"/>
      <c r="D2" s="616">
        <f>'global path'!C2</f>
        <v>3</v>
      </c>
      <c r="F2" s="366" t="s">
        <v>205</v>
      </c>
      <c r="G2" s="389"/>
      <c r="H2" s="639">
        <f>EPM!AM101</f>
        <v>6.4355366612206089E-2</v>
      </c>
    </row>
    <row r="20" spans="74:75" x14ac:dyDescent="0.25">
      <c r="BV20" s="728" t="s">
        <v>199</v>
      </c>
      <c r="BW20" s="729"/>
    </row>
    <row r="41" spans="2:3" ht="15.75" x14ac:dyDescent="0.25">
      <c r="B41" s="288" t="str">
        <f>RF!A2</f>
        <v>RF</v>
      </c>
      <c r="C41" s="169" t="s">
        <v>227</v>
      </c>
    </row>
    <row r="42" spans="2:3" ht="15.75" x14ac:dyDescent="0.25">
      <c r="B42" s="288" t="str">
        <f>GQWF!A2</f>
        <v>GQWF</v>
      </c>
      <c r="C42" s="170" t="str">
        <f>GQWF!A1</f>
        <v>General Quadratic Weigthing Formula</v>
      </c>
    </row>
    <row r="43" spans="2:3" ht="15.75" x14ac:dyDescent="0.25">
      <c r="B43" s="288" t="str">
        <f>'C&amp;C-exp'!A2</f>
        <v>C&amp;C-exp</v>
      </c>
      <c r="C43" s="170" t="str">
        <f>'C&amp;C-exp'!A1</f>
        <v>C&amp;C: exponential approach</v>
      </c>
    </row>
    <row r="44" spans="2:3" ht="15.75" x14ac:dyDescent="0.25">
      <c r="B44" s="288" t="str">
        <f>'C&amp;C-lin'!A2</f>
        <v>C&amp;C-lin</v>
      </c>
      <c r="C44" s="170" t="str">
        <f>'C&amp;C-lin'!A1</f>
        <v>C&amp;C: linear aproach</v>
      </c>
    </row>
    <row r="45" spans="2:3" ht="15.75" x14ac:dyDescent="0.25">
      <c r="B45" s="288" t="str">
        <f>LIMITS!A1</f>
        <v>LIMITS</v>
      </c>
      <c r="C45" s="170" t="str">
        <f>B45</f>
        <v>LIMITS</v>
      </c>
    </row>
    <row r="46" spans="2:3" ht="15.75" x14ac:dyDescent="0.25">
      <c r="B46" s="170" t="str">
        <f>'pc20'!A2</f>
        <v>pc20</v>
      </c>
      <c r="C46" s="288" t="str">
        <f>'pc20'!A1</f>
        <v>Allocation per capita starting 2020</v>
      </c>
    </row>
    <row r="47" spans="2:3" ht="15.75" x14ac:dyDescent="0.25">
      <c r="B47" s="288" t="str">
        <f>'SPM-eq'!A2</f>
        <v>SPM-eq</v>
      </c>
      <c r="C47" s="288" t="str">
        <f>'SPM-eq'!A1</f>
        <v>Smooth Pathways - equity (spk = 100%)</v>
      </c>
    </row>
    <row r="48" spans="2:3" ht="15.75" x14ac:dyDescent="0.25">
      <c r="B48" s="288" t="str">
        <f>'SPM-in'!A2</f>
        <v>SPM-in</v>
      </c>
      <c r="C48" s="288" t="str">
        <f>'SPM-in'!A1</f>
        <v>Smooth Pathways - inertia (spk = 0%)</v>
      </c>
    </row>
    <row r="49" spans="2:3" ht="15.75" x14ac:dyDescent="0.25">
      <c r="B49" s="288" t="str">
        <f>'SPM-spk'!A2</f>
        <v>SPM-50</v>
      </c>
      <c r="C49" s="288" t="str">
        <f>CONCATENATE("Smooth Pathways (spk = ",RIGHT(B49,2),"%)")</f>
        <v>Smooth Pathways (spk = 50%)</v>
      </c>
    </row>
    <row r="50" spans="2:3" ht="15.75" x14ac:dyDescent="0.25">
      <c r="B50" s="288" t="str">
        <f>EPM!B3</f>
        <v>EPM</v>
      </c>
      <c r="C50" s="288" t="str">
        <f>EPM!B2</f>
        <v>Cap Model</v>
      </c>
    </row>
    <row r="51" spans="2:3" ht="15.75" x14ac:dyDescent="0.25">
      <c r="B51" s="288" t="str">
        <f>CDC!A2</f>
        <v>CDC</v>
      </c>
      <c r="C51" s="170" t="str">
        <f>CDC!A1</f>
        <v>Common but Differentiated Convergence</v>
      </c>
    </row>
  </sheetData>
  <mergeCells count="1">
    <mergeCell ref="BV20:BW20"/>
  </mergeCells>
  <conditionalFormatting sqref="H2">
    <cfRule type="cellIs" dxfId="88" priority="1" operator="notBetween">
      <formula>-0.1</formula>
      <formula>0.2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FF00"/>
  </sheetPr>
  <dimension ref="B1:L25"/>
  <sheetViews>
    <sheetView workbookViewId="0">
      <selection activeCell="F22" sqref="F22"/>
    </sheetView>
  </sheetViews>
  <sheetFormatPr baseColWidth="10" defaultRowHeight="15" x14ac:dyDescent="0.25"/>
  <cols>
    <col min="1" max="1" width="4.28515625" customWidth="1"/>
    <col min="2" max="2" width="23.85546875" customWidth="1"/>
    <col min="3" max="3" width="11.7109375" customWidth="1"/>
    <col min="4" max="4" width="10.5703125" customWidth="1"/>
    <col min="5" max="5" width="9.7109375" customWidth="1"/>
    <col min="8" max="8" width="27.5703125" customWidth="1"/>
  </cols>
  <sheetData>
    <row r="1" spans="2:12" ht="15.75" thickBot="1" x14ac:dyDescent="0.3"/>
    <row r="2" spans="2:12" ht="15.75" thickBot="1" x14ac:dyDescent="0.3">
      <c r="B2" s="743" t="s">
        <v>141</v>
      </c>
      <c r="C2" s="744"/>
    </row>
    <row r="3" spans="2:12" x14ac:dyDescent="0.25">
      <c r="I3" s="730" t="s">
        <v>192</v>
      </c>
      <c r="J3" s="731"/>
      <c r="K3" s="731"/>
      <c r="L3" s="732"/>
    </row>
    <row r="4" spans="2:12" ht="15" customHeight="1" x14ac:dyDescent="0.25">
      <c r="B4" s="741" t="s">
        <v>143</v>
      </c>
      <c r="C4" s="730" t="s">
        <v>175</v>
      </c>
      <c r="D4" s="731"/>
      <c r="E4" s="731"/>
      <c r="F4" s="370"/>
      <c r="H4" s="741" t="s">
        <v>143</v>
      </c>
      <c r="I4" s="730" t="s">
        <v>175</v>
      </c>
      <c r="J4" s="731"/>
      <c r="K4" s="731"/>
      <c r="L4" s="370"/>
    </row>
    <row r="5" spans="2:12" ht="15" customHeight="1" x14ac:dyDescent="0.25">
      <c r="B5" s="742"/>
      <c r="C5" s="373" t="s">
        <v>129</v>
      </c>
      <c r="D5" s="374" t="s">
        <v>130</v>
      </c>
      <c r="E5" s="375" t="s">
        <v>131</v>
      </c>
      <c r="F5" s="376" t="s">
        <v>133</v>
      </c>
      <c r="H5" s="742"/>
      <c r="I5" s="595" t="s">
        <v>129</v>
      </c>
      <c r="J5" s="596" t="s">
        <v>130</v>
      </c>
      <c r="K5" s="597" t="s">
        <v>131</v>
      </c>
      <c r="L5" s="376" t="s">
        <v>133</v>
      </c>
    </row>
    <row r="6" spans="2:12" x14ac:dyDescent="0.25">
      <c r="B6" s="154" t="s">
        <v>179</v>
      </c>
      <c r="C6" s="410">
        <v>1.2</v>
      </c>
      <c r="D6" s="411">
        <v>4</v>
      </c>
      <c r="E6" s="384">
        <f>F6-D6-C6</f>
        <v>1.7000000000000004</v>
      </c>
      <c r="F6" s="414">
        <v>6.9</v>
      </c>
      <c r="H6" s="154" t="s">
        <v>179</v>
      </c>
      <c r="I6" s="642">
        <v>1.2</v>
      </c>
      <c r="J6" s="643">
        <v>4</v>
      </c>
      <c r="K6" s="384">
        <f>L6-J6-I6</f>
        <v>1.7000000000000004</v>
      </c>
      <c r="L6" s="646">
        <v>6.9</v>
      </c>
    </row>
    <row r="7" spans="2:12" x14ac:dyDescent="0.25">
      <c r="B7" s="154" t="s">
        <v>180</v>
      </c>
      <c r="C7" s="410">
        <v>1.3</v>
      </c>
      <c r="D7" s="411">
        <v>4.3</v>
      </c>
      <c r="E7" s="384">
        <f>F7-D7-C7</f>
        <v>4</v>
      </c>
      <c r="F7" s="414">
        <v>9.6</v>
      </c>
      <c r="H7" s="154" t="s">
        <v>180</v>
      </c>
      <c r="I7" s="642">
        <v>1.3</v>
      </c>
      <c r="J7" s="643">
        <v>4.3</v>
      </c>
      <c r="K7" s="384">
        <f>L7-J7-I7</f>
        <v>4</v>
      </c>
      <c r="L7" s="646">
        <v>9.6</v>
      </c>
    </row>
    <row r="8" spans="2:12" x14ac:dyDescent="0.25">
      <c r="B8" s="155" t="s">
        <v>181</v>
      </c>
      <c r="C8" s="412">
        <v>21</v>
      </c>
      <c r="D8" s="413">
        <v>19.5</v>
      </c>
      <c r="E8" s="384">
        <f>F8-D8-C8</f>
        <v>1.2277171013052595</v>
      </c>
      <c r="F8" s="371">
        <f>'global path'!C6</f>
        <v>41.727717101305259</v>
      </c>
      <c r="H8" s="155" t="s">
        <v>181</v>
      </c>
      <c r="I8" s="644">
        <v>21</v>
      </c>
      <c r="J8" s="645">
        <v>19.5</v>
      </c>
      <c r="K8" s="384">
        <f>L8-J8-I8</f>
        <v>1.2277171013052595</v>
      </c>
      <c r="L8" s="371">
        <f>'global path'!C6</f>
        <v>41.727717101305259</v>
      </c>
    </row>
    <row r="9" spans="2:12" x14ac:dyDescent="0.25">
      <c r="B9" s="508" t="s">
        <v>138</v>
      </c>
      <c r="C9" s="383">
        <f>C8/C6</f>
        <v>17.5</v>
      </c>
      <c r="D9" s="381">
        <f>D8/D6</f>
        <v>4.875</v>
      </c>
      <c r="E9" s="382">
        <f>E8/E6</f>
        <v>0.72218653017956425</v>
      </c>
      <c r="F9" s="382">
        <f>F8/F6</f>
        <v>6.047495232073226</v>
      </c>
      <c r="H9" s="598" t="s">
        <v>138</v>
      </c>
      <c r="I9" s="383">
        <f>I8/I6</f>
        <v>17.5</v>
      </c>
      <c r="J9" s="381">
        <f>J8/J6</f>
        <v>4.875</v>
      </c>
      <c r="K9" s="382">
        <f>K8/K6</f>
        <v>0.72218653017956425</v>
      </c>
      <c r="L9" s="382">
        <f>L8/L6</f>
        <v>6.047495232073226</v>
      </c>
    </row>
    <row r="10" spans="2:12" x14ac:dyDescent="0.25">
      <c r="B10" s="608" t="s">
        <v>195</v>
      </c>
      <c r="C10" s="611">
        <f>C8/$F$8</f>
        <v>0.5032626143677319</v>
      </c>
      <c r="D10" s="612">
        <f>D8/$F$8</f>
        <v>0.46731528477003675</v>
      </c>
      <c r="E10" s="612">
        <f>E8/$F$8</f>
        <v>2.9422100862231352E-2</v>
      </c>
      <c r="F10" s="613">
        <f>F8/$F$8</f>
        <v>1</v>
      </c>
      <c r="H10" s="609"/>
      <c r="I10" s="610"/>
      <c r="J10" s="610"/>
      <c r="K10" s="610"/>
      <c r="L10" s="610"/>
    </row>
    <row r="11" spans="2:12" x14ac:dyDescent="0.25">
      <c r="B11" s="608" t="s">
        <v>196</v>
      </c>
      <c r="C11" s="611">
        <f>C6/$F$6</f>
        <v>0.17391304347826086</v>
      </c>
      <c r="D11" s="612">
        <f>D6/$F$6</f>
        <v>0.57971014492753625</v>
      </c>
      <c r="E11" s="612">
        <f>E6/$F$6</f>
        <v>0.24637681159420294</v>
      </c>
      <c r="F11" s="613">
        <f>F6/$F$6</f>
        <v>1</v>
      </c>
      <c r="H11" s="609"/>
      <c r="I11" s="610"/>
      <c r="J11" s="610"/>
      <c r="K11" s="610"/>
      <c r="L11" s="610"/>
    </row>
    <row r="12" spans="2:12" s="307" customFormat="1" x14ac:dyDescent="0.25">
      <c r="B12" s="394" t="s">
        <v>136</v>
      </c>
      <c r="C12" s="395">
        <f>C7/C6-1</f>
        <v>8.3333333333333481E-2</v>
      </c>
      <c r="D12" s="396">
        <f>D7/D6-1</f>
        <v>7.4999999999999956E-2</v>
      </c>
      <c r="E12" s="397">
        <f>E7/E6-1</f>
        <v>1.3529411764705879</v>
      </c>
      <c r="F12" s="398">
        <f>F7/F6-1</f>
        <v>0.39130434782608692</v>
      </c>
    </row>
    <row r="14" spans="2:12" x14ac:dyDescent="0.25">
      <c r="B14" s="745" t="s">
        <v>135</v>
      </c>
      <c r="C14" s="746"/>
      <c r="D14" s="746"/>
      <c r="E14" s="746"/>
      <c r="F14" s="747"/>
      <c r="G14" s="733" t="s">
        <v>177</v>
      </c>
      <c r="H14" s="734"/>
    </row>
    <row r="16" spans="2:12" ht="13.9" customHeight="1" x14ac:dyDescent="0.25">
      <c r="B16" s="153"/>
      <c r="C16" s="730" t="s">
        <v>132</v>
      </c>
      <c r="D16" s="731"/>
      <c r="E16" s="732"/>
      <c r="F16" s="370"/>
    </row>
    <row r="17" spans="2:12" ht="13.9" customHeight="1" x14ac:dyDescent="0.25">
      <c r="B17" s="372"/>
      <c r="C17" s="373" t="s">
        <v>129</v>
      </c>
      <c r="D17" s="374" t="s">
        <v>130</v>
      </c>
      <c r="E17" s="375" t="s">
        <v>131</v>
      </c>
      <c r="F17" s="376" t="s">
        <v>133</v>
      </c>
    </row>
    <row r="18" spans="2:12" ht="13.9" customHeight="1" x14ac:dyDescent="0.25">
      <c r="B18" s="366" t="s">
        <v>180</v>
      </c>
      <c r="C18" s="390">
        <f>IF($G$14="forecast",C7,C6)</f>
        <v>1.2</v>
      </c>
      <c r="D18" s="391">
        <f>IF($G$14="forecast",D7,D6)</f>
        <v>4</v>
      </c>
      <c r="E18" s="392">
        <f>IF($G$14="forecast",E7,E6)</f>
        <v>1.7000000000000004</v>
      </c>
      <c r="F18" s="393">
        <f>IF($G$14="forecast",F7,F6)</f>
        <v>6.9</v>
      </c>
    </row>
    <row r="20" spans="2:12" x14ac:dyDescent="0.25">
      <c r="B20" s="409" t="s">
        <v>142</v>
      </c>
      <c r="C20" s="366"/>
      <c r="D20" s="388"/>
      <c r="E20" s="388"/>
      <c r="F20" s="388"/>
      <c r="G20" s="388"/>
      <c r="H20" s="388"/>
      <c r="I20" s="388"/>
      <c r="J20" s="389"/>
    </row>
    <row r="21" spans="2:12" ht="15" customHeight="1" x14ac:dyDescent="0.25">
      <c r="B21" s="406" t="str">
        <f>info!B8</f>
        <v>C&amp;C-exp</v>
      </c>
      <c r="C21" s="735">
        <v>4</v>
      </c>
      <c r="D21" s="737" t="s">
        <v>140</v>
      </c>
      <c r="E21" s="738"/>
      <c r="F21" s="366" t="s">
        <v>204</v>
      </c>
      <c r="G21" s="388"/>
      <c r="H21" s="388"/>
      <c r="I21" s="388"/>
      <c r="J21" s="389"/>
    </row>
    <row r="22" spans="2:12" ht="13.9" customHeight="1" x14ac:dyDescent="0.25">
      <c r="B22" s="406" t="str">
        <f>CDC!A2</f>
        <v>CDC</v>
      </c>
      <c r="C22" s="736"/>
      <c r="D22" s="739"/>
      <c r="E22" s="740"/>
      <c r="F22" s="366" t="s">
        <v>186</v>
      </c>
      <c r="G22" s="388"/>
      <c r="H22" s="388"/>
      <c r="I22" s="388"/>
      <c r="J22" s="389"/>
    </row>
    <row r="23" spans="2:12" x14ac:dyDescent="0.25">
      <c r="B23" s="387" t="s">
        <v>169</v>
      </c>
      <c r="C23" s="365" t="s">
        <v>189</v>
      </c>
      <c r="D23" s="385"/>
      <c r="E23" s="385"/>
      <c r="F23" s="385"/>
      <c r="G23" s="385"/>
      <c r="H23" s="385"/>
      <c r="I23" s="386"/>
      <c r="J23" s="405"/>
      <c r="K23" s="307"/>
      <c r="L23" s="307"/>
    </row>
    <row r="24" spans="2:12" x14ac:dyDescent="0.25">
      <c r="B24" s="406" t="s">
        <v>79</v>
      </c>
      <c r="C24" s="366" t="s">
        <v>82</v>
      </c>
      <c r="D24" s="388"/>
      <c r="E24" s="388"/>
      <c r="F24" s="388"/>
      <c r="G24" s="388"/>
      <c r="H24" s="388"/>
      <c r="I24" s="388"/>
      <c r="J24" s="389"/>
    </row>
    <row r="25" spans="2:12" ht="16.5" x14ac:dyDescent="0.3">
      <c r="B25" s="406" t="str">
        <f>info!B7</f>
        <v>GQWF</v>
      </c>
      <c r="C25" s="407" t="s">
        <v>139</v>
      </c>
      <c r="D25" s="408" t="s">
        <v>110</v>
      </c>
      <c r="E25" s="388"/>
      <c r="F25" s="388"/>
      <c r="G25" s="388"/>
      <c r="H25" s="388"/>
      <c r="I25" s="388"/>
      <c r="J25" s="389"/>
    </row>
  </sheetData>
  <mergeCells count="11">
    <mergeCell ref="B2:C2"/>
    <mergeCell ref="B4:B5"/>
    <mergeCell ref="C4:E4"/>
    <mergeCell ref="C16:E16"/>
    <mergeCell ref="B14:F14"/>
    <mergeCell ref="I4:K4"/>
    <mergeCell ref="I3:L3"/>
    <mergeCell ref="G14:H14"/>
    <mergeCell ref="C21:C22"/>
    <mergeCell ref="D21:E22"/>
    <mergeCell ref="H4:H5"/>
  </mergeCells>
  <conditionalFormatting sqref="E6">
    <cfRule type="expression" dxfId="87" priority="5">
      <formula>E6&lt;0</formula>
    </cfRule>
  </conditionalFormatting>
  <conditionalFormatting sqref="E7:E8">
    <cfRule type="expression" dxfId="86" priority="3">
      <formula>E7&lt;0</formula>
    </cfRule>
  </conditionalFormatting>
  <conditionalFormatting sqref="K7:K8">
    <cfRule type="expression" dxfId="85" priority="1">
      <formula>K7&lt;0</formula>
    </cfRule>
  </conditionalFormatting>
  <conditionalFormatting sqref="K6">
    <cfRule type="expression" dxfId="84" priority="2">
      <formula>K6&lt;0</formula>
    </cfRule>
  </conditionalFormatting>
  <dataValidations count="1">
    <dataValidation type="list" allowBlank="1" showInputMessage="1" showErrorMessage="1" sqref="G14:H14">
      <formula1>"forecast,frozen"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3"/>
  <sheetViews>
    <sheetView workbookViewId="0"/>
  </sheetViews>
  <sheetFormatPr baseColWidth="10" defaultRowHeight="15" x14ac:dyDescent="0.25"/>
  <sheetData>
    <row r="1" spans="1:3" x14ac:dyDescent="0.25">
      <c r="A1" t="s">
        <v>222</v>
      </c>
    </row>
    <row r="2" spans="1:3" ht="409.5" x14ac:dyDescent="0.25">
      <c r="B2" t="s">
        <v>223</v>
      </c>
      <c r="C2" s="723" t="s">
        <v>224</v>
      </c>
    </row>
    <row r="3" spans="1:3" x14ac:dyDescent="0.25">
      <c r="B3" t="s">
        <v>225</v>
      </c>
      <c r="C3" t="s">
        <v>226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FF00"/>
  </sheetPr>
  <dimension ref="B1:X95"/>
  <sheetViews>
    <sheetView workbookViewId="0">
      <selection activeCell="B1" sqref="B1"/>
    </sheetView>
  </sheetViews>
  <sheetFormatPr baseColWidth="10" defaultRowHeight="15" x14ac:dyDescent="0.25"/>
  <cols>
    <col min="1" max="1" width="3.28515625" customWidth="1"/>
    <col min="2" max="2" width="33.140625" bestFit="1" customWidth="1"/>
    <col min="4" max="4" width="8" customWidth="1"/>
    <col min="5" max="5" width="7.7109375" style="307" bestFit="1" customWidth="1"/>
    <col min="6" max="6" width="7.28515625" customWidth="1"/>
    <col min="7" max="7" width="7.7109375" style="307" customWidth="1"/>
    <col min="8" max="8" width="7.28515625" customWidth="1"/>
    <col min="9" max="9" width="7.7109375" style="307" customWidth="1"/>
    <col min="10" max="10" width="6.85546875" customWidth="1"/>
    <col min="11" max="11" width="7.7109375" style="307" customWidth="1"/>
    <col min="12" max="12" width="7.28515625" customWidth="1"/>
    <col min="13" max="13" width="7.7109375" style="307" customWidth="1"/>
    <col min="14" max="14" width="7.28515625" customWidth="1"/>
    <col min="15" max="15" width="7.7109375" style="307" customWidth="1"/>
    <col min="16" max="19" width="10" style="307" customWidth="1"/>
    <col min="21" max="21" width="13.85546875" bestFit="1" customWidth="1"/>
  </cols>
  <sheetData>
    <row r="1" spans="2:24" ht="15.75" thickBot="1" x14ac:dyDescent="0.3"/>
    <row r="2" spans="2:24" ht="15.75" thickBot="1" x14ac:dyDescent="0.3">
      <c r="B2" s="406" t="s">
        <v>206</v>
      </c>
      <c r="C2" s="520">
        <v>3</v>
      </c>
      <c r="E2" s="743" t="s">
        <v>141</v>
      </c>
      <c r="F2" s="744"/>
    </row>
    <row r="3" spans="2:24" ht="15.75" thickBot="1" x14ac:dyDescent="0.3">
      <c r="X3" s="406" t="s">
        <v>214</v>
      </c>
    </row>
    <row r="4" spans="2:24" x14ac:dyDescent="0.25">
      <c r="B4" s="528" t="s">
        <v>212</v>
      </c>
      <c r="C4" s="529" t="s">
        <v>213</v>
      </c>
      <c r="D4" s="748">
        <v>1</v>
      </c>
      <c r="E4" s="749"/>
      <c r="F4" s="748">
        <v>2</v>
      </c>
      <c r="G4" s="749"/>
      <c r="H4" s="748">
        <v>3</v>
      </c>
      <c r="I4" s="750"/>
      <c r="J4" s="748">
        <v>4</v>
      </c>
      <c r="K4" s="749"/>
      <c r="L4" s="748">
        <v>5</v>
      </c>
      <c r="M4" s="749"/>
      <c r="N4" s="748">
        <v>6</v>
      </c>
      <c r="O4" s="749"/>
      <c r="P4" s="510"/>
      <c r="Q4" s="510"/>
      <c r="R4" s="510"/>
      <c r="S4" s="510"/>
    </row>
    <row r="5" spans="2:24" ht="30" x14ac:dyDescent="0.25">
      <c r="B5" s="156"/>
      <c r="C5" s="712"/>
      <c r="D5" s="521"/>
      <c r="E5" s="726" t="s">
        <v>176</v>
      </c>
      <c r="F5" s="521"/>
      <c r="G5" s="726" t="s">
        <v>176</v>
      </c>
      <c r="H5" s="521"/>
      <c r="I5" s="727" t="s">
        <v>176</v>
      </c>
      <c r="J5" s="521"/>
      <c r="K5" s="726" t="s">
        <v>176</v>
      </c>
      <c r="L5" s="521"/>
      <c r="M5" s="726" t="s">
        <v>176</v>
      </c>
      <c r="N5" s="521"/>
      <c r="O5" s="726" t="s">
        <v>176</v>
      </c>
      <c r="P5" s="517"/>
      <c r="Q5" s="517"/>
      <c r="R5" s="517"/>
      <c r="S5" s="517"/>
      <c r="T5" s="23"/>
    </row>
    <row r="6" spans="2:24" x14ac:dyDescent="0.25">
      <c r="B6" s="155">
        <v>2019</v>
      </c>
      <c r="C6" s="720">
        <f t="shared" ref="C6:C63" si="0">IF($C$2=1,D6,IF($C$2=2,F6,IF($C$2=3,H6,IF($C$2=4,J6,IF($C$2=5,L6,N6)))))</f>
        <v>41.727717101305259</v>
      </c>
      <c r="D6" s="524">
        <v>41.727717101305259</v>
      </c>
      <c r="E6" s="525"/>
      <c r="F6" s="524">
        <v>41.727717101305259</v>
      </c>
      <c r="G6" s="525"/>
      <c r="H6" s="524">
        <v>41.727717101305259</v>
      </c>
      <c r="I6" s="527"/>
      <c r="J6" s="524">
        <v>41.727717101305259</v>
      </c>
      <c r="K6" s="525"/>
      <c r="L6" s="524">
        <v>41.727717101305259</v>
      </c>
      <c r="M6" s="525"/>
      <c r="N6" s="524">
        <v>41.727717101305259</v>
      </c>
      <c r="O6" s="525"/>
      <c r="P6" s="518"/>
      <c r="Q6" s="518"/>
      <c r="R6" s="518"/>
      <c r="S6" s="518"/>
    </row>
    <row r="7" spans="2:24" x14ac:dyDescent="0.25">
      <c r="B7" s="154">
        <f t="shared" ref="B7:B64" si="1">B6+1</f>
        <v>2020</v>
      </c>
      <c r="C7" s="719">
        <f t="shared" si="0"/>
        <v>40.89316275927915</v>
      </c>
      <c r="D7" s="522">
        <v>39.410380048973629</v>
      </c>
      <c r="E7" s="724">
        <f t="shared" ref="E7:G37" si="2">IF(AND(D6&lt;&gt;0,D7&gt;0),D7/D6-1,"")</f>
        <v>-5.5534719206077665E-2</v>
      </c>
      <c r="F7" s="522">
        <v>41.101801344785677</v>
      </c>
      <c r="G7" s="705">
        <f t="shared" si="2"/>
        <v>-1.5000000000000124E-2</v>
      </c>
      <c r="H7" s="522">
        <v>40.89316275927915</v>
      </c>
      <c r="I7" s="725">
        <f t="shared" ref="I7:I37" si="3">IF(AND(H6&lt;&gt;0,H7&gt;0),H7/H6-1,"")</f>
        <v>-2.0000000000000129E-2</v>
      </c>
      <c r="J7" s="522">
        <v>40.475885588266102</v>
      </c>
      <c r="K7" s="724">
        <f t="shared" ref="K7:K37" si="4">IF(AND(J6&lt;&gt;0,J7&gt;0),J7/J6-1,"")</f>
        <v>-3.0000000000000027E-2</v>
      </c>
      <c r="L7" s="522">
        <v>41.122665203336332</v>
      </c>
      <c r="M7" s="724">
        <f t="shared" ref="M7:M37" si="5">IF(AND(L6&lt;&gt;0,L7&gt;0),L7/L6-1,"")</f>
        <v>-1.4500000000000068E-2</v>
      </c>
      <c r="N7" s="522">
        <v>41.722500253745011</v>
      </c>
      <c r="O7" s="724">
        <f t="shared" ref="O7:O37" si="6">IF(AND(N6&lt;&gt;0,N7&gt;0),N7/N6-1,"")</f>
        <v>-1.2502115913948231E-4</v>
      </c>
      <c r="P7" s="519"/>
      <c r="Q7" s="519"/>
      <c r="R7" s="519"/>
      <c r="S7" s="519"/>
    </row>
    <row r="8" spans="2:24" x14ac:dyDescent="0.25">
      <c r="B8" s="154">
        <f t="shared" si="1"/>
        <v>2021</v>
      </c>
      <c r="C8" s="719">
        <f t="shared" si="0"/>
        <v>39.941126545569553</v>
      </c>
      <c r="D8" s="522">
        <v>37.221735659149076</v>
      </c>
      <c r="E8" s="523">
        <f t="shared" si="2"/>
        <v>-5.5534719206077554E-2</v>
      </c>
      <c r="F8" s="522">
        <v>40.418771657066166</v>
      </c>
      <c r="G8" s="523">
        <f t="shared" si="2"/>
        <v>-1.6617998855813276E-2</v>
      </c>
      <c r="H8" s="522">
        <v>39.941126545569553</v>
      </c>
      <c r="I8" s="526">
        <f t="shared" si="3"/>
        <v>-2.3281060927320185E-2</v>
      </c>
      <c r="J8" s="522">
        <v>39.256014653804691</v>
      </c>
      <c r="K8" s="523">
        <f t="shared" si="4"/>
        <v>-3.0138214809438346E-2</v>
      </c>
      <c r="L8" s="522">
        <v>40.516802557319792</v>
      </c>
      <c r="M8" s="523">
        <f t="shared" si="5"/>
        <v>-1.4733058838010016E-2</v>
      </c>
      <c r="N8" s="522">
        <v>41.324846841733802</v>
      </c>
      <c r="O8" s="523">
        <f t="shared" si="6"/>
        <v>-9.5309104102770936E-3</v>
      </c>
      <c r="P8" s="519"/>
      <c r="Q8" s="519"/>
      <c r="R8" s="519"/>
      <c r="S8" s="519"/>
    </row>
    <row r="9" spans="2:24" x14ac:dyDescent="0.25">
      <c r="B9" s="154">
        <f t="shared" si="1"/>
        <v>2022</v>
      </c>
      <c r="C9" s="719">
        <f t="shared" si="0"/>
        <v>38.88020547525452</v>
      </c>
      <c r="D9" s="522">
        <v>35.154637020955384</v>
      </c>
      <c r="E9" s="523">
        <f t="shared" si="2"/>
        <v>-5.5534719206077665E-2</v>
      </c>
      <c r="F9" s="522">
        <v>39.674640821439986</v>
      </c>
      <c r="G9" s="523">
        <f t="shared" si="2"/>
        <v>-1.8410525731453964E-2</v>
      </c>
      <c r="H9" s="522">
        <v>38.88020547525452</v>
      </c>
      <c r="I9" s="526">
        <f t="shared" si="3"/>
        <v>-2.6562121854640464E-2</v>
      </c>
      <c r="J9" s="522">
        <v>38.056631163851819</v>
      </c>
      <c r="K9" s="523">
        <f t="shared" si="4"/>
        <v>-3.0552859237753194E-2</v>
      </c>
      <c r="L9" s="522">
        <v>39.891537724543092</v>
      </c>
      <c r="M9" s="523">
        <f t="shared" si="5"/>
        <v>-1.543223535204008E-2</v>
      </c>
      <c r="N9" s="522">
        <v>40.44885506213086</v>
      </c>
      <c r="O9" s="523">
        <f t="shared" si="6"/>
        <v>-2.1197701783573941E-2</v>
      </c>
      <c r="P9" s="519"/>
      <c r="Q9" s="519"/>
      <c r="R9" s="519"/>
      <c r="S9" s="519"/>
    </row>
    <row r="10" spans="2:24" x14ac:dyDescent="0.25">
      <c r="B10" s="154">
        <f t="shared" si="1"/>
        <v>2023</v>
      </c>
      <c r="C10" s="719">
        <f t="shared" si="0"/>
        <v>37.719896396656317</v>
      </c>
      <c r="D10" s="522">
        <v>33.202334125205049</v>
      </c>
      <c r="E10" s="523">
        <f t="shared" si="2"/>
        <v>-5.5534719206077554E-2</v>
      </c>
      <c r="F10" s="522">
        <v>38.865420724687965</v>
      </c>
      <c r="G10" s="523">
        <f t="shared" si="2"/>
        <v>-2.0396406369348252E-2</v>
      </c>
      <c r="H10" s="522">
        <v>37.719896396656317</v>
      </c>
      <c r="I10" s="526">
        <f t="shared" si="3"/>
        <v>-2.984318278196052E-2</v>
      </c>
      <c r="J10" s="522">
        <v>36.867592318718692</v>
      </c>
      <c r="K10" s="523">
        <f t="shared" si="4"/>
        <v>-3.1243933284944458E-2</v>
      </c>
      <c r="L10" s="522">
        <v>39.229436748680577</v>
      </c>
      <c r="M10" s="523">
        <f t="shared" si="5"/>
        <v>-1.6597529542090372E-2</v>
      </c>
      <c r="N10" s="522">
        <v>39.211928826283724</v>
      </c>
      <c r="O10" s="523">
        <f t="shared" si="6"/>
        <v>-3.0580006132365778E-2</v>
      </c>
      <c r="P10" s="519"/>
      <c r="Q10" s="519"/>
      <c r="R10" s="519"/>
      <c r="S10" s="519"/>
    </row>
    <row r="11" spans="2:24" x14ac:dyDescent="0.25">
      <c r="B11" s="154">
        <f t="shared" si="1"/>
        <v>2024</v>
      </c>
      <c r="C11" s="719">
        <f t="shared" si="0"/>
        <v>36.470453355724658</v>
      </c>
      <c r="D11" s="522">
        <v>31.358451822575418</v>
      </c>
      <c r="E11" s="523">
        <f t="shared" si="2"/>
        <v>-5.5534719206077554E-2</v>
      </c>
      <c r="F11" s="522">
        <v>37.987198354860936</v>
      </c>
      <c r="G11" s="523">
        <f t="shared" si="2"/>
        <v>-2.2596497180568664E-2</v>
      </c>
      <c r="H11" s="522">
        <v>36.470453355724658</v>
      </c>
      <c r="I11" s="526">
        <f t="shared" si="3"/>
        <v>-3.3124243709280576E-2</v>
      </c>
      <c r="J11" s="522">
        <v>35.680034193208648</v>
      </c>
      <c r="K11" s="523">
        <f t="shared" si="4"/>
        <v>-3.2211436951012584E-2</v>
      </c>
      <c r="L11" s="522">
        <v>38.514325644713729</v>
      </c>
      <c r="M11" s="523">
        <f t="shared" si="5"/>
        <v>-1.8228941408160781E-2</v>
      </c>
      <c r="N11" s="522">
        <v>37.710544080048294</v>
      </c>
      <c r="O11" s="523">
        <f t="shared" si="6"/>
        <v>-3.8288979684902746E-2</v>
      </c>
      <c r="P11" s="519"/>
      <c r="Q11" s="519"/>
      <c r="R11" s="519"/>
      <c r="S11" s="519"/>
    </row>
    <row r="12" spans="2:24" x14ac:dyDescent="0.25">
      <c r="B12" s="154">
        <f t="shared" si="1"/>
        <v>2025</v>
      </c>
      <c r="C12" s="719">
        <f t="shared" si="0"/>
        <v>35.142735391074559</v>
      </c>
      <c r="D12" s="522">
        <v>29.616969005871383</v>
      </c>
      <c r="E12" s="523">
        <f t="shared" si="2"/>
        <v>-5.5534719206077554E-2</v>
      </c>
      <c r="F12" s="522">
        <v>37.036230467146787</v>
      </c>
      <c r="G12" s="523">
        <f t="shared" si="2"/>
        <v>-2.5033904286138609E-2</v>
      </c>
      <c r="H12" s="522">
        <v>35.142735391074559</v>
      </c>
      <c r="I12" s="526">
        <f t="shared" si="3"/>
        <v>-3.6405304636600855E-2</v>
      </c>
      <c r="J12" s="522">
        <v>34.486345439243244</v>
      </c>
      <c r="K12" s="523">
        <f t="shared" si="4"/>
        <v>-3.3455370235957127E-2</v>
      </c>
      <c r="L12" s="522">
        <v>37.731465323327939</v>
      </c>
      <c r="M12" s="523">
        <f t="shared" si="5"/>
        <v>-2.0326470950251196E-2</v>
      </c>
      <c r="N12" s="522">
        <v>36.023539206343401</v>
      </c>
      <c r="O12" s="523">
        <f t="shared" si="6"/>
        <v>-4.4735628054686338E-2</v>
      </c>
      <c r="P12" s="519"/>
      <c r="Q12" s="519"/>
      <c r="R12" s="519"/>
      <c r="S12" s="519"/>
    </row>
    <row r="13" spans="2:24" x14ac:dyDescent="0.25">
      <c r="B13" s="154">
        <f t="shared" si="1"/>
        <v>2026</v>
      </c>
      <c r="C13" s="719">
        <f t="shared" si="0"/>
        <v>33.748047947428226</v>
      </c>
      <c r="D13" s="522">
        <v>27.972198948395214</v>
      </c>
      <c r="E13" s="523">
        <f t="shared" si="2"/>
        <v>-5.5534719206077554E-2</v>
      </c>
      <c r="F13" s="522">
        <v>36.009059274309948</v>
      </c>
      <c r="G13" s="523">
        <f t="shared" si="2"/>
        <v>-2.7734226185572419E-2</v>
      </c>
      <c r="H13" s="522">
        <v>33.748047947428226</v>
      </c>
      <c r="I13" s="526">
        <f t="shared" si="3"/>
        <v>-3.9686365563921133E-2</v>
      </c>
      <c r="J13" s="522">
        <v>33.280160224194063</v>
      </c>
      <c r="K13" s="523">
        <f t="shared" si="4"/>
        <v>-3.4975733139778309E-2</v>
      </c>
      <c r="L13" s="522">
        <v>36.867787623411516</v>
      </c>
      <c r="M13" s="523">
        <f t="shared" si="5"/>
        <v>-2.2890118168361839E-2</v>
      </c>
      <c r="N13" s="522">
        <v>34.214921909514317</v>
      </c>
      <c r="O13" s="523">
        <f t="shared" si="6"/>
        <v>-5.0206540963931845E-2</v>
      </c>
      <c r="P13" s="519"/>
      <c r="Q13" s="519"/>
      <c r="R13" s="519"/>
      <c r="S13" s="519"/>
      <c r="T13" s="100"/>
    </row>
    <row r="14" spans="2:24" x14ac:dyDescent="0.25">
      <c r="B14" s="154">
        <f t="shared" si="1"/>
        <v>2027</v>
      </c>
      <c r="C14" s="719">
        <f t="shared" si="0"/>
        <v>32.297981178024223</v>
      </c>
      <c r="D14" s="522">
        <v>26.418770734219546</v>
      </c>
      <c r="E14" s="523">
        <f t="shared" si="2"/>
        <v>-5.5534719206077665E-2</v>
      </c>
      <c r="F14" s="522">
        <v>34.902651307009705</v>
      </c>
      <c r="G14" s="523">
        <f t="shared" si="2"/>
        <v>-3.0725822601247232E-2</v>
      </c>
      <c r="H14" s="522">
        <v>32.297981178024223</v>
      </c>
      <c r="I14" s="526">
        <f t="shared" si="3"/>
        <v>-4.2967426491241079E-2</v>
      </c>
      <c r="J14" s="522">
        <v>32.056364678298571</v>
      </c>
      <c r="K14" s="523">
        <f t="shared" si="4"/>
        <v>-3.6772525662476019E-2</v>
      </c>
      <c r="L14" s="522">
        <v>35.912178879439892</v>
      </c>
      <c r="M14" s="523">
        <f t="shared" si="5"/>
        <v>-2.5919883062492155E-2</v>
      </c>
      <c r="N14" s="522">
        <v>32.336260687942115</v>
      </c>
      <c r="O14" s="523">
        <f t="shared" si="6"/>
        <v>-5.4907657733095472E-2</v>
      </c>
      <c r="P14" s="519"/>
      <c r="Q14" s="519"/>
      <c r="R14" s="519"/>
      <c r="S14" s="519"/>
      <c r="T14" s="100"/>
    </row>
    <row r="15" spans="2:24" x14ac:dyDescent="0.25">
      <c r="B15" s="154">
        <f t="shared" si="1"/>
        <v>2028</v>
      </c>
      <c r="C15" s="719">
        <f t="shared" si="0"/>
        <v>30.80424840186744</v>
      </c>
      <c r="D15" s="522">
        <v>24.951611719724923</v>
      </c>
      <c r="E15" s="523">
        <f t="shared" si="2"/>
        <v>-5.5534719206077554E-2</v>
      </c>
      <c r="F15" s="522">
        <v>33.71456113618013</v>
      </c>
      <c r="G15" s="523">
        <f t="shared" si="2"/>
        <v>-3.4040112322096361E-2</v>
      </c>
      <c r="H15" s="522">
        <v>30.80424840186744</v>
      </c>
      <c r="I15" s="526">
        <f t="shared" si="3"/>
        <v>-4.6248487418561246E-2</v>
      </c>
      <c r="J15" s="522">
        <v>30.811111220490719</v>
      </c>
      <c r="K15" s="523">
        <f t="shared" si="4"/>
        <v>-3.8845747804050257E-2</v>
      </c>
      <c r="L15" s="522">
        <v>34.855794642164739</v>
      </c>
      <c r="M15" s="523">
        <f t="shared" si="5"/>
        <v>-2.9415765632642921E-2</v>
      </c>
      <c r="N15" s="522">
        <v>30.428719682649842</v>
      </c>
      <c r="O15" s="523">
        <f t="shared" si="6"/>
        <v>-5.8990772733458874E-2</v>
      </c>
      <c r="P15" s="519"/>
      <c r="Q15" s="519"/>
      <c r="R15" s="519"/>
      <c r="S15" s="519"/>
      <c r="T15" s="100"/>
    </row>
    <row r="16" spans="2:24" x14ac:dyDescent="0.25">
      <c r="B16" s="154">
        <f t="shared" si="1"/>
        <v>2029</v>
      </c>
      <c r="C16" s="719">
        <f t="shared" si="0"/>
        <v>29.278527891388606</v>
      </c>
      <c r="D16" s="522">
        <v>23.565930969130925</v>
      </c>
      <c r="E16" s="523">
        <f t="shared" si="2"/>
        <v>-5.5534719206077554E-2</v>
      </c>
      <c r="F16" s="522">
        <v>32.443120871035333</v>
      </c>
      <c r="G16" s="523">
        <f t="shared" si="2"/>
        <v>-3.7711903174690198E-2</v>
      </c>
      <c r="H16" s="522">
        <v>29.278527891388606</v>
      </c>
      <c r="I16" s="526">
        <f t="shared" si="3"/>
        <v>-4.9529548345881413E-2</v>
      </c>
      <c r="J16" s="522">
        <v>29.541835182736321</v>
      </c>
      <c r="K16" s="523">
        <f t="shared" si="4"/>
        <v>-4.1195399564501134E-2</v>
      </c>
      <c r="L16" s="522">
        <v>33.692386089078553</v>
      </c>
      <c r="M16" s="523">
        <f t="shared" si="5"/>
        <v>-3.3377765878813803E-2</v>
      </c>
      <c r="N16" s="522">
        <v>28.524787619336962</v>
      </c>
      <c r="O16" s="523">
        <f t="shared" si="6"/>
        <v>-6.2570232437301088E-2</v>
      </c>
      <c r="P16" s="519"/>
      <c r="Q16" s="519"/>
      <c r="R16" s="519"/>
      <c r="S16" s="519"/>
      <c r="T16" s="100"/>
    </row>
    <row r="17" spans="2:20" x14ac:dyDescent="0.25">
      <c r="B17" s="154">
        <f t="shared" si="1"/>
        <v>2030</v>
      </c>
      <c r="C17" s="719">
        <f t="shared" si="0"/>
        <v>27.732310994821948</v>
      </c>
      <c r="D17" s="522">
        <v>22.257203609930432</v>
      </c>
      <c r="E17" s="523">
        <f t="shared" si="2"/>
        <v>-5.5534719206077554E-2</v>
      </c>
      <c r="F17" s="522">
        <v>31.08765514567224</v>
      </c>
      <c r="G17" s="523">
        <f t="shared" si="2"/>
        <v>-4.1779757587169453E-2</v>
      </c>
      <c r="H17" s="522">
        <v>27.732310994821948</v>
      </c>
      <c r="I17" s="526">
        <f t="shared" si="3"/>
        <v>-5.2810609273201581E-2</v>
      </c>
      <c r="J17" s="522">
        <v>28.247268215230314</v>
      </c>
      <c r="K17" s="523">
        <f t="shared" si="4"/>
        <v>-4.382148094382865E-2</v>
      </c>
      <c r="L17" s="522">
        <v>32.418615655616264</v>
      </c>
      <c r="M17" s="523">
        <f t="shared" si="5"/>
        <v>-3.7805883801004692E-2</v>
      </c>
      <c r="N17" s="522">
        <v>26.649744574716294</v>
      </c>
      <c r="O17" s="523">
        <f t="shared" si="6"/>
        <v>-6.5733812627918553E-2</v>
      </c>
      <c r="P17" s="519"/>
      <c r="Q17" s="519"/>
      <c r="R17" s="519"/>
      <c r="S17" s="519"/>
      <c r="T17" s="100"/>
    </row>
    <row r="18" spans="2:20" x14ac:dyDescent="0.25">
      <c r="B18" s="154">
        <f t="shared" si="1"/>
        <v>2031</v>
      </c>
      <c r="C18" s="719">
        <f t="shared" si="0"/>
        <v>26.17675935260209</v>
      </c>
      <c r="D18" s="522">
        <v>21.021156057140448</v>
      </c>
      <c r="E18" s="523">
        <f t="shared" si="2"/>
        <v>-5.5534719206077665E-2</v>
      </c>
      <c r="F18" s="522">
        <v>29.648719579604464</v>
      </c>
      <c r="G18" s="523">
        <f t="shared" si="2"/>
        <v>-4.628639758531583E-2</v>
      </c>
      <c r="H18" s="522">
        <v>26.17675935260209</v>
      </c>
      <c r="I18" s="526">
        <f t="shared" si="3"/>
        <v>-5.6091670200521748E-2</v>
      </c>
      <c r="J18" s="522">
        <v>26.92744308275746</v>
      </c>
      <c r="K18" s="523">
        <f t="shared" si="4"/>
        <v>-4.6723991942032583E-2</v>
      </c>
      <c r="L18" s="522">
        <v>31.034336896364167</v>
      </c>
      <c r="M18" s="523">
        <f t="shared" si="5"/>
        <v>-4.2700119399215697E-2</v>
      </c>
      <c r="N18" s="522">
        <v>24.822904252114256</v>
      </c>
      <c r="O18" s="523">
        <f t="shared" si="6"/>
        <v>-6.8550012458101994E-2</v>
      </c>
      <c r="P18" s="519"/>
      <c r="Q18" s="519"/>
      <c r="R18" s="519"/>
      <c r="S18" s="519"/>
      <c r="T18" s="100"/>
    </row>
    <row r="19" spans="2:20" x14ac:dyDescent="0.25">
      <c r="B19" s="154">
        <f t="shared" si="1"/>
        <v>2032</v>
      </c>
      <c r="C19" s="719">
        <f t="shared" si="0"/>
        <v>24.622573657761826</v>
      </c>
      <c r="D19" s="522">
        <v>19.853752058120016</v>
      </c>
      <c r="E19" s="523">
        <f t="shared" si="2"/>
        <v>-5.5534719206077665E-2</v>
      </c>
      <c r="F19" s="522">
        <v>28.128358337969406</v>
      </c>
      <c r="G19" s="523">
        <f t="shared" si="2"/>
        <v>-5.1279153474166339E-2</v>
      </c>
      <c r="H19" s="522">
        <v>24.622573657761826</v>
      </c>
      <c r="I19" s="526">
        <f t="shared" si="3"/>
        <v>-5.9372731127841916E-2</v>
      </c>
      <c r="J19" s="522">
        <v>25.583684706609255</v>
      </c>
      <c r="K19" s="523">
        <f t="shared" si="4"/>
        <v>-4.9902932559113267E-2</v>
      </c>
      <c r="L19" s="522">
        <v>29.542811996017914</v>
      </c>
      <c r="M19" s="523">
        <f t="shared" si="5"/>
        <v>-4.8060472673446819E-2</v>
      </c>
      <c r="N19" s="522">
        <v>23.058664221551226</v>
      </c>
      <c r="O19" s="523">
        <f t="shared" si="6"/>
        <v>-7.1073070767404767E-2</v>
      </c>
      <c r="P19" s="519"/>
      <c r="Q19" s="519"/>
      <c r="R19" s="519"/>
      <c r="S19" s="519"/>
      <c r="T19" s="100"/>
    </row>
    <row r="20" spans="2:20" x14ac:dyDescent="0.25">
      <c r="B20" s="154">
        <f t="shared" si="1"/>
        <v>2033</v>
      </c>
      <c r="C20" s="719">
        <f t="shared" si="0"/>
        <v>23.079876047945504</v>
      </c>
      <c r="D20" s="522">
        <v>18.751179512385235</v>
      </c>
      <c r="E20" s="523">
        <f t="shared" si="2"/>
        <v>-5.5534719206077554E-2</v>
      </c>
      <c r="F20" s="522">
        <v>26.530373335940013</v>
      </c>
      <c r="G20" s="523">
        <f t="shared" si="2"/>
        <v>-5.6810460917384398E-2</v>
      </c>
      <c r="H20" s="522">
        <v>23.079876047945504</v>
      </c>
      <c r="I20" s="526">
        <f t="shared" si="3"/>
        <v>-6.2653792055162083E-2</v>
      </c>
      <c r="J20" s="522">
        <v>24.218582711420385</v>
      </c>
      <c r="K20" s="523">
        <f t="shared" si="4"/>
        <v>-5.3358302795070478E-2</v>
      </c>
      <c r="L20" s="522">
        <v>27.950840151502987</v>
      </c>
      <c r="M20" s="523">
        <f t="shared" si="5"/>
        <v>-5.3886943623698058E-2</v>
      </c>
      <c r="N20" s="522">
        <v>21.367392057702119</v>
      </c>
      <c r="O20" s="523">
        <f t="shared" si="6"/>
        <v>-7.334649343080335E-2</v>
      </c>
      <c r="P20" s="519"/>
      <c r="Q20" s="519"/>
      <c r="R20" s="519"/>
      <c r="S20" s="519"/>
      <c r="T20" s="100"/>
    </row>
    <row r="21" spans="2:20" x14ac:dyDescent="0.25">
      <c r="B21" s="154">
        <f t="shared" si="1"/>
        <v>2034</v>
      </c>
      <c r="C21" s="719">
        <f t="shared" si="0"/>
        <v>21.558107813870304</v>
      </c>
      <c r="D21" s="522">
        <v>17.709838023382169</v>
      </c>
      <c r="E21" s="523">
        <f t="shared" si="2"/>
        <v>-5.5534719206077443E-2</v>
      </c>
      <c r="F21" s="522">
        <v>24.860593778095371</v>
      </c>
      <c r="G21" s="523">
        <f t="shared" si="2"/>
        <v>-6.293841163488767E-2</v>
      </c>
      <c r="H21" s="522">
        <v>21.558107813870304</v>
      </c>
      <c r="I21" s="526">
        <f t="shared" si="3"/>
        <v>-6.593485298248225E-2</v>
      </c>
      <c r="J21" s="522">
        <v>22.835941338390203</v>
      </c>
      <c r="K21" s="523">
        <f t="shared" si="4"/>
        <v>-5.7090102649904106E-2</v>
      </c>
      <c r="L21" s="522">
        <v>26.268771665191878</v>
      </c>
      <c r="M21" s="523">
        <f t="shared" si="5"/>
        <v>-6.0179532249969303E-2</v>
      </c>
      <c r="N21" s="522">
        <v>19.75617140119482</v>
      </c>
      <c r="O21" s="523">
        <f t="shared" si="6"/>
        <v>-7.5405583056473935E-2</v>
      </c>
      <c r="P21" s="519"/>
      <c r="Q21" s="519"/>
      <c r="R21" s="519"/>
      <c r="S21" s="519"/>
      <c r="T21" s="100"/>
    </row>
    <row r="22" spans="2:20" x14ac:dyDescent="0.25">
      <c r="B22" s="154">
        <f t="shared" si="1"/>
        <v>2035</v>
      </c>
      <c r="C22" s="719">
        <f t="shared" si="0"/>
        <v>20.065943679367219</v>
      </c>
      <c r="D22" s="522">
        <v>16.726327141568525</v>
      </c>
      <c r="E22" s="523">
        <f t="shared" si="2"/>
        <v>-5.5534719206077554E-2</v>
      </c>
      <c r="F22" s="522">
        <v>23.127130118845823</v>
      </c>
      <c r="G22" s="523">
        <f t="shared" si="2"/>
        <v>-6.9727363502351203E-2</v>
      </c>
      <c r="H22" s="522">
        <v>20.065943679367219</v>
      </c>
      <c r="I22" s="526">
        <f t="shared" si="3"/>
        <v>-6.9215913909802418E-2</v>
      </c>
      <c r="J22" s="522">
        <v>21.440703410141865</v>
      </c>
      <c r="K22" s="523">
        <f t="shared" si="4"/>
        <v>-6.1098332123614374E-2</v>
      </c>
      <c r="L22" s="522">
        <v>24.510386360992399</v>
      </c>
      <c r="M22" s="523">
        <f t="shared" si="5"/>
        <v>-6.6938238552260665E-2</v>
      </c>
      <c r="N22" s="522">
        <v>18.229428592871983</v>
      </c>
      <c r="O22" s="523">
        <f t="shared" si="6"/>
        <v>-7.7279285410051801E-2</v>
      </c>
      <c r="P22" s="519"/>
      <c r="Q22" s="519"/>
      <c r="R22" s="519"/>
      <c r="S22" s="519"/>
      <c r="T22" s="100"/>
    </row>
    <row r="23" spans="2:20" x14ac:dyDescent="0.25">
      <c r="B23" s="154">
        <f t="shared" si="1"/>
        <v>2036</v>
      </c>
      <c r="C23" s="719">
        <f t="shared" si="0"/>
        <v>18.611223465361014</v>
      </c>
      <c r="D23" s="522">
        <v>15.797435260412524</v>
      </c>
      <c r="E23" s="523">
        <f t="shared" si="2"/>
        <v>-5.5534719206077554E-2</v>
      </c>
      <c r="F23" s="522">
        <v>21.34059131447313</v>
      </c>
      <c r="G23" s="523">
        <f t="shared" si="2"/>
        <v>-7.7248616460063091E-2</v>
      </c>
      <c r="H23" s="522">
        <v>18.611223465361014</v>
      </c>
      <c r="I23" s="526">
        <f t="shared" si="3"/>
        <v>-7.2496974837122585E-2</v>
      </c>
      <c r="J23" s="522">
        <v>20.038846087407382</v>
      </c>
      <c r="K23" s="523">
        <f t="shared" si="4"/>
        <v>-6.5382991216201281E-2</v>
      </c>
      <c r="L23" s="522">
        <v>22.692621044653638</v>
      </c>
      <c r="M23" s="523">
        <f t="shared" si="5"/>
        <v>-7.4163062530572144E-2</v>
      </c>
      <c r="N23" s="522">
        <v>16.789457615897675</v>
      </c>
      <c r="O23" s="523">
        <f t="shared" si="6"/>
        <v>-7.8991558601971823E-2</v>
      </c>
      <c r="P23" s="519"/>
      <c r="Q23" s="519"/>
      <c r="R23" s="519"/>
      <c r="S23" s="519"/>
      <c r="T23" s="100"/>
    </row>
    <row r="24" spans="2:20" x14ac:dyDescent="0.25">
      <c r="B24" s="154">
        <f t="shared" si="1"/>
        <v>2037</v>
      </c>
      <c r="C24" s="719">
        <f t="shared" si="0"/>
        <v>17.200901507982852</v>
      </c>
      <c r="D24" s="522">
        <v>14.920129129049325</v>
      </c>
      <c r="E24" s="523">
        <f t="shared" si="2"/>
        <v>-5.5534719206077554E-2</v>
      </c>
      <c r="F24" s="522">
        <v>19.514238726316613</v>
      </c>
      <c r="G24" s="523">
        <f t="shared" si="2"/>
        <v>-8.5581161329765454E-2</v>
      </c>
      <c r="H24" s="522">
        <v>17.200901507982852</v>
      </c>
      <c r="I24" s="526">
        <f t="shared" si="3"/>
        <v>-7.5778035764442753E-2</v>
      </c>
      <c r="J24" s="522">
        <v>18.637247435011588</v>
      </c>
      <c r="K24" s="523">
        <f t="shared" si="4"/>
        <v>-6.9944079927664715E-2</v>
      </c>
      <c r="L24" s="522">
        <v>20.835139146698126</v>
      </c>
      <c r="M24" s="523">
        <f t="shared" si="5"/>
        <v>-8.1854004184903739E-2</v>
      </c>
      <c r="N24" s="522">
        <v>15.436858565261133</v>
      </c>
      <c r="O24" s="523">
        <f t="shared" si="6"/>
        <v>-8.0562403001975924E-2</v>
      </c>
      <c r="P24" s="519"/>
      <c r="Q24" s="519"/>
      <c r="R24" s="519"/>
      <c r="S24" s="519"/>
      <c r="T24" s="100"/>
    </row>
    <row r="25" spans="2:20" x14ac:dyDescent="0.25">
      <c r="B25" s="154">
        <f t="shared" si="1"/>
        <v>2038</v>
      </c>
      <c r="C25" s="719">
        <f t="shared" si="0"/>
        <v>15.841013772477746</v>
      </c>
      <c r="D25" s="522">
        <v>14.091543947349152</v>
      </c>
      <c r="E25" s="523">
        <f t="shared" si="2"/>
        <v>-5.5534719206077554E-2</v>
      </c>
      <c r="F25" s="522">
        <v>17.664044783569445</v>
      </c>
      <c r="G25" s="523">
        <f t="shared" si="2"/>
        <v>-9.4812509403814138E-2</v>
      </c>
      <c r="H25" s="522">
        <v>15.841013772477746</v>
      </c>
      <c r="I25" s="526">
        <f t="shared" si="3"/>
        <v>-7.905909669176292E-2</v>
      </c>
      <c r="J25" s="522">
        <v>17.243524284691524</v>
      </c>
      <c r="K25" s="523">
        <f t="shared" si="4"/>
        <v>-7.4781598258004567E-2</v>
      </c>
      <c r="L25" s="522">
        <v>18.959746113615498</v>
      </c>
      <c r="M25" s="523">
        <f t="shared" si="5"/>
        <v>-9.0011063515255341E-2</v>
      </c>
      <c r="N25" s="522">
        <v>14.170902694727374</v>
      </c>
      <c r="O25" s="523">
        <f t="shared" si="6"/>
        <v>-8.2008646071464741E-2</v>
      </c>
      <c r="P25" s="519"/>
      <c r="Q25" s="519"/>
      <c r="R25" s="519"/>
      <c r="S25" s="519"/>
      <c r="T25" s="100"/>
    </row>
    <row r="26" spans="2:20" x14ac:dyDescent="0.25">
      <c r="B26" s="154">
        <f t="shared" si="1"/>
        <v>2039</v>
      </c>
      <c r="C26" s="719">
        <f t="shared" si="0"/>
        <v>14.536662201605862</v>
      </c>
      <c r="D26" s="522">
        <v>13.308974011053015</v>
      </c>
      <c r="E26" s="523">
        <f t="shared" si="2"/>
        <v>-5.5534719206077554E-2</v>
      </c>
      <c r="F26" s="522">
        <v>15.808620381643951</v>
      </c>
      <c r="G26" s="523">
        <f t="shared" si="2"/>
        <v>-0.10503961151929098</v>
      </c>
      <c r="H26" s="522">
        <v>14.536662201605862</v>
      </c>
      <c r="I26" s="526">
        <f t="shared" si="3"/>
        <v>-8.2340157619083088E-2</v>
      </c>
      <c r="J26" s="522">
        <v>15.86584349342861</v>
      </c>
      <c r="K26" s="523">
        <f t="shared" si="4"/>
        <v>-7.989554620722128E-2</v>
      </c>
      <c r="L26" s="522">
        <v>17.089665955216162</v>
      </c>
      <c r="M26" s="523">
        <f t="shared" si="5"/>
        <v>-9.863424052162717E-2</v>
      </c>
      <c r="N26" s="522">
        <v>12.98983522113852</v>
      </c>
      <c r="O26" s="523">
        <f t="shared" si="6"/>
        <v>-8.3344547558589777E-2</v>
      </c>
      <c r="P26" s="519"/>
      <c r="Q26" s="519"/>
      <c r="R26" s="519"/>
      <c r="S26" s="519"/>
      <c r="T26" s="100"/>
    </row>
    <row r="27" spans="2:20" x14ac:dyDescent="0.25">
      <c r="B27" s="154">
        <f t="shared" si="1"/>
        <v>2040</v>
      </c>
      <c r="C27" s="719">
        <f t="shared" si="0"/>
        <v>13.292015470306927</v>
      </c>
      <c r="D27" s="522">
        <v>12.569863876428203</v>
      </c>
      <c r="E27" s="523">
        <f t="shared" si="2"/>
        <v>-5.5534719206077554E-2</v>
      </c>
      <c r="F27" s="522">
        <v>13.968973183840395</v>
      </c>
      <c r="G27" s="523">
        <f t="shared" si="2"/>
        <v>-0.11636987626950968</v>
      </c>
      <c r="H27" s="522">
        <v>13.292015470306927</v>
      </c>
      <c r="I27" s="526">
        <f t="shared" si="3"/>
        <v>-8.5621218546403255E-2</v>
      </c>
      <c r="J27" s="522">
        <v>14.51271037461699</v>
      </c>
      <c r="K27" s="523">
        <f t="shared" si="4"/>
        <v>-8.5285923775314409E-2</v>
      </c>
      <c r="L27" s="522">
        <v>15.248706723064512</v>
      </c>
      <c r="M27" s="523">
        <f t="shared" si="5"/>
        <v>-0.10772353520401889</v>
      </c>
      <c r="N27" s="522">
        <v>11.891125454804225</v>
      </c>
      <c r="O27" s="523">
        <f t="shared" si="6"/>
        <v>-8.4582271262867992E-2</v>
      </c>
      <c r="P27" s="519"/>
      <c r="Q27" s="519"/>
      <c r="R27" s="519"/>
      <c r="S27" s="519"/>
      <c r="T27" s="100"/>
    </row>
    <row r="28" spans="2:20" x14ac:dyDescent="0.25">
      <c r="B28" s="154">
        <f t="shared" si="1"/>
        <v>2041</v>
      </c>
      <c r="C28" s="719">
        <f t="shared" si="0"/>
        <v>12.110324996196645</v>
      </c>
      <c r="D28" s="522">
        <v>11.871800015592145</v>
      </c>
      <c r="E28" s="523">
        <f t="shared" si="2"/>
        <v>-5.5534719206077554E-2</v>
      </c>
      <c r="F28" s="522">
        <v>12.168061059629443</v>
      </c>
      <c r="G28" s="523">
        <f t="shared" si="2"/>
        <v>-0.12892229804652255</v>
      </c>
      <c r="H28" s="522">
        <v>12.110324996196645</v>
      </c>
      <c r="I28" s="526">
        <f t="shared" si="3"/>
        <v>-8.8902279473723422E-2</v>
      </c>
      <c r="J28" s="522">
        <v>13.1927397323809</v>
      </c>
      <c r="K28" s="523">
        <f t="shared" si="4"/>
        <v>-9.0952730962284178E-2</v>
      </c>
      <c r="L28" s="522">
        <v>13.460354446895343</v>
      </c>
      <c r="M28" s="523">
        <f t="shared" si="5"/>
        <v>-0.11727894756243085</v>
      </c>
      <c r="N28" s="522">
        <v>10.87167243755033</v>
      </c>
      <c r="O28" s="523">
        <f t="shared" si="6"/>
        <v>-8.5732256473840973E-2</v>
      </c>
      <c r="P28" s="519"/>
      <c r="Q28" s="519"/>
      <c r="R28" s="519"/>
      <c r="S28" s="519"/>
      <c r="T28" s="100"/>
    </row>
    <row r="29" spans="2:20" x14ac:dyDescent="0.25">
      <c r="B29" s="154">
        <f t="shared" si="1"/>
        <v>2042</v>
      </c>
      <c r="C29" s="719">
        <f t="shared" si="0"/>
        <v>10.993954784704982</v>
      </c>
      <c r="D29" s="522">
        <v>11.212502935255529</v>
      </c>
      <c r="E29" s="523">
        <f t="shared" si="2"/>
        <v>-5.5534719206077443E-2</v>
      </c>
      <c r="F29" s="522">
        <v>10.430112634684823</v>
      </c>
      <c r="G29" s="523">
        <f t="shared" si="2"/>
        <v>-0.14282870676172832</v>
      </c>
      <c r="H29" s="522">
        <v>10.993954784704982</v>
      </c>
      <c r="I29" s="526">
        <f t="shared" si="3"/>
        <v>-9.2183340401043701E-2</v>
      </c>
      <c r="J29" s="522">
        <v>11.914416448498786</v>
      </c>
      <c r="K29" s="523">
        <f t="shared" si="4"/>
        <v>-9.6895967768130475E-2</v>
      </c>
      <c r="L29" s="522">
        <v>11.746844897182507</v>
      </c>
      <c r="M29" s="523">
        <f t="shared" si="5"/>
        <v>-0.12730047759686292</v>
      </c>
      <c r="N29" s="522">
        <v>9.9279730764472731</v>
      </c>
      <c r="O29" s="523">
        <f t="shared" si="6"/>
        <v>-8.680351312311041E-2</v>
      </c>
      <c r="P29" s="519"/>
      <c r="Q29" s="519"/>
      <c r="R29" s="519"/>
      <c r="S29" s="519"/>
      <c r="T29" s="100"/>
    </row>
    <row r="30" spans="2:20" x14ac:dyDescent="0.25">
      <c r="B30" s="154">
        <f t="shared" si="1"/>
        <v>2043</v>
      </c>
      <c r="C30" s="719">
        <f t="shared" si="0"/>
        <v>9.9444234729520211</v>
      </c>
      <c r="D30" s="522">
        <v>10.589819733148792</v>
      </c>
      <c r="E30" s="523">
        <f t="shared" si="2"/>
        <v>-5.5534719206077665E-2</v>
      </c>
      <c r="F30" s="522">
        <v>8.7797021727035975</v>
      </c>
      <c r="G30" s="523">
        <f t="shared" si="2"/>
        <v>-0.15823515236957919</v>
      </c>
      <c r="H30" s="522">
        <v>9.9444234729520211</v>
      </c>
      <c r="I30" s="526">
        <f t="shared" si="3"/>
        <v>-9.5464401328363757E-2</v>
      </c>
      <c r="J30" s="522">
        <v>10.685853840374069</v>
      </c>
      <c r="K30" s="523">
        <f t="shared" si="4"/>
        <v>-0.10311563419285341</v>
      </c>
      <c r="L30" s="522">
        <v>10.12826916052393</v>
      </c>
      <c r="M30" s="523">
        <f t="shared" si="5"/>
        <v>-0.13778812530731499</v>
      </c>
      <c r="N30" s="522">
        <v>9.0562587349996022</v>
      </c>
      <c r="O30" s="523">
        <f t="shared" si="6"/>
        <v>-8.7803858323879935E-2</v>
      </c>
      <c r="P30" s="519"/>
      <c r="Q30" s="519"/>
      <c r="R30" s="519"/>
      <c r="S30" s="519"/>
      <c r="T30" s="100"/>
    </row>
    <row r="31" spans="2:20" x14ac:dyDescent="0.25">
      <c r="B31" s="154">
        <f t="shared" si="1"/>
        <v>2044</v>
      </c>
      <c r="C31" s="719">
        <f t="shared" si="0"/>
        <v>8.9624567802491004</v>
      </c>
      <c r="D31" s="522">
        <v>10.001717067825394</v>
      </c>
      <c r="E31" s="523">
        <f t="shared" si="2"/>
        <v>-5.5534719206077554E-2</v>
      </c>
      <c r="F31" s="522">
        <v>7.2405901907582777</v>
      </c>
      <c r="G31" s="523">
        <f t="shared" si="2"/>
        <v>-0.17530343873513987</v>
      </c>
      <c r="H31" s="522">
        <v>8.9624567802491004</v>
      </c>
      <c r="I31" s="526">
        <f t="shared" si="3"/>
        <v>-9.8745462255683925E-2</v>
      </c>
      <c r="J31" s="522">
        <v>9.5145589118768239</v>
      </c>
      <c r="K31" s="523">
        <f t="shared" si="4"/>
        <v>-0.10961173023645276</v>
      </c>
      <c r="L31" s="522">
        <v>8.621771256132023</v>
      </c>
      <c r="M31" s="523">
        <f t="shared" si="5"/>
        <v>-0.14874189069378729</v>
      </c>
      <c r="N31" s="522">
        <v>8.2526053618284294</v>
      </c>
      <c r="O31" s="523">
        <f t="shared" si="6"/>
        <v>-8.8740107442525251E-2</v>
      </c>
      <c r="P31" s="519"/>
      <c r="Q31" s="519"/>
      <c r="R31" s="519"/>
      <c r="S31" s="519"/>
      <c r="T31" s="100"/>
    </row>
    <row r="32" spans="2:20" x14ac:dyDescent="0.25">
      <c r="B32" s="154">
        <f t="shared" si="1"/>
        <v>2045</v>
      </c>
      <c r="C32" s="719">
        <f t="shared" si="0"/>
        <v>8.0480484757823429</v>
      </c>
      <c r="D32" s="522">
        <v>9.4462745188850779</v>
      </c>
      <c r="E32" s="523">
        <f t="shared" si="2"/>
        <v>-5.5534719206077554E-2</v>
      </c>
      <c r="F32" s="522">
        <v>5.8343747299529163</v>
      </c>
      <c r="G32" s="523">
        <f t="shared" si="2"/>
        <v>-0.19421282295471198</v>
      </c>
      <c r="H32" s="522">
        <v>8.0480484757823429</v>
      </c>
      <c r="I32" s="526">
        <f t="shared" si="3"/>
        <v>-0.10202652318300409</v>
      </c>
      <c r="J32" s="522">
        <v>8.4072140527115167</v>
      </c>
      <c r="K32" s="523">
        <f t="shared" si="4"/>
        <v>-0.11638425589892898</v>
      </c>
      <c r="L32" s="522">
        <v>7.2408930788290125</v>
      </c>
      <c r="M32" s="523">
        <f t="shared" si="5"/>
        <v>-0.16016177375627949</v>
      </c>
      <c r="N32" s="522">
        <v>7.5130214798618482</v>
      </c>
      <c r="O32" s="523">
        <f t="shared" si="6"/>
        <v>-8.9618229582072328E-2</v>
      </c>
      <c r="P32" s="519"/>
      <c r="Q32" s="519"/>
      <c r="R32" s="519"/>
      <c r="S32" s="519"/>
      <c r="T32" s="100"/>
    </row>
    <row r="33" spans="2:20" x14ac:dyDescent="0.25">
      <c r="B33" s="154">
        <f t="shared" si="1"/>
        <v>2046</v>
      </c>
      <c r="C33" s="719">
        <f t="shared" si="0"/>
        <v>7.2005279339949269</v>
      </c>
      <c r="D33" s="522">
        <v>8.9216783159352691</v>
      </c>
      <c r="E33" s="523">
        <f t="shared" si="2"/>
        <v>-5.5534719206077665E-2</v>
      </c>
      <c r="F33" s="522">
        <v>4.579039589550832</v>
      </c>
      <c r="G33" s="523">
        <f t="shared" si="2"/>
        <v>-0.21516189797637753</v>
      </c>
      <c r="H33" s="522">
        <v>7.2005279339949269</v>
      </c>
      <c r="I33" s="526">
        <f t="shared" si="3"/>
        <v>-0.10530758411032426</v>
      </c>
      <c r="J33" s="522">
        <v>7.369484625105347</v>
      </c>
      <c r="K33" s="523">
        <f t="shared" si="4"/>
        <v>-0.12343321118028139</v>
      </c>
      <c r="L33" s="522">
        <v>5.9951135392617392</v>
      </c>
      <c r="M33" s="523">
        <f t="shared" si="5"/>
        <v>-0.17204777449479192</v>
      </c>
      <c r="N33" s="522">
        <v>6.8335177096385138</v>
      </c>
      <c r="O33" s="523">
        <f t="shared" si="6"/>
        <v>-9.0443474978036287E-2</v>
      </c>
      <c r="P33" s="519"/>
      <c r="Q33" s="519"/>
      <c r="R33" s="519"/>
      <c r="S33" s="519"/>
      <c r="T33" s="100"/>
    </row>
    <row r="34" spans="2:20" x14ac:dyDescent="0.25">
      <c r="B34" s="154">
        <f t="shared" si="1"/>
        <v>2047</v>
      </c>
      <c r="C34" s="719">
        <f t="shared" si="0"/>
        <v>6.4186323620867087</v>
      </c>
      <c r="D34" s="522">
        <v>8.4262154158128535</v>
      </c>
      <c r="E34" s="523">
        <f t="shared" si="2"/>
        <v>-5.5534719206077554E-2</v>
      </c>
      <c r="F34" s="522">
        <v>3.4875308166618333</v>
      </c>
      <c r="G34" s="523">
        <f t="shared" si="2"/>
        <v>-0.2383706782924031</v>
      </c>
      <c r="H34" s="522">
        <v>6.4186323620867087</v>
      </c>
      <c r="I34" s="526">
        <f t="shared" si="3"/>
        <v>-0.10858864503764443</v>
      </c>
      <c r="J34" s="522">
        <v>6.4058611616896641</v>
      </c>
      <c r="K34" s="523">
        <f t="shared" si="4"/>
        <v>-0.13075859608051055</v>
      </c>
      <c r="L34" s="522">
        <v>4.8896152446426333</v>
      </c>
      <c r="M34" s="523">
        <f t="shared" si="5"/>
        <v>-0.18439989290932446</v>
      </c>
      <c r="N34" s="522">
        <v>6.2101609437127152</v>
      </c>
      <c r="O34" s="523">
        <f t="shared" si="6"/>
        <v>-9.1220480053277542E-2</v>
      </c>
      <c r="P34" s="519"/>
      <c r="Q34" s="519"/>
      <c r="R34" s="519"/>
      <c r="S34" s="519"/>
      <c r="T34" s="100"/>
    </row>
    <row r="35" spans="2:20" x14ac:dyDescent="0.25">
      <c r="B35" s="154">
        <f t="shared" si="1"/>
        <v>2048</v>
      </c>
      <c r="C35" s="719">
        <f t="shared" si="0"/>
        <v>5.7005818470428622</v>
      </c>
      <c r="D35" s="522">
        <v>7.9582679087257651</v>
      </c>
      <c r="E35" s="523">
        <f t="shared" si="2"/>
        <v>-5.5534719206077554E-2</v>
      </c>
      <c r="F35" s="522">
        <v>2.5665335277620818</v>
      </c>
      <c r="G35" s="523">
        <f t="shared" si="2"/>
        <v>-0.26408291060817191</v>
      </c>
      <c r="H35" s="522">
        <v>5.7005818470428622</v>
      </c>
      <c r="I35" s="526">
        <f t="shared" si="3"/>
        <v>-0.11186970596496459</v>
      </c>
      <c r="J35" s="522">
        <v>5.5195435811141467</v>
      </c>
      <c r="K35" s="523">
        <f t="shared" si="4"/>
        <v>-0.13836041059961635</v>
      </c>
      <c r="L35" s="522">
        <v>3.9252944745649367</v>
      </c>
      <c r="M35" s="523">
        <f t="shared" si="5"/>
        <v>-0.19721812899987712</v>
      </c>
      <c r="N35" s="522">
        <v>5.6391158125016432</v>
      </c>
      <c r="O35" s="523">
        <f t="shared" si="6"/>
        <v>-9.1953354572752111E-2</v>
      </c>
      <c r="P35" s="519"/>
      <c r="Q35" s="519"/>
      <c r="R35" s="519"/>
      <c r="S35" s="519"/>
      <c r="T35" s="100"/>
    </row>
    <row r="36" spans="2:20" x14ac:dyDescent="0.25">
      <c r="B36" s="154">
        <f t="shared" si="1"/>
        <v>2049</v>
      </c>
      <c r="C36" s="719">
        <f t="shared" si="0"/>
        <v>5.0441554756236391</v>
      </c>
      <c r="D36" s="522">
        <v>7.5163077350479419</v>
      </c>
      <c r="E36" s="523">
        <f t="shared" si="2"/>
        <v>-5.5534719206077554E-2</v>
      </c>
      <c r="F36" s="522">
        <v>1.8156463200580841</v>
      </c>
      <c r="G36" s="523">
        <f t="shared" si="2"/>
        <v>-0.29256863375509545</v>
      </c>
      <c r="H36" s="522">
        <v>5.0441554756236391</v>
      </c>
      <c r="I36" s="526">
        <f t="shared" si="3"/>
        <v>-0.11515076689228487</v>
      </c>
      <c r="J36" s="522">
        <v>4.712372953046466</v>
      </c>
      <c r="K36" s="523">
        <f t="shared" si="4"/>
        <v>-0.14623865473759867</v>
      </c>
      <c r="L36" s="522">
        <v>3.0990102420795904</v>
      </c>
      <c r="M36" s="523">
        <f t="shared" si="5"/>
        <v>-0.21050248276644978</v>
      </c>
      <c r="N36" s="522">
        <v>5.1166756741380013</v>
      </c>
      <c r="O36" s="523">
        <f t="shared" si="6"/>
        <v>-9.264575435840805E-2</v>
      </c>
      <c r="P36" s="519"/>
      <c r="Q36" s="519"/>
      <c r="R36" s="519"/>
      <c r="S36" s="519"/>
      <c r="T36" s="100"/>
    </row>
    <row r="37" spans="2:20" x14ac:dyDescent="0.25">
      <c r="B37" s="155">
        <f t="shared" si="1"/>
        <v>2050</v>
      </c>
      <c r="C37" s="720">
        <f t="shared" si="0"/>
        <v>4.446766922839263</v>
      </c>
      <c r="D37" s="524">
        <v>7.0988916955155856</v>
      </c>
      <c r="E37" s="525">
        <f t="shared" si="2"/>
        <v>-5.5534719206077554E-2</v>
      </c>
      <c r="F37" s="524">
        <v>1.2271462985274244</v>
      </c>
      <c r="G37" s="525">
        <f t="shared" si="2"/>
        <v>-0.32412701473260119</v>
      </c>
      <c r="H37" s="524">
        <v>4.446766922839263</v>
      </c>
      <c r="I37" s="527">
        <f t="shared" si="3"/>
        <v>-0.11843182781960493</v>
      </c>
      <c r="J37" s="524">
        <v>3.984814007718366</v>
      </c>
      <c r="K37" s="525">
        <f t="shared" si="4"/>
        <v>-0.15439332849445753</v>
      </c>
      <c r="L37" s="524">
        <v>2.4040480401691622</v>
      </c>
      <c r="M37" s="525">
        <f t="shared" si="5"/>
        <v>-0.22425295420904257</v>
      </c>
      <c r="N37" s="524">
        <v>4.639285012398922</v>
      </c>
      <c r="O37" s="525">
        <f t="shared" si="6"/>
        <v>-9.3300942280166055E-2</v>
      </c>
      <c r="P37" s="519"/>
      <c r="Q37" s="519"/>
      <c r="R37" s="519"/>
      <c r="S37" s="519"/>
      <c r="T37" s="100"/>
    </row>
    <row r="38" spans="2:20" x14ac:dyDescent="0.25">
      <c r="B38" s="154">
        <f t="shared" si="1"/>
        <v>2051</v>
      </c>
      <c r="C38" s="719">
        <f t="shared" si="0"/>
        <v>3.9055380750762212</v>
      </c>
      <c r="D38" s="522">
        <v>6.7046567385307716</v>
      </c>
      <c r="E38" s="707">
        <f>D38-D37</f>
        <v>-0.39423495698481403</v>
      </c>
      <c r="F38" s="522">
        <v>0.78649095921862844</v>
      </c>
      <c r="G38" s="523"/>
      <c r="H38" s="522">
        <v>3.9055380750762212</v>
      </c>
      <c r="I38" s="526"/>
      <c r="J38" s="522">
        <v>3.3359889308032362</v>
      </c>
      <c r="K38" s="523"/>
      <c r="L38" s="522">
        <v>1.8307558018922769</v>
      </c>
      <c r="M38" s="523"/>
      <c r="N38" s="522">
        <v>4.2035548292778415</v>
      </c>
      <c r="O38" s="523"/>
      <c r="P38" s="519"/>
      <c r="Q38" s="519"/>
      <c r="R38" s="519"/>
      <c r="S38" s="519"/>
      <c r="T38" s="100"/>
    </row>
    <row r="39" spans="2:20" x14ac:dyDescent="0.25">
      <c r="B39" s="154">
        <f t="shared" si="1"/>
        <v>2052</v>
      </c>
      <c r="C39" s="719">
        <f t="shared" si="0"/>
        <v>3.4173694454692951</v>
      </c>
      <c r="D39" s="522">
        <v>6.3323155091833296</v>
      </c>
      <c r="E39" s="707">
        <f t="shared" ref="E39:E87" si="7">D39-D38</f>
        <v>-0.37234122934744196</v>
      </c>
      <c r="F39" s="522">
        <v>0.47360656998913847</v>
      </c>
      <c r="G39" s="523"/>
      <c r="H39" s="522">
        <v>3.4173694454692951</v>
      </c>
      <c r="I39" s="526"/>
      <c r="J39" s="522">
        <v>2.7637601947353168</v>
      </c>
      <c r="K39" s="523"/>
      <c r="L39" s="522">
        <v>1.3672958512188125</v>
      </c>
      <c r="M39" s="523"/>
      <c r="N39" s="522">
        <v>3.8062723650917434</v>
      </c>
      <c r="O39" s="523"/>
      <c r="P39" s="519"/>
      <c r="Q39" s="519"/>
      <c r="R39" s="519"/>
      <c r="S39" s="519"/>
      <c r="T39" s="100"/>
    </row>
    <row r="40" spans="2:20" x14ac:dyDescent="0.25">
      <c r="B40" s="154">
        <f t="shared" si="1"/>
        <v>2053</v>
      </c>
      <c r="C40" s="719">
        <f t="shared" si="0"/>
        <v>2.9790063436222556</v>
      </c>
      <c r="D40" s="522">
        <v>5.9806521454565438</v>
      </c>
      <c r="E40" s="707">
        <f t="shared" si="7"/>
        <v>-0.35166336372678586</v>
      </c>
      <c r="F40" s="522">
        <v>0.26487153707374966</v>
      </c>
      <c r="G40" s="523"/>
      <c r="H40" s="522">
        <v>2.9790063436222556</v>
      </c>
      <c r="I40" s="526"/>
      <c r="J40" s="522">
        <v>2.2648574598550817</v>
      </c>
      <c r="K40" s="523"/>
      <c r="L40" s="522">
        <v>1.0004489050503345</v>
      </c>
      <c r="M40" s="523"/>
      <c r="N40" s="522">
        <v>3.4444062629878403</v>
      </c>
      <c r="O40" s="523"/>
      <c r="P40" s="519"/>
      <c r="Q40" s="519"/>
      <c r="R40" s="519"/>
      <c r="S40" s="519"/>
      <c r="T40" s="100"/>
    </row>
    <row r="41" spans="2:20" x14ac:dyDescent="0.25">
      <c r="B41" s="154">
        <f t="shared" si="1"/>
        <v>2054</v>
      </c>
      <c r="C41" s="719">
        <f t="shared" si="0"/>
        <v>2.587099971995682</v>
      </c>
      <c r="D41" s="522">
        <v>5.6485183078893897</v>
      </c>
      <c r="E41" s="707">
        <f t="shared" si="7"/>
        <v>-0.33213383756715409</v>
      </c>
      <c r="F41" s="522">
        <v>0.13554120764579405</v>
      </c>
      <c r="G41" s="523"/>
      <c r="H41" s="522">
        <v>2.587099971995682</v>
      </c>
      <c r="I41" s="526"/>
      <c r="J41" s="522">
        <v>1.8350411464545531</v>
      </c>
      <c r="K41" s="523"/>
      <c r="L41" s="522">
        <v>0.7164054369769346</v>
      </c>
      <c r="M41" s="523"/>
      <c r="N41" s="522">
        <v>3.1151081109916525</v>
      </c>
      <c r="O41" s="523"/>
      <c r="P41" s="519"/>
      <c r="Q41" s="519"/>
      <c r="R41" s="519"/>
      <c r="S41" s="519"/>
      <c r="T41" s="100"/>
    </row>
    <row r="42" spans="2:20" x14ac:dyDescent="0.25">
      <c r="B42" s="154">
        <f t="shared" si="1"/>
        <v>2055</v>
      </c>
      <c r="C42" s="719">
        <f t="shared" si="0"/>
        <v>2.238262830394254</v>
      </c>
      <c r="D42" s="522">
        <v>5.3348294297303642</v>
      </c>
      <c r="E42" s="707">
        <f t="shared" si="7"/>
        <v>-0.31368887815902546</v>
      </c>
      <c r="F42" s="522">
        <v>6.2220962478481363E-2</v>
      </c>
      <c r="G42" s="523"/>
      <c r="H42" s="522">
        <v>2.238262830394254</v>
      </c>
      <c r="I42" s="526"/>
      <c r="J42" s="522">
        <v>1.4692933306593445</v>
      </c>
      <c r="K42" s="523"/>
      <c r="L42" s="522">
        <v>0.50148590025051154</v>
      </c>
      <c r="M42" s="523"/>
      <c r="N42" s="522">
        <v>2.8157111387236675</v>
      </c>
      <c r="O42" s="523"/>
      <c r="P42" s="519"/>
      <c r="Q42" s="519"/>
      <c r="R42" s="519"/>
      <c r="S42" s="519"/>
      <c r="T42" s="100"/>
    </row>
    <row r="43" spans="2:20" x14ac:dyDescent="0.25">
      <c r="B43" s="154">
        <f t="shared" si="1"/>
        <v>2056</v>
      </c>
      <c r="C43" s="719">
        <f t="shared" si="0"/>
        <v>1.9291180119427023</v>
      </c>
      <c r="D43" s="522">
        <v>5.0385611753379695</v>
      </c>
      <c r="E43" s="707">
        <f t="shared" si="7"/>
        <v>-0.29626825439239468</v>
      </c>
      <c r="F43" s="522">
        <v>0</v>
      </c>
      <c r="G43" s="523"/>
      <c r="H43" s="522">
        <v>1.9291180119427023</v>
      </c>
      <c r="I43" s="526"/>
      <c r="J43" s="522">
        <v>1.1620253161125544</v>
      </c>
      <c r="K43" s="523"/>
      <c r="L43" s="522">
        <v>0.34274342003359365</v>
      </c>
      <c r="M43" s="523"/>
      <c r="N43" s="522">
        <v>2.5437267136311341</v>
      </c>
      <c r="O43" s="523"/>
      <c r="P43" s="519"/>
      <c r="Q43" s="519"/>
      <c r="R43" s="519"/>
      <c r="S43" s="519"/>
      <c r="T43" s="100"/>
    </row>
    <row r="44" spans="2:20" x14ac:dyDescent="0.25">
      <c r="B44" s="154">
        <f t="shared" si="1"/>
        <v>2057</v>
      </c>
      <c r="C44" s="719">
        <f t="shared" si="0"/>
        <v>1.6563421635763822</v>
      </c>
      <c r="D44" s="522">
        <v>4.7587460952629312</v>
      </c>
      <c r="E44" s="707">
        <f t="shared" si="7"/>
        <v>-0.2798150800750383</v>
      </c>
      <c r="F44" s="522">
        <v>0</v>
      </c>
      <c r="G44" s="523"/>
      <c r="H44" s="522">
        <v>1.6563421635763822</v>
      </c>
      <c r="I44" s="526"/>
      <c r="J44" s="522">
        <v>0.90729068828513026</v>
      </c>
      <c r="K44" s="523"/>
      <c r="L44" s="522">
        <v>0.22841876483050727</v>
      </c>
      <c r="M44" s="523"/>
      <c r="N44" s="522">
        <v>2.2968391696203163</v>
      </c>
      <c r="O44" s="523"/>
      <c r="P44" s="519"/>
      <c r="Q44" s="519"/>
      <c r="R44" s="519"/>
      <c r="S44" s="519"/>
      <c r="T44" s="100"/>
    </row>
    <row r="45" spans="2:20" x14ac:dyDescent="0.25">
      <c r="B45" s="154">
        <f t="shared" si="1"/>
        <v>2058</v>
      </c>
      <c r="C45" s="719">
        <f t="shared" si="0"/>
        <v>1.4167020572078848</v>
      </c>
      <c r="D45" s="522">
        <v>4.4944704670894859</v>
      </c>
      <c r="E45" s="707">
        <f t="shared" si="7"/>
        <v>-0.2642756281734453</v>
      </c>
      <c r="F45" s="522">
        <v>0</v>
      </c>
      <c r="G45" s="523"/>
      <c r="H45" s="522">
        <v>1.4167020572078848</v>
      </c>
      <c r="I45" s="526"/>
      <c r="J45" s="522">
        <v>0.69899290979372708</v>
      </c>
      <c r="K45" s="523"/>
      <c r="L45" s="522">
        <v>0.14823533554085341</v>
      </c>
      <c r="M45" s="523"/>
      <c r="N45" s="522">
        <v>2.0728994063868385</v>
      </c>
      <c r="O45" s="523"/>
      <c r="P45" s="519"/>
      <c r="Q45" s="519"/>
      <c r="R45" s="519"/>
      <c r="S45" s="519"/>
    </row>
    <row r="46" spans="2:20" x14ac:dyDescent="0.25">
      <c r="B46" s="154">
        <f t="shared" si="1"/>
        <v>2059</v>
      </c>
      <c r="C46" s="719">
        <f t="shared" si="0"/>
        <v>1.2070848712069304</v>
      </c>
      <c r="D46" s="522">
        <v>4.2448713117196633</v>
      </c>
      <c r="E46" s="707">
        <f t="shared" si="7"/>
        <v>-0.24959915536982269</v>
      </c>
      <c r="F46" s="522">
        <v>0</v>
      </c>
      <c r="G46" s="523"/>
      <c r="H46" s="522">
        <v>1.2070848712069304</v>
      </c>
      <c r="I46" s="526"/>
      <c r="J46" s="522">
        <v>0.53107753015279269</v>
      </c>
      <c r="K46" s="523"/>
      <c r="L46" s="522">
        <v>9.3539091939623092E-2</v>
      </c>
      <c r="M46" s="523"/>
      <c r="N46" s="522">
        <v>1.8699176179930461</v>
      </c>
      <c r="O46" s="523"/>
      <c r="P46" s="519"/>
      <c r="Q46" s="519"/>
      <c r="R46" s="519"/>
      <c r="S46" s="519"/>
    </row>
    <row r="47" spans="2:20" x14ac:dyDescent="0.25">
      <c r="B47" s="154">
        <f t="shared" si="1"/>
        <v>2060</v>
      </c>
      <c r="C47" s="719">
        <f t="shared" si="0"/>
        <v>1.0245224135077378</v>
      </c>
      <c r="D47" s="522">
        <v>4.009133575357378</v>
      </c>
      <c r="E47" s="707">
        <f t="shared" si="7"/>
        <v>-0.23573773636228523</v>
      </c>
      <c r="F47" s="522">
        <v>0</v>
      </c>
      <c r="G47" s="523"/>
      <c r="H47" s="522">
        <v>1.0245224135077378</v>
      </c>
      <c r="I47" s="526"/>
      <c r="J47" s="522">
        <v>0.39770075684497069</v>
      </c>
      <c r="K47" s="523"/>
      <c r="L47" s="522">
        <v>3.8842848338392771E-2</v>
      </c>
      <c r="M47" s="523"/>
      <c r="N47" s="522">
        <v>1.686055442158418</v>
      </c>
      <c r="O47" s="523"/>
      <c r="P47" s="519"/>
      <c r="Q47" s="519"/>
      <c r="R47" s="519"/>
      <c r="S47" s="519"/>
    </row>
    <row r="48" spans="2:20" x14ac:dyDescent="0.25">
      <c r="B48" s="154">
        <f t="shared" si="1"/>
        <v>2061</v>
      </c>
      <c r="C48" s="719">
        <f t="shared" si="0"/>
        <v>0.86620962637249932</v>
      </c>
      <c r="D48" s="522">
        <v>3.786487467990248</v>
      </c>
      <c r="E48" s="707">
        <f t="shared" si="7"/>
        <v>-0.22264610736712998</v>
      </c>
      <c r="F48" s="522">
        <v>0</v>
      </c>
      <c r="G48" s="523"/>
      <c r="H48" s="522">
        <v>0.86620962637249932</v>
      </c>
      <c r="I48" s="526"/>
      <c r="J48" s="522">
        <v>0.2933683003463739</v>
      </c>
      <c r="K48" s="523"/>
      <c r="L48" s="522">
        <v>-1.585339526283755E-2</v>
      </c>
      <c r="M48" s="523"/>
      <c r="N48" s="522">
        <v>1.5196177654339209</v>
      </c>
      <c r="O48" s="523"/>
      <c r="P48" s="519"/>
      <c r="Q48" s="519"/>
      <c r="R48" s="519"/>
      <c r="S48" s="519"/>
    </row>
    <row r="49" spans="2:19" x14ac:dyDescent="0.25">
      <c r="B49" s="154">
        <f t="shared" si="1"/>
        <v>2062</v>
      </c>
      <c r="C49" s="719">
        <f t="shared" si="0"/>
        <v>0.72951779832675423</v>
      </c>
      <c r="D49" s="522">
        <v>3.5762059496780783</v>
      </c>
      <c r="E49" s="707">
        <f t="shared" si="7"/>
        <v>-0.21028151831216979</v>
      </c>
      <c r="F49" s="522">
        <v>0</v>
      </c>
      <c r="G49" s="523"/>
      <c r="H49" s="522">
        <v>0.72951779832675423</v>
      </c>
      <c r="I49" s="526"/>
      <c r="J49" s="522">
        <v>0.21304085500048223</v>
      </c>
      <c r="K49" s="523"/>
      <c r="L49" s="522">
        <v>-7.0549638864067871E-2</v>
      </c>
      <c r="M49" s="523"/>
      <c r="N49" s="522">
        <v>1.3690443723224544</v>
      </c>
      <c r="O49" s="523"/>
      <c r="P49" s="519"/>
      <c r="Q49" s="519"/>
      <c r="R49" s="519"/>
      <c r="S49" s="519"/>
    </row>
    <row r="50" spans="2:19" x14ac:dyDescent="0.25">
      <c r="B50" s="154">
        <f t="shared" si="1"/>
        <v>2063</v>
      </c>
      <c r="C50" s="719">
        <f t="shared" si="0"/>
        <v>0.61200297157361372</v>
      </c>
      <c r="D50" s="522">
        <v>3.3776023564396023</v>
      </c>
      <c r="E50" s="707">
        <f t="shared" si="7"/>
        <v>-0.19860359323847598</v>
      </c>
      <c r="F50" s="522">
        <v>0</v>
      </c>
      <c r="G50" s="523"/>
      <c r="H50" s="522">
        <v>0.61200297157361372</v>
      </c>
      <c r="I50" s="526"/>
      <c r="J50" s="522">
        <v>0.15220508257519103</v>
      </c>
      <c r="K50" s="523"/>
      <c r="L50" s="522">
        <v>-0.12524588246529819</v>
      </c>
      <c r="M50" s="523"/>
      <c r="N50" s="522">
        <v>1.2329015871029192</v>
      </c>
      <c r="O50" s="523"/>
      <c r="P50" s="519"/>
      <c r="Q50" s="519"/>
      <c r="R50" s="519"/>
      <c r="S50" s="519"/>
    </row>
    <row r="51" spans="2:19" x14ac:dyDescent="0.25">
      <c r="B51" s="154">
        <f t="shared" si="1"/>
        <v>2064</v>
      </c>
      <c r="C51" s="719">
        <f t="shared" si="0"/>
        <v>0.51141007449504461</v>
      </c>
      <c r="D51" s="522">
        <v>3.1900281579849432</v>
      </c>
      <c r="E51" s="707">
        <f t="shared" si="7"/>
        <v>-0.18757419845465906</v>
      </c>
      <c r="F51" s="522">
        <v>0</v>
      </c>
      <c r="G51" s="523"/>
      <c r="H51" s="522">
        <v>0.51141007449504461</v>
      </c>
      <c r="I51" s="526"/>
      <c r="J51" s="522">
        <v>0.10691130490555283</v>
      </c>
      <c r="K51" s="523"/>
      <c r="L51" s="522">
        <v>-0.17994212606652851</v>
      </c>
      <c r="M51" s="523"/>
      <c r="N51" s="522">
        <v>1.109874024435479</v>
      </c>
      <c r="O51" s="523"/>
      <c r="P51" s="519"/>
      <c r="Q51" s="519"/>
      <c r="R51" s="519"/>
      <c r="S51" s="519"/>
    </row>
    <row r="52" spans="2:19" x14ac:dyDescent="0.25">
      <c r="B52" s="154">
        <f t="shared" si="1"/>
        <v>2065</v>
      </c>
      <c r="C52" s="719">
        <f t="shared" si="0"/>
        <v>0.42567333040828237</v>
      </c>
      <c r="D52" s="522">
        <v>3.0128708399717685</v>
      </c>
      <c r="E52" s="707">
        <f t="shared" si="7"/>
        <v>-0.17715731801317469</v>
      </c>
      <c r="F52" s="522">
        <v>0</v>
      </c>
      <c r="G52" s="523"/>
      <c r="H52" s="522">
        <v>0.42567333040828237</v>
      </c>
      <c r="I52" s="526"/>
      <c r="J52" s="522">
        <v>7.3781096348889283E-2</v>
      </c>
      <c r="K52" s="523"/>
      <c r="L52" s="522">
        <v>-0.23463836966775883</v>
      </c>
      <c r="M52" s="523"/>
      <c r="N52" s="522">
        <v>0.99875653775676554</v>
      </c>
      <c r="O52" s="523"/>
      <c r="P52" s="519"/>
      <c r="Q52" s="519"/>
      <c r="R52" s="519"/>
      <c r="S52" s="519"/>
    </row>
    <row r="53" spans="2:19" x14ac:dyDescent="0.25">
      <c r="B53" s="154">
        <f t="shared" si="1"/>
        <v>2066</v>
      </c>
      <c r="C53" s="719">
        <f t="shared" si="0"/>
        <v>0.35291349771869307</v>
      </c>
      <c r="D53" s="522">
        <v>2.8455519038697572</v>
      </c>
      <c r="E53" s="707">
        <f t="shared" si="7"/>
        <v>-0.16731893610201132</v>
      </c>
      <c r="F53" s="522">
        <v>0</v>
      </c>
      <c r="G53" s="523"/>
      <c r="H53" s="522">
        <v>0.35291349771869307</v>
      </c>
      <c r="I53" s="526"/>
      <c r="J53" s="522">
        <v>4.065088779222574E-2</v>
      </c>
      <c r="K53" s="523"/>
      <c r="L53" s="522">
        <v>-0.28933461326898913</v>
      </c>
      <c r="M53" s="523"/>
      <c r="N53" s="522">
        <v>0.89844643215066444</v>
      </c>
      <c r="O53" s="523"/>
      <c r="P53" s="519"/>
      <c r="Q53" s="519"/>
      <c r="R53" s="519"/>
      <c r="S53" s="519"/>
    </row>
    <row r="54" spans="2:19" x14ac:dyDescent="0.25">
      <c r="B54" s="154">
        <f t="shared" si="1"/>
        <v>2067</v>
      </c>
      <c r="C54" s="719">
        <f t="shared" si="0"/>
        <v>0.2914324854241504</v>
      </c>
      <c r="D54" s="522">
        <v>2.6782329677677459</v>
      </c>
      <c r="E54" s="707">
        <f t="shared" si="7"/>
        <v>-0.16731893610201132</v>
      </c>
      <c r="F54" s="522">
        <v>0</v>
      </c>
      <c r="G54" s="523"/>
      <c r="H54" s="522">
        <v>0.2914324854241504</v>
      </c>
      <c r="I54" s="526"/>
      <c r="J54" s="522">
        <v>7.5206792355621971E-3</v>
      </c>
      <c r="K54" s="523"/>
      <c r="L54" s="522">
        <v>-0.34403085687021939</v>
      </c>
      <c r="M54" s="523"/>
      <c r="N54" s="522">
        <v>0.80793599006393535</v>
      </c>
      <c r="O54" s="523"/>
      <c r="P54" s="519"/>
      <c r="Q54" s="519"/>
      <c r="R54" s="519"/>
      <c r="S54" s="519"/>
    </row>
    <row r="55" spans="2:19" x14ac:dyDescent="0.25">
      <c r="B55" s="154">
        <f t="shared" si="1"/>
        <v>2068</v>
      </c>
      <c r="C55" s="719">
        <f t="shared" si="0"/>
        <v>0.23970586415357217</v>
      </c>
      <c r="D55" s="522">
        <v>2.5109140316657346</v>
      </c>
      <c r="E55" s="707">
        <f t="shared" si="7"/>
        <v>-0.16731893610201132</v>
      </c>
      <c r="F55" s="522">
        <v>0</v>
      </c>
      <c r="G55" s="523"/>
      <c r="H55" s="522">
        <v>0.23970586415357217</v>
      </c>
      <c r="I55" s="526"/>
      <c r="J55" s="522">
        <v>0</v>
      </c>
      <c r="K55" s="523"/>
      <c r="L55" s="522">
        <v>-0.39872710047144966</v>
      </c>
      <c r="M55" s="523"/>
      <c r="N55" s="522">
        <v>0.72630534329209517</v>
      </c>
      <c r="O55" s="523"/>
      <c r="P55" s="519"/>
      <c r="Q55" s="519"/>
      <c r="R55" s="519"/>
      <c r="S55" s="519"/>
    </row>
    <row r="56" spans="2:19" x14ac:dyDescent="0.25">
      <c r="B56" s="154">
        <f t="shared" si="1"/>
        <v>2069</v>
      </c>
      <c r="C56" s="719">
        <f t="shared" si="0"/>
        <v>0.19637375916923447</v>
      </c>
      <c r="D56" s="522">
        <v>2.3435950955637233</v>
      </c>
      <c r="E56" s="707">
        <f t="shared" si="7"/>
        <v>-0.16731893610201132</v>
      </c>
      <c r="F56" s="522">
        <v>0</v>
      </c>
      <c r="G56" s="523"/>
      <c r="H56" s="522">
        <v>0.19637375916923447</v>
      </c>
      <c r="I56" s="526"/>
      <c r="J56" s="522">
        <v>0</v>
      </c>
      <c r="K56" s="523"/>
      <c r="L56" s="522">
        <v>-0.45342334407267992</v>
      </c>
      <c r="M56" s="523"/>
      <c r="N56" s="522">
        <v>0.65271571255333249</v>
      </c>
      <c r="O56" s="523"/>
      <c r="P56" s="519"/>
      <c r="Q56" s="519"/>
      <c r="R56" s="519"/>
      <c r="S56" s="519"/>
    </row>
    <row r="57" spans="2:19" x14ac:dyDescent="0.25">
      <c r="B57" s="154">
        <f t="shared" si="1"/>
        <v>2070</v>
      </c>
      <c r="C57" s="719">
        <f t="shared" si="0"/>
        <v>0.16023057056779202</v>
      </c>
      <c r="D57" s="522">
        <v>2.1762761594617119</v>
      </c>
      <c r="E57" s="707">
        <f t="shared" si="7"/>
        <v>-0.16731893610201132</v>
      </c>
      <c r="F57" s="522">
        <v>0</v>
      </c>
      <c r="G57" s="523"/>
      <c r="H57" s="522">
        <v>0.16023057056779202</v>
      </c>
      <c r="I57" s="526"/>
      <c r="J57" s="522">
        <v>0</v>
      </c>
      <c r="K57" s="523"/>
      <c r="L57" s="522">
        <v>-0.50811958767391019</v>
      </c>
      <c r="M57" s="523"/>
      <c r="N57" s="522">
        <v>0.58640302623625207</v>
      </c>
      <c r="O57" s="523"/>
      <c r="P57" s="519"/>
      <c r="Q57" s="519"/>
      <c r="R57" s="519"/>
      <c r="S57" s="519"/>
    </row>
    <row r="58" spans="2:19" x14ac:dyDescent="0.25">
      <c r="B58" s="154">
        <f t="shared" si="1"/>
        <v>2071</v>
      </c>
      <c r="C58" s="719">
        <f t="shared" si="0"/>
        <v>0.13021391966937404</v>
      </c>
      <c r="D58" s="522">
        <v>2.0089572233597006</v>
      </c>
      <c r="E58" s="707">
        <f t="shared" si="7"/>
        <v>-0.16731893610201132</v>
      </c>
      <c r="F58" s="522">
        <v>0</v>
      </c>
      <c r="G58" s="523"/>
      <c r="H58" s="522">
        <v>0.13021391966937404</v>
      </c>
      <c r="I58" s="526"/>
      <c r="J58" s="522">
        <v>0</v>
      </c>
      <c r="K58" s="523"/>
      <c r="L58" s="522">
        <v>-0.56281583127514045</v>
      </c>
      <c r="M58" s="523"/>
      <c r="N58" s="522">
        <v>0.52667192216117442</v>
      </c>
      <c r="O58" s="523"/>
      <c r="P58" s="519"/>
      <c r="Q58" s="519"/>
      <c r="R58" s="519"/>
      <c r="S58" s="519"/>
    </row>
    <row r="59" spans="2:19" x14ac:dyDescent="0.25">
      <c r="B59" s="154">
        <f t="shared" si="1"/>
        <v>2072</v>
      </c>
      <c r="C59" s="719">
        <f t="shared" si="0"/>
        <v>0.10539317146692628</v>
      </c>
      <c r="D59" s="522">
        <v>1.8416382872576893</v>
      </c>
      <c r="E59" s="707">
        <f t="shared" si="7"/>
        <v>-0.16731893610201132</v>
      </c>
      <c r="F59" s="522">
        <v>0</v>
      </c>
      <c r="G59" s="523"/>
      <c r="H59" s="522">
        <v>0.10539317146692628</v>
      </c>
      <c r="I59" s="526"/>
      <c r="J59" s="522">
        <v>0</v>
      </c>
      <c r="K59" s="523"/>
      <c r="L59" s="522">
        <v>-0.61751207487637072</v>
      </c>
      <c r="M59" s="523"/>
      <c r="N59" s="522">
        <v>0.47289013010306835</v>
      </c>
      <c r="O59" s="523"/>
      <c r="P59" s="519"/>
      <c r="Q59" s="519"/>
      <c r="R59" s="519"/>
      <c r="S59" s="519"/>
    </row>
    <row r="60" spans="2:19" x14ac:dyDescent="0.25">
      <c r="B60" s="154">
        <f t="shared" si="1"/>
        <v>2073</v>
      </c>
      <c r="C60" s="719">
        <f t="shared" si="0"/>
        <v>8.4957832941543979E-2</v>
      </c>
      <c r="D60" s="522">
        <v>1.674319351155678</v>
      </c>
      <c r="E60" s="707">
        <f t="shared" si="7"/>
        <v>-0.16731893610201132</v>
      </c>
      <c r="F60" s="522">
        <v>0</v>
      </c>
      <c r="G60" s="523"/>
      <c r="H60" s="522">
        <v>8.4957832941543979E-2</v>
      </c>
      <c r="I60" s="526"/>
      <c r="J60" s="522">
        <v>0</v>
      </c>
      <c r="K60" s="523"/>
      <c r="L60" s="522">
        <v>-0.67220831847760099</v>
      </c>
      <c r="M60" s="523"/>
      <c r="N60" s="522">
        <v>0.42448322810567429</v>
      </c>
      <c r="O60" s="523"/>
      <c r="P60" s="519"/>
      <c r="Q60" s="519"/>
      <c r="R60" s="519"/>
      <c r="S60" s="519"/>
    </row>
    <row r="61" spans="2:19" x14ac:dyDescent="0.25">
      <c r="B61" s="154">
        <f t="shared" si="1"/>
        <v>2074</v>
      </c>
      <c r="C61" s="719">
        <f t="shared" si="0"/>
        <v>6.4522494416161674E-2</v>
      </c>
      <c r="D61" s="522">
        <v>1.5070004150536667</v>
      </c>
      <c r="E61" s="707">
        <f t="shared" si="7"/>
        <v>-0.16731893610201132</v>
      </c>
      <c r="F61" s="522">
        <v>0</v>
      </c>
      <c r="G61" s="523"/>
      <c r="H61" s="522">
        <v>6.4522494416161674E-2</v>
      </c>
      <c r="I61" s="526"/>
      <c r="J61" s="522">
        <v>0</v>
      </c>
      <c r="K61" s="523"/>
      <c r="L61" s="522">
        <v>-0.72690456207883125</v>
      </c>
      <c r="M61" s="523"/>
      <c r="N61" s="522">
        <v>0.38092976203316153</v>
      </c>
      <c r="O61" s="523"/>
      <c r="P61" s="519"/>
      <c r="Q61" s="519"/>
      <c r="R61" s="519"/>
      <c r="S61" s="519"/>
    </row>
    <row r="62" spans="2:19" x14ac:dyDescent="0.25">
      <c r="B62" s="154">
        <f t="shared" si="1"/>
        <v>2075</v>
      </c>
      <c r="C62" s="719">
        <f t="shared" si="0"/>
        <v>4.408715589077937E-2</v>
      </c>
      <c r="D62" s="522">
        <v>1.3396814789516553</v>
      </c>
      <c r="E62" s="707">
        <f t="shared" si="7"/>
        <v>-0.16731893610201132</v>
      </c>
      <c r="F62" s="522">
        <v>0</v>
      </c>
      <c r="G62" s="523"/>
      <c r="H62" s="522">
        <v>4.408715589077937E-2</v>
      </c>
      <c r="I62" s="526"/>
      <c r="J62" s="522">
        <v>0</v>
      </c>
      <c r="K62" s="523"/>
      <c r="L62" s="522">
        <v>-0.78160080568006152</v>
      </c>
      <c r="M62" s="523"/>
      <c r="N62" s="522">
        <v>0.34175671515642225</v>
      </c>
      <c r="O62" s="523"/>
      <c r="P62" s="519"/>
      <c r="Q62" s="519"/>
      <c r="R62" s="519"/>
      <c r="S62" s="519"/>
    </row>
    <row r="63" spans="2:19" x14ac:dyDescent="0.25">
      <c r="B63" s="154">
        <f t="shared" si="1"/>
        <v>2076</v>
      </c>
      <c r="C63" s="719">
        <f t="shared" si="0"/>
        <v>2.3651817365397065E-2</v>
      </c>
      <c r="D63" s="522">
        <v>1.172362542849644</v>
      </c>
      <c r="E63" s="707">
        <f t="shared" si="7"/>
        <v>-0.16731893610201132</v>
      </c>
      <c r="F63" s="522">
        <v>0</v>
      </c>
      <c r="G63" s="523"/>
      <c r="H63" s="522">
        <v>2.3651817365397065E-2</v>
      </c>
      <c r="I63" s="526"/>
      <c r="J63" s="522">
        <v>0</v>
      </c>
      <c r="K63" s="523"/>
      <c r="L63" s="522">
        <v>-0.83629704928129178</v>
      </c>
      <c r="M63" s="523"/>
      <c r="N63" s="522">
        <v>0.30653531268678424</v>
      </c>
      <c r="O63" s="523"/>
      <c r="P63" s="519"/>
      <c r="Q63" s="519"/>
      <c r="R63" s="519"/>
      <c r="S63" s="519"/>
    </row>
    <row r="64" spans="2:19" x14ac:dyDescent="0.25">
      <c r="B64" s="154">
        <f t="shared" si="1"/>
        <v>2077</v>
      </c>
      <c r="C64" s="719">
        <f t="shared" ref="C64:C87" si="8">IF($C$2=1,D64,IF($C$2=2,F64,IF($C$2=3,H64,IF($C$2=4,J64,IF($C$2=5,L64,N64)))))</f>
        <v>3.2164788400147609E-3</v>
      </c>
      <c r="D64" s="522">
        <v>1.0050436067476327</v>
      </c>
      <c r="E64" s="707">
        <f t="shared" si="7"/>
        <v>-0.16731893610201132</v>
      </c>
      <c r="F64" s="522">
        <v>0</v>
      </c>
      <c r="G64" s="523"/>
      <c r="H64" s="522">
        <v>3.2164788400147609E-3</v>
      </c>
      <c r="I64" s="526"/>
      <c r="J64" s="522">
        <v>0</v>
      </c>
      <c r="K64" s="523"/>
      <c r="L64" s="522">
        <v>-0.89099329288252205</v>
      </c>
      <c r="M64" s="523"/>
      <c r="N64" s="522">
        <v>0.27487714490706949</v>
      </c>
      <c r="O64" s="523"/>
      <c r="P64" s="519"/>
      <c r="Q64" s="519"/>
      <c r="R64" s="519"/>
      <c r="S64" s="519"/>
    </row>
    <row r="65" spans="2:19" x14ac:dyDescent="0.25">
      <c r="B65" s="154">
        <f t="shared" ref="B65:B87" si="9">B64+1</f>
        <v>2078</v>
      </c>
      <c r="C65" s="719">
        <f t="shared" si="8"/>
        <v>0</v>
      </c>
      <c r="D65" s="522">
        <v>0.83772467064562139</v>
      </c>
      <c r="E65" s="707">
        <f t="shared" si="7"/>
        <v>-0.16731893610201132</v>
      </c>
      <c r="F65" s="522">
        <v>0</v>
      </c>
      <c r="G65" s="523"/>
      <c r="H65" s="522">
        <v>0</v>
      </c>
      <c r="I65" s="526"/>
      <c r="J65" s="522">
        <v>0</v>
      </c>
      <c r="K65" s="523"/>
      <c r="L65" s="522">
        <v>-0.94568953648375231</v>
      </c>
      <c r="M65" s="523"/>
      <c r="N65" s="522">
        <v>0.24643059178962146</v>
      </c>
      <c r="O65" s="523"/>
      <c r="P65" s="519"/>
      <c r="Q65" s="519"/>
      <c r="R65" s="519"/>
      <c r="S65" s="519"/>
    </row>
    <row r="66" spans="2:19" x14ac:dyDescent="0.25">
      <c r="B66" s="154">
        <f t="shared" si="9"/>
        <v>2079</v>
      </c>
      <c r="C66" s="719">
        <f t="shared" si="8"/>
        <v>0</v>
      </c>
      <c r="D66" s="522">
        <v>0.67040573454361008</v>
      </c>
      <c r="E66" s="707">
        <f t="shared" si="7"/>
        <v>-0.16731893610201132</v>
      </c>
      <c r="F66" s="522">
        <v>0</v>
      </c>
      <c r="G66" s="523"/>
      <c r="H66" s="522">
        <v>0</v>
      </c>
      <c r="I66" s="526"/>
      <c r="J66" s="522">
        <v>0</v>
      </c>
      <c r="K66" s="523"/>
      <c r="L66" s="522">
        <v>-1.0003857800849825</v>
      </c>
      <c r="M66" s="523"/>
      <c r="N66" s="522">
        <v>0.22087753163225221</v>
      </c>
      <c r="O66" s="523"/>
      <c r="P66" s="519"/>
      <c r="Q66" s="519"/>
      <c r="R66" s="519"/>
      <c r="S66" s="519"/>
    </row>
    <row r="67" spans="2:19" x14ac:dyDescent="0.25">
      <c r="B67" s="154">
        <f t="shared" si="9"/>
        <v>2080</v>
      </c>
      <c r="C67" s="719">
        <f t="shared" si="8"/>
        <v>0</v>
      </c>
      <c r="D67" s="522">
        <v>0.50308679844159876</v>
      </c>
      <c r="E67" s="707">
        <f t="shared" si="7"/>
        <v>-0.16731893610201132</v>
      </c>
      <c r="F67" s="522">
        <v>0</v>
      </c>
      <c r="G67" s="523"/>
      <c r="H67" s="522">
        <v>0</v>
      </c>
      <c r="I67" s="526"/>
      <c r="J67" s="522">
        <v>0</v>
      </c>
      <c r="K67" s="523"/>
      <c r="L67" s="522">
        <v>-1.0550820236862126</v>
      </c>
      <c r="M67" s="523"/>
      <c r="N67" s="522">
        <v>0.19793031620282409</v>
      </c>
      <c r="O67" s="523"/>
      <c r="P67" s="519"/>
      <c r="Q67" s="519"/>
      <c r="R67" s="519"/>
      <c r="S67" s="519"/>
    </row>
    <row r="68" spans="2:19" x14ac:dyDescent="0.25">
      <c r="B68" s="154">
        <f t="shared" si="9"/>
        <v>2081</v>
      </c>
      <c r="C68" s="719">
        <f t="shared" si="8"/>
        <v>0</v>
      </c>
      <c r="D68" s="522">
        <v>0.33576786233958744</v>
      </c>
      <c r="E68" s="707">
        <f t="shared" si="7"/>
        <v>-0.16731893610201132</v>
      </c>
      <c r="F68" s="522">
        <v>0</v>
      </c>
      <c r="G68" s="523"/>
      <c r="H68" s="522">
        <v>0</v>
      </c>
      <c r="I68" s="526"/>
      <c r="J68" s="522">
        <v>0</v>
      </c>
      <c r="K68" s="523"/>
      <c r="L68" s="522">
        <v>-1.1097782672874428</v>
      </c>
      <c r="M68" s="523"/>
      <c r="N68" s="522">
        <v>0.17732899509155997</v>
      </c>
      <c r="O68" s="523"/>
      <c r="P68" s="519"/>
      <c r="Q68" s="519"/>
      <c r="R68" s="519"/>
      <c r="S68" s="519"/>
    </row>
    <row r="69" spans="2:19" x14ac:dyDescent="0.25">
      <c r="B69" s="154">
        <f t="shared" si="9"/>
        <v>2082</v>
      </c>
      <c r="C69" s="719">
        <f t="shared" si="8"/>
        <v>0</v>
      </c>
      <c r="D69" s="522">
        <v>0.16844892623757612</v>
      </c>
      <c r="E69" s="707">
        <f t="shared" si="7"/>
        <v>-0.16731893610201132</v>
      </c>
      <c r="F69" s="522">
        <v>0</v>
      </c>
      <c r="G69" s="523"/>
      <c r="H69" s="522">
        <v>0</v>
      </c>
      <c r="I69" s="526"/>
      <c r="J69" s="522">
        <v>0</v>
      </c>
      <c r="K69" s="523"/>
      <c r="L69" s="522">
        <v>-1.1644745108886729</v>
      </c>
      <c r="M69" s="523"/>
      <c r="N69" s="522">
        <v>0.1588387723695095</v>
      </c>
      <c r="O69" s="523"/>
      <c r="P69" s="519"/>
      <c r="Q69" s="519"/>
      <c r="R69" s="519"/>
      <c r="S69" s="519"/>
    </row>
    <row r="70" spans="2:19" x14ac:dyDescent="0.25">
      <c r="B70" s="154">
        <f t="shared" si="9"/>
        <v>2083</v>
      </c>
      <c r="C70" s="719">
        <f t="shared" si="8"/>
        <v>0</v>
      </c>
      <c r="D70" s="522">
        <v>1.1299901355648068E-3</v>
      </c>
      <c r="E70" s="707">
        <f t="shared" si="7"/>
        <v>-0.16731893610201132</v>
      </c>
      <c r="F70" s="522">
        <v>0</v>
      </c>
      <c r="G70" s="523"/>
      <c r="H70" s="522">
        <v>0</v>
      </c>
      <c r="I70" s="526"/>
      <c r="J70" s="522">
        <v>0</v>
      </c>
      <c r="K70" s="523"/>
      <c r="L70" s="522">
        <v>-1.2191707544899031</v>
      </c>
      <c r="M70" s="523"/>
      <c r="N70" s="522">
        <v>0.14224767919457659</v>
      </c>
      <c r="O70" s="523"/>
      <c r="P70" s="519"/>
      <c r="Q70" s="519"/>
      <c r="R70" s="519"/>
      <c r="S70" s="519"/>
    </row>
    <row r="71" spans="2:19" x14ac:dyDescent="0.25">
      <c r="B71" s="154">
        <f t="shared" si="9"/>
        <v>2084</v>
      </c>
      <c r="C71" s="719">
        <f t="shared" si="8"/>
        <v>0</v>
      </c>
      <c r="D71" s="522">
        <v>0</v>
      </c>
      <c r="E71" s="707">
        <f t="shared" si="7"/>
        <v>-1.1299901355648068E-3</v>
      </c>
      <c r="F71" s="522">
        <v>0</v>
      </c>
      <c r="G71" s="523"/>
      <c r="H71" s="522">
        <v>0</v>
      </c>
      <c r="I71" s="526"/>
      <c r="J71" s="522">
        <v>0</v>
      </c>
      <c r="K71" s="523"/>
      <c r="L71" s="522">
        <v>-1.2738669980911332</v>
      </c>
      <c r="M71" s="523"/>
      <c r="N71" s="522">
        <v>0.12736444665370228</v>
      </c>
      <c r="O71" s="523"/>
      <c r="P71" s="519"/>
      <c r="Q71" s="519"/>
      <c r="R71" s="519"/>
      <c r="S71" s="519"/>
    </row>
    <row r="72" spans="2:19" x14ac:dyDescent="0.25">
      <c r="B72" s="154">
        <f t="shared" si="9"/>
        <v>2085</v>
      </c>
      <c r="C72" s="719">
        <f t="shared" si="8"/>
        <v>0</v>
      </c>
      <c r="D72" s="522">
        <v>0</v>
      </c>
      <c r="E72" s="707">
        <f t="shared" si="7"/>
        <v>0</v>
      </c>
      <c r="F72" s="522">
        <v>0</v>
      </c>
      <c r="G72" s="523"/>
      <c r="H72" s="522">
        <v>0</v>
      </c>
      <c r="I72" s="526"/>
      <c r="J72" s="522">
        <v>0</v>
      </c>
      <c r="K72" s="523"/>
      <c r="L72" s="522">
        <v>-1.3285632416923634</v>
      </c>
      <c r="M72" s="523"/>
      <c r="N72" s="522">
        <v>0.11401656384966297</v>
      </c>
      <c r="O72" s="523"/>
      <c r="P72" s="519"/>
      <c r="Q72" s="519"/>
      <c r="R72" s="519"/>
      <c r="S72" s="519"/>
    </row>
    <row r="73" spans="2:19" x14ac:dyDescent="0.25">
      <c r="B73" s="154">
        <f t="shared" si="9"/>
        <v>2086</v>
      </c>
      <c r="C73" s="719">
        <f t="shared" si="8"/>
        <v>0</v>
      </c>
      <c r="D73" s="522">
        <v>0</v>
      </c>
      <c r="E73" s="707">
        <f t="shared" si="7"/>
        <v>0</v>
      </c>
      <c r="F73" s="522">
        <v>0</v>
      </c>
      <c r="G73" s="523"/>
      <c r="H73" s="522">
        <v>0</v>
      </c>
      <c r="I73" s="526"/>
      <c r="J73" s="522">
        <v>0</v>
      </c>
      <c r="K73" s="523"/>
      <c r="L73" s="522">
        <v>-1.3832594852935935</v>
      </c>
      <c r="M73" s="523"/>
      <c r="N73" s="522">
        <v>0.10204850700748014</v>
      </c>
      <c r="O73" s="523"/>
      <c r="P73" s="519"/>
      <c r="Q73" s="519"/>
      <c r="R73" s="519"/>
      <c r="S73" s="519"/>
    </row>
    <row r="74" spans="2:19" x14ac:dyDescent="0.25">
      <c r="B74" s="154">
        <f t="shared" si="9"/>
        <v>2087</v>
      </c>
      <c r="C74" s="719">
        <f t="shared" si="8"/>
        <v>0</v>
      </c>
      <c r="D74" s="522">
        <v>0</v>
      </c>
      <c r="E74" s="707">
        <f t="shared" si="7"/>
        <v>0</v>
      </c>
      <c r="F74" s="522">
        <v>0</v>
      </c>
      <c r="G74" s="523"/>
      <c r="H74" s="522">
        <v>0</v>
      </c>
      <c r="I74" s="526"/>
      <c r="J74" s="522">
        <v>0</v>
      </c>
      <c r="K74" s="523"/>
      <c r="L74" s="522">
        <v>-1.4379557288948237</v>
      </c>
      <c r="M74" s="523"/>
      <c r="N74" s="522">
        <v>9.1320126167777516E-2</v>
      </c>
      <c r="O74" s="523"/>
      <c r="P74" s="519"/>
      <c r="Q74" s="519"/>
      <c r="R74" s="519"/>
      <c r="S74" s="519"/>
    </row>
    <row r="75" spans="2:19" x14ac:dyDescent="0.25">
      <c r="B75" s="154">
        <f t="shared" si="9"/>
        <v>2088</v>
      </c>
      <c r="C75" s="719">
        <f t="shared" si="8"/>
        <v>0</v>
      </c>
      <c r="D75" s="522">
        <v>0</v>
      </c>
      <c r="E75" s="707">
        <f t="shared" si="7"/>
        <v>0</v>
      </c>
      <c r="F75" s="522">
        <v>0</v>
      </c>
      <c r="G75" s="523"/>
      <c r="H75" s="522">
        <v>0</v>
      </c>
      <c r="I75" s="526"/>
      <c r="J75" s="522">
        <v>0</v>
      </c>
      <c r="K75" s="523"/>
      <c r="L75" s="522">
        <v>-1.4926519724960539</v>
      </c>
      <c r="M75" s="523"/>
      <c r="N75" s="522">
        <v>8.1705176836352256E-2</v>
      </c>
      <c r="O75" s="523"/>
      <c r="P75" s="519"/>
      <c r="Q75" s="519"/>
      <c r="R75" s="519"/>
      <c r="S75" s="519"/>
    </row>
    <row r="76" spans="2:19" x14ac:dyDescent="0.25">
      <c r="B76" s="154">
        <f t="shared" si="9"/>
        <v>2089</v>
      </c>
      <c r="C76" s="719">
        <f t="shared" si="8"/>
        <v>0</v>
      </c>
      <c r="D76" s="522">
        <v>0</v>
      </c>
      <c r="E76" s="707">
        <f t="shared" si="7"/>
        <v>0</v>
      </c>
      <c r="F76" s="522">
        <v>0</v>
      </c>
      <c r="G76" s="523"/>
      <c r="H76" s="522">
        <v>0</v>
      </c>
      <c r="I76" s="526"/>
      <c r="J76" s="522">
        <v>0</v>
      </c>
      <c r="K76" s="523"/>
      <c r="L76" s="522">
        <v>-1.5</v>
      </c>
      <c r="M76" s="523"/>
      <c r="N76" s="522">
        <v>7.3089984757111703E-2</v>
      </c>
      <c r="O76" s="523"/>
      <c r="P76" s="519"/>
      <c r="Q76" s="519"/>
      <c r="R76" s="519"/>
      <c r="S76" s="519"/>
    </row>
    <row r="77" spans="2:19" x14ac:dyDescent="0.25">
      <c r="B77" s="154">
        <f t="shared" si="9"/>
        <v>2090</v>
      </c>
      <c r="C77" s="719">
        <f t="shared" si="8"/>
        <v>0</v>
      </c>
      <c r="D77" s="522">
        <v>0</v>
      </c>
      <c r="E77" s="707">
        <f t="shared" si="7"/>
        <v>0</v>
      </c>
      <c r="F77" s="522">
        <v>0</v>
      </c>
      <c r="G77" s="523"/>
      <c r="H77" s="522">
        <v>0</v>
      </c>
      <c r="I77" s="526"/>
      <c r="J77" s="522">
        <v>0</v>
      </c>
      <c r="K77" s="523"/>
      <c r="L77" s="522">
        <v>-1.5</v>
      </c>
      <c r="M77" s="523"/>
      <c r="N77" s="522">
        <v>6.5372232760000704E-2</v>
      </c>
      <c r="O77" s="523"/>
      <c r="P77" s="519"/>
      <c r="Q77" s="519"/>
      <c r="R77" s="519"/>
      <c r="S77" s="519"/>
    </row>
    <row r="78" spans="2:19" x14ac:dyDescent="0.25">
      <c r="B78" s="154">
        <f t="shared" si="9"/>
        <v>2091</v>
      </c>
      <c r="C78" s="719">
        <f t="shared" si="8"/>
        <v>0</v>
      </c>
      <c r="D78" s="522">
        <v>0</v>
      </c>
      <c r="E78" s="707">
        <f t="shared" si="7"/>
        <v>0</v>
      </c>
      <c r="F78" s="522">
        <v>0</v>
      </c>
      <c r="G78" s="523"/>
      <c r="H78" s="522">
        <v>0</v>
      </c>
      <c r="I78" s="526"/>
      <c r="J78" s="522">
        <v>0</v>
      </c>
      <c r="K78" s="523"/>
      <c r="L78" s="522">
        <v>-1.5</v>
      </c>
      <c r="M78" s="523"/>
      <c r="N78" s="522">
        <v>5.8459859398122205E-2</v>
      </c>
      <c r="O78" s="523"/>
      <c r="P78" s="519"/>
      <c r="Q78" s="519"/>
      <c r="R78" s="519"/>
      <c r="S78" s="519"/>
    </row>
    <row r="79" spans="2:19" x14ac:dyDescent="0.25">
      <c r="B79" s="154">
        <f t="shared" si="9"/>
        <v>2092</v>
      </c>
      <c r="C79" s="719">
        <f t="shared" si="8"/>
        <v>0</v>
      </c>
      <c r="D79" s="522">
        <v>0</v>
      </c>
      <c r="E79" s="707">
        <f t="shared" si="7"/>
        <v>0</v>
      </c>
      <c r="F79" s="522">
        <v>0</v>
      </c>
      <c r="G79" s="523"/>
      <c r="H79" s="522">
        <v>0</v>
      </c>
      <c r="I79" s="526"/>
      <c r="J79" s="522">
        <v>0</v>
      </c>
      <c r="K79" s="523"/>
      <c r="L79" s="522">
        <v>-1.5</v>
      </c>
      <c r="M79" s="523"/>
      <c r="N79" s="522">
        <v>5.2270059823966819E-2</v>
      </c>
      <c r="O79" s="523"/>
      <c r="P79" s="519"/>
      <c r="Q79" s="519"/>
      <c r="R79" s="519"/>
      <c r="S79" s="519"/>
    </row>
    <row r="80" spans="2:19" x14ac:dyDescent="0.25">
      <c r="B80" s="154">
        <f t="shared" si="9"/>
        <v>2093</v>
      </c>
      <c r="C80" s="719">
        <f t="shared" si="8"/>
        <v>0</v>
      </c>
      <c r="D80" s="522">
        <v>0</v>
      </c>
      <c r="E80" s="707">
        <f t="shared" si="7"/>
        <v>0</v>
      </c>
      <c r="F80" s="522">
        <v>0</v>
      </c>
      <c r="G80" s="523"/>
      <c r="H80" s="522">
        <v>0</v>
      </c>
      <c r="I80" s="526"/>
      <c r="J80" s="522">
        <v>0</v>
      </c>
      <c r="K80" s="523"/>
      <c r="L80" s="522">
        <v>-1.5</v>
      </c>
      <c r="M80" s="523"/>
      <c r="N80" s="522">
        <v>4.6728380058784935E-2</v>
      </c>
      <c r="O80" s="523"/>
      <c r="P80" s="519"/>
      <c r="Q80" s="519"/>
      <c r="R80" s="519"/>
      <c r="S80" s="519"/>
    </row>
    <row r="81" spans="2:19" x14ac:dyDescent="0.25">
      <c r="B81" s="154">
        <f t="shared" si="9"/>
        <v>2094</v>
      </c>
      <c r="C81" s="719">
        <f t="shared" si="8"/>
        <v>0</v>
      </c>
      <c r="D81" s="522">
        <v>0</v>
      </c>
      <c r="E81" s="707">
        <f t="shared" si="7"/>
        <v>0</v>
      </c>
      <c r="F81" s="522">
        <v>0</v>
      </c>
      <c r="G81" s="523"/>
      <c r="H81" s="522">
        <v>0</v>
      </c>
      <c r="I81" s="526"/>
      <c r="J81" s="522">
        <v>0</v>
      </c>
      <c r="K81" s="523"/>
      <c r="L81" s="522">
        <v>-1.5</v>
      </c>
      <c r="M81" s="523"/>
      <c r="N81" s="522">
        <v>4.1767896479465549E-2</v>
      </c>
      <c r="O81" s="523"/>
      <c r="P81" s="519"/>
      <c r="Q81" s="519"/>
      <c r="R81" s="519"/>
      <c r="S81" s="519"/>
    </row>
    <row r="82" spans="2:19" x14ac:dyDescent="0.25">
      <c r="B82" s="154">
        <f t="shared" si="9"/>
        <v>2095</v>
      </c>
      <c r="C82" s="719">
        <f t="shared" si="8"/>
        <v>0</v>
      </c>
      <c r="D82" s="522">
        <v>0</v>
      </c>
      <c r="E82" s="707">
        <f t="shared" si="7"/>
        <v>0</v>
      </c>
      <c r="F82" s="522">
        <v>0</v>
      </c>
      <c r="G82" s="523"/>
      <c r="H82" s="522">
        <v>0</v>
      </c>
      <c r="I82" s="526"/>
      <c r="J82" s="522">
        <v>0</v>
      </c>
      <c r="K82" s="523"/>
      <c r="L82" s="522">
        <v>-1.5</v>
      </c>
      <c r="M82" s="523"/>
      <c r="N82" s="522">
        <v>3.7328472981704164E-2</v>
      </c>
      <c r="O82" s="523"/>
      <c r="P82" s="519"/>
      <c r="Q82" s="519"/>
      <c r="R82" s="519"/>
      <c r="S82" s="519"/>
    </row>
    <row r="83" spans="2:19" x14ac:dyDescent="0.25">
      <c r="B83" s="154">
        <f t="shared" si="9"/>
        <v>2096</v>
      </c>
      <c r="C83" s="719">
        <f t="shared" si="8"/>
        <v>0</v>
      </c>
      <c r="D83" s="522">
        <v>0</v>
      </c>
      <c r="E83" s="707">
        <f t="shared" si="7"/>
        <v>0</v>
      </c>
      <c r="F83" s="522">
        <v>0</v>
      </c>
      <c r="G83" s="523"/>
      <c r="H83" s="522">
        <v>0</v>
      </c>
      <c r="I83" s="526"/>
      <c r="J83" s="522">
        <v>0</v>
      </c>
      <c r="K83" s="523"/>
      <c r="L83" s="522">
        <v>-1.5</v>
      </c>
      <c r="M83" s="523"/>
      <c r="N83" s="522">
        <v>3.335608887623559E-2</v>
      </c>
      <c r="O83" s="523"/>
      <c r="P83" s="519"/>
      <c r="Q83" s="519"/>
      <c r="R83" s="519"/>
      <c r="S83" s="519"/>
    </row>
    <row r="84" spans="2:19" x14ac:dyDescent="0.25">
      <c r="B84" s="154">
        <f t="shared" si="9"/>
        <v>2097</v>
      </c>
      <c r="C84" s="719">
        <f t="shared" si="8"/>
        <v>0</v>
      </c>
      <c r="D84" s="522">
        <v>0</v>
      </c>
      <c r="E84" s="707">
        <f t="shared" si="7"/>
        <v>0</v>
      </c>
      <c r="F84" s="522">
        <v>0</v>
      </c>
      <c r="G84" s="523"/>
      <c r="H84" s="522">
        <v>0</v>
      </c>
      <c r="I84" s="526"/>
      <c r="J84" s="522">
        <v>0</v>
      </c>
      <c r="K84" s="523"/>
      <c r="L84" s="522">
        <v>-1.5</v>
      </c>
      <c r="M84" s="523"/>
      <c r="N84" s="522">
        <v>2.9802231136209362E-2</v>
      </c>
      <c r="O84" s="523"/>
      <c r="P84" s="519"/>
      <c r="Q84" s="519"/>
      <c r="R84" s="519"/>
      <c r="S84" s="519"/>
    </row>
    <row r="85" spans="2:19" x14ac:dyDescent="0.25">
      <c r="B85" s="154">
        <f t="shared" si="9"/>
        <v>2098</v>
      </c>
      <c r="C85" s="719">
        <f t="shared" si="8"/>
        <v>0</v>
      </c>
      <c r="D85" s="522">
        <v>0</v>
      </c>
      <c r="E85" s="707">
        <f t="shared" si="7"/>
        <v>0</v>
      </c>
      <c r="F85" s="522">
        <v>0</v>
      </c>
      <c r="G85" s="523"/>
      <c r="H85" s="522">
        <v>0</v>
      </c>
      <c r="I85" s="526"/>
      <c r="J85" s="522">
        <v>0</v>
      </c>
      <c r="K85" s="523"/>
      <c r="L85" s="522">
        <v>-1.5</v>
      </c>
      <c r="M85" s="523"/>
      <c r="N85" s="522">
        <v>2.6623345138737514E-2</v>
      </c>
      <c r="O85" s="523"/>
      <c r="P85" s="519"/>
      <c r="Q85" s="519"/>
      <c r="R85" s="519"/>
      <c r="S85" s="519"/>
    </row>
    <row r="86" spans="2:19" x14ac:dyDescent="0.25">
      <c r="B86" s="154">
        <f t="shared" si="9"/>
        <v>2099</v>
      </c>
      <c r="C86" s="719">
        <f t="shared" si="8"/>
        <v>0</v>
      </c>
      <c r="D86" s="522">
        <v>0</v>
      </c>
      <c r="E86" s="707">
        <f t="shared" si="7"/>
        <v>0</v>
      </c>
      <c r="F86" s="522">
        <v>0</v>
      </c>
      <c r="G86" s="523"/>
      <c r="H86" s="522">
        <v>0</v>
      </c>
      <c r="I86" s="526"/>
      <c r="J86" s="522">
        <v>0</v>
      </c>
      <c r="K86" s="523"/>
      <c r="L86" s="522">
        <v>-1.5</v>
      </c>
      <c r="M86" s="523"/>
      <c r="N86" s="522">
        <v>2.3780338533235384E-2</v>
      </c>
      <c r="O86" s="523"/>
      <c r="P86" s="519"/>
      <c r="Q86" s="519"/>
      <c r="R86" s="519"/>
      <c r="S86" s="519"/>
    </row>
    <row r="87" spans="2:19" x14ac:dyDescent="0.25">
      <c r="B87" s="154">
        <f t="shared" si="9"/>
        <v>2100</v>
      </c>
      <c r="C87" s="720">
        <f t="shared" si="8"/>
        <v>0</v>
      </c>
      <c r="D87" s="706">
        <v>0</v>
      </c>
      <c r="E87" s="707">
        <f t="shared" si="7"/>
        <v>0</v>
      </c>
      <c r="F87" s="524">
        <v>0</v>
      </c>
      <c r="G87" s="525"/>
      <c r="H87" s="524">
        <v>0</v>
      </c>
      <c r="I87" s="527"/>
      <c r="J87" s="524">
        <v>0</v>
      </c>
      <c r="K87" s="525"/>
      <c r="L87" s="524">
        <v>-1.5</v>
      </c>
      <c r="M87" s="525"/>
      <c r="N87" s="524">
        <v>2.1238133324281011E-2</v>
      </c>
      <c r="O87" s="525"/>
      <c r="P87" s="519"/>
      <c r="Q87" s="519"/>
      <c r="R87" s="519"/>
      <c r="S87" s="519"/>
    </row>
    <row r="88" spans="2:19" ht="15.75" thickBot="1" x14ac:dyDescent="0.3">
      <c r="B88" s="516" t="s">
        <v>218</v>
      </c>
      <c r="C88" s="721">
        <f>SUM(C7:C87)</f>
        <v>683.96620539064213</v>
      </c>
      <c r="D88" s="716">
        <f>SUM(D7:D87)</f>
        <v>684.03398459643427</v>
      </c>
      <c r="E88" s="717"/>
      <c r="F88" s="716">
        <f>SUM(F7:F87)</f>
        <v>683.68422322118886</v>
      </c>
      <c r="G88" s="717"/>
      <c r="H88" s="716">
        <f>SUM(H7:H87)</f>
        <v>683.96620539064213</v>
      </c>
      <c r="I88" s="718"/>
      <c r="J88" s="716">
        <f>SUM(J7:J87)</f>
        <v>684.02413558693536</v>
      </c>
      <c r="K88" s="717"/>
      <c r="L88" s="716">
        <f>SUM(L7:L87)</f>
        <v>683.54633273267791</v>
      </c>
      <c r="M88" s="717"/>
      <c r="N88" s="716">
        <f>SUM(N7:N87)</f>
        <v>683.82423685821198</v>
      </c>
      <c r="O88" s="717"/>
      <c r="P88" s="519"/>
      <c r="Q88" s="519"/>
      <c r="R88" s="519"/>
      <c r="S88" s="519"/>
    </row>
    <row r="89" spans="2:19" x14ac:dyDescent="0.25">
      <c r="B89" s="366" t="s">
        <v>221</v>
      </c>
      <c r="C89" s="722">
        <f>SUM(C7:C37)</f>
        <v>656.76364635784296</v>
      </c>
      <c r="D89" s="713">
        <f>SUM(D7:D37)</f>
        <v>588.92389802276398</v>
      </c>
      <c r="E89" s="714"/>
      <c r="F89" s="713">
        <f>SUM(F7:F37)</f>
        <v>681.96149198478304</v>
      </c>
      <c r="G89" s="714"/>
      <c r="H89" s="713">
        <f>SUM(H7:H37)</f>
        <v>656.76364635784296</v>
      </c>
      <c r="I89" s="714"/>
      <c r="J89" s="713">
        <f>SUM(J7:J37)</f>
        <v>667.77062911703456</v>
      </c>
      <c r="K89" s="714"/>
      <c r="L89" s="713">
        <f>SUM(L7:L37)</f>
        <v>716.3972365252306</v>
      </c>
      <c r="M89" s="714"/>
      <c r="N89" s="713">
        <f>SUM(N7:N37)</f>
        <v>641.16967506478511</v>
      </c>
      <c r="O89" s="715"/>
      <c r="P89" s="519"/>
      <c r="Q89" s="519"/>
      <c r="R89" s="519"/>
      <c r="S89" s="519"/>
    </row>
    <row r="90" spans="2:19" x14ac:dyDescent="0.25">
      <c r="P90" s="519"/>
      <c r="Q90" s="519"/>
      <c r="R90" s="519"/>
      <c r="S90" s="519"/>
    </row>
    <row r="91" spans="2:19" x14ac:dyDescent="0.25">
      <c r="P91" s="519"/>
      <c r="Q91" s="519"/>
      <c r="R91" s="519"/>
      <c r="S91" s="519"/>
    </row>
    <row r="92" spans="2:19" x14ac:dyDescent="0.25">
      <c r="P92" s="519"/>
      <c r="Q92" s="519"/>
      <c r="R92" s="519"/>
      <c r="S92" s="519"/>
    </row>
    <row r="93" spans="2:19" x14ac:dyDescent="0.25">
      <c r="P93" s="519"/>
      <c r="Q93" s="519"/>
      <c r="R93" s="519"/>
      <c r="S93" s="519"/>
    </row>
    <row r="94" spans="2:19" x14ac:dyDescent="0.25">
      <c r="P94" s="519"/>
      <c r="Q94" s="519"/>
      <c r="R94" s="519"/>
      <c r="S94" s="519"/>
    </row>
    <row r="95" spans="2:19" x14ac:dyDescent="0.25">
      <c r="P95" s="511"/>
      <c r="Q95" s="511"/>
      <c r="R95" s="511"/>
      <c r="S95" s="511"/>
    </row>
  </sheetData>
  <mergeCells count="7">
    <mergeCell ref="N4:O4"/>
    <mergeCell ref="L4:M4"/>
    <mergeCell ref="E2:F2"/>
    <mergeCell ref="D4:E4"/>
    <mergeCell ref="F4:G4"/>
    <mergeCell ref="H4:I4"/>
    <mergeCell ref="J4:K4"/>
  </mergeCells>
  <dataValidations count="1">
    <dataValidation type="list" allowBlank="1" showInputMessage="1" showErrorMessage="1" sqref="C2">
      <formula1>"1,2,3,4,5,6"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00B0F0"/>
    <pageSetUpPr fitToPage="1"/>
  </sheetPr>
  <dimension ref="A1:BA127"/>
  <sheetViews>
    <sheetView zoomScale="160" zoomScaleNormal="160" workbookViewId="0">
      <selection activeCell="O3" sqref="O3"/>
    </sheetView>
  </sheetViews>
  <sheetFormatPr baseColWidth="10" defaultColWidth="11.7109375" defaultRowHeight="11.25" x14ac:dyDescent="0.2"/>
  <cols>
    <col min="1" max="1" width="8.28515625" style="3" customWidth="1"/>
    <col min="2" max="2" width="5.28515625" style="3" customWidth="1"/>
    <col min="3" max="3" width="5.42578125" style="3" customWidth="1"/>
    <col min="4" max="4" width="5.42578125" style="3" bestFit="1" customWidth="1"/>
    <col min="5" max="5" width="5.140625" style="3" customWidth="1"/>
    <col min="6" max="6" width="5.42578125" style="3" customWidth="1"/>
    <col min="7" max="7" width="5.42578125" style="3" bestFit="1" customWidth="1"/>
    <col min="8" max="8" width="5.7109375" style="3" bestFit="1" customWidth="1"/>
    <col min="9" max="9" width="4.85546875" style="3" bestFit="1" customWidth="1"/>
    <col min="10" max="10" width="5.42578125" style="3" bestFit="1" customWidth="1"/>
    <col min="11" max="11" width="5.5703125" style="3" customWidth="1"/>
    <col min="12" max="12" width="5.7109375" style="3" customWidth="1"/>
    <col min="13" max="13" width="7.140625" style="3" customWidth="1"/>
    <col min="14" max="14" width="8.28515625" style="3" bestFit="1" customWidth="1"/>
    <col min="15" max="15" width="8.28515625" style="3" customWidth="1"/>
    <col min="16" max="16" width="6.140625" style="3" customWidth="1"/>
    <col min="17" max="22" width="11.7109375" style="3"/>
    <col min="23" max="28" width="8.28515625" style="3" customWidth="1"/>
    <col min="29" max="16384" width="11.7109375" style="3"/>
  </cols>
  <sheetData>
    <row r="1" spans="1:28" ht="18.399999999999999" customHeight="1" x14ac:dyDescent="0.25">
      <c r="A1" s="15" t="s">
        <v>219</v>
      </c>
      <c r="B1" s="11"/>
      <c r="C1" s="11"/>
      <c r="D1" s="11"/>
      <c r="E1" s="59"/>
      <c r="F1" s="59"/>
      <c r="G1" s="761" t="s">
        <v>35</v>
      </c>
      <c r="H1" s="761"/>
      <c r="I1" s="760" t="s">
        <v>36</v>
      </c>
      <c r="J1" s="760"/>
      <c r="K1" s="760"/>
      <c r="L1" s="760"/>
      <c r="M1" s="760"/>
      <c r="N1" s="760"/>
      <c r="O1" s="438"/>
      <c r="W1" s="438"/>
      <c r="X1" s="438"/>
      <c r="Y1" s="438"/>
      <c r="Z1" s="438"/>
      <c r="AA1" s="438"/>
      <c r="AB1" s="438"/>
    </row>
    <row r="2" spans="1:28" s="2" customFormat="1" ht="15" customHeight="1" x14ac:dyDescent="0.25">
      <c r="A2" s="157" t="s">
        <v>220</v>
      </c>
      <c r="B2" s="11"/>
      <c r="C2" s="11"/>
      <c r="D2" s="11"/>
      <c r="E2" s="59"/>
      <c r="F2" s="59"/>
      <c r="G2" s="7" t="s">
        <v>111</v>
      </c>
      <c r="H2" s="59"/>
      <c r="I2" s="59"/>
      <c r="J2" s="11"/>
      <c r="K2" s="11"/>
      <c r="L2" s="11"/>
      <c r="M2" s="11"/>
      <c r="N2" s="11"/>
      <c r="O2" s="11"/>
      <c r="W2" s="11"/>
      <c r="X2" s="11"/>
      <c r="Y2" s="11"/>
      <c r="Z2" s="11"/>
      <c r="AA2" s="11"/>
      <c r="AB2" s="11"/>
    </row>
    <row r="3" spans="1:28" s="2" customFormat="1" ht="15.75" customHeight="1" x14ac:dyDescent="0.2">
      <c r="A3" s="25" t="s">
        <v>31</v>
      </c>
      <c r="B3" s="11"/>
      <c r="C3" s="11"/>
      <c r="D3" s="11"/>
      <c r="E3" s="59"/>
      <c r="F3" s="59"/>
      <c r="G3" s="59"/>
      <c r="H3" s="762"/>
      <c r="I3" s="762"/>
      <c r="J3" s="11"/>
      <c r="K3" s="11"/>
      <c r="L3" s="11"/>
      <c r="M3" s="11"/>
      <c r="N3" s="11"/>
      <c r="O3" s="11"/>
      <c r="W3" s="11"/>
      <c r="X3" s="11"/>
      <c r="Y3" s="11"/>
      <c r="Z3" s="11"/>
      <c r="AA3" s="11"/>
      <c r="AB3" s="11"/>
    </row>
    <row r="4" spans="1:28" s="2" customFormat="1" ht="10.9" customHeight="1" thickBot="1" x14ac:dyDescent="0.3">
      <c r="A4" s="15"/>
      <c r="B4" s="11"/>
      <c r="C4" s="11"/>
      <c r="D4" s="11"/>
      <c r="E4" s="59"/>
      <c r="F4" s="59"/>
      <c r="G4" s="59"/>
      <c r="H4" s="59"/>
      <c r="I4" s="59"/>
      <c r="J4" s="11"/>
      <c r="K4" s="11"/>
      <c r="L4" s="11"/>
      <c r="M4" s="11"/>
      <c r="N4" s="11"/>
      <c r="O4" s="11"/>
      <c r="W4" s="11"/>
      <c r="X4" s="11"/>
      <c r="Y4" s="11"/>
      <c r="Z4" s="11"/>
      <c r="AA4" s="11"/>
      <c r="AB4" s="11"/>
    </row>
    <row r="5" spans="1:28" s="7" customFormat="1" ht="16.149999999999999" customHeight="1" thickBot="1" x14ac:dyDescent="0.3">
      <c r="A5" s="6"/>
      <c r="B5" s="754" t="s">
        <v>7</v>
      </c>
      <c r="C5" s="755"/>
      <c r="D5" s="755"/>
      <c r="E5" s="756" t="s">
        <v>8</v>
      </c>
      <c r="F5" s="757"/>
      <c r="G5" s="757"/>
      <c r="H5" s="758" t="s">
        <v>9</v>
      </c>
      <c r="I5" s="759"/>
      <c r="J5" s="759"/>
      <c r="K5" s="751" t="s">
        <v>5</v>
      </c>
      <c r="L5" s="752"/>
      <c r="M5" s="752"/>
      <c r="N5" s="753"/>
      <c r="O5" s="151"/>
      <c r="W5" s="151"/>
      <c r="X5" s="151"/>
      <c r="Y5" s="151"/>
      <c r="Z5" s="151"/>
      <c r="AA5" s="151"/>
      <c r="AB5" s="151"/>
    </row>
    <row r="6" spans="1:28" s="7" customFormat="1" ht="16.5" thickBot="1" x14ac:dyDescent="0.25">
      <c r="A6" s="44">
        <v>2050</v>
      </c>
      <c r="B6" s="87" t="s">
        <v>53</v>
      </c>
      <c r="C6" s="88">
        <f>'global path'!$C$37/$K40*B40</f>
        <v>0.7733507691894369</v>
      </c>
      <c r="D6" s="90" t="s">
        <v>21</v>
      </c>
      <c r="E6" s="87" t="s">
        <v>54</v>
      </c>
      <c r="F6" s="88">
        <f>'global path'!$C$37/$K40*E40</f>
        <v>2.5778358972981232</v>
      </c>
      <c r="G6" s="90" t="s">
        <v>21</v>
      </c>
      <c r="H6" s="87" t="s">
        <v>55</v>
      </c>
      <c r="I6" s="88">
        <f>'global path'!$C$37/$K40*H40</f>
        <v>1.0955802563517025</v>
      </c>
      <c r="J6" s="90" t="s">
        <v>21</v>
      </c>
      <c r="K6" s="87" t="s">
        <v>56</v>
      </c>
      <c r="L6" s="89">
        <f>C6+F6+I6</f>
        <v>4.446766922839263</v>
      </c>
      <c r="M6" s="90" t="s">
        <v>21</v>
      </c>
      <c r="N6" s="125"/>
      <c r="O6" s="150"/>
      <c r="W6" s="150"/>
      <c r="X6" s="150"/>
      <c r="Y6" s="150"/>
      <c r="Z6" s="150"/>
      <c r="AA6" s="150"/>
      <c r="AB6" s="150"/>
    </row>
    <row r="7" spans="1:28" s="7" customFormat="1" ht="35.25" x14ac:dyDescent="0.25">
      <c r="A7" s="46" t="s">
        <v>10</v>
      </c>
      <c r="B7" s="126" t="s">
        <v>13</v>
      </c>
      <c r="C7" s="20" t="s">
        <v>12</v>
      </c>
      <c r="D7" s="14" t="s">
        <v>11</v>
      </c>
      <c r="E7" s="13" t="s">
        <v>13</v>
      </c>
      <c r="F7" s="20" t="s">
        <v>12</v>
      </c>
      <c r="G7" s="14" t="s">
        <v>11</v>
      </c>
      <c r="H7" s="13" t="s">
        <v>13</v>
      </c>
      <c r="I7" s="20" t="s">
        <v>12</v>
      </c>
      <c r="J7" s="14" t="s">
        <v>11</v>
      </c>
      <c r="K7" s="13" t="s">
        <v>22</v>
      </c>
      <c r="L7" s="20" t="s">
        <v>23</v>
      </c>
      <c r="M7" s="14" t="s">
        <v>11</v>
      </c>
      <c r="N7" s="91" t="s">
        <v>30</v>
      </c>
      <c r="O7" s="151"/>
      <c r="W7" s="151"/>
      <c r="X7" s="151"/>
      <c r="Y7" s="151"/>
      <c r="Z7" s="151"/>
      <c r="AA7" s="151"/>
      <c r="AB7" s="151"/>
    </row>
    <row r="8" spans="1:28" s="7" customFormat="1" ht="12" x14ac:dyDescent="0.2">
      <c r="A8" s="47"/>
      <c r="B8" s="127" t="s">
        <v>6</v>
      </c>
      <c r="C8" s="108" t="s">
        <v>21</v>
      </c>
      <c r="D8" s="30" t="s">
        <v>0</v>
      </c>
      <c r="E8" s="109" t="s">
        <v>6</v>
      </c>
      <c r="F8" s="108" t="s">
        <v>21</v>
      </c>
      <c r="G8" s="30" t="s">
        <v>0</v>
      </c>
      <c r="H8" s="109" t="s">
        <v>6</v>
      </c>
      <c r="I8" s="108" t="s">
        <v>21</v>
      </c>
      <c r="J8" s="30" t="s">
        <v>0</v>
      </c>
      <c r="K8" s="29" t="s">
        <v>6</v>
      </c>
      <c r="L8" s="108" t="s">
        <v>21</v>
      </c>
      <c r="M8" s="30" t="s">
        <v>0</v>
      </c>
      <c r="N8" s="33"/>
      <c r="O8" s="14"/>
      <c r="W8" s="14"/>
      <c r="X8" s="14"/>
      <c r="Y8" s="14"/>
      <c r="Z8" s="14"/>
      <c r="AA8" s="14"/>
      <c r="AB8" s="14"/>
    </row>
    <row r="9" spans="1:28" s="8" customFormat="1" ht="12.75" x14ac:dyDescent="0.2">
      <c r="A9" s="48">
        <v>2019</v>
      </c>
      <c r="B9" s="131">
        <f>'input data'!C6</f>
        <v>1.2</v>
      </c>
      <c r="C9" s="132">
        <f>'input data'!C8</f>
        <v>21</v>
      </c>
      <c r="D9" s="130">
        <f>C9/B9</f>
        <v>17.5</v>
      </c>
      <c r="E9" s="133">
        <f>'input data'!D6</f>
        <v>4</v>
      </c>
      <c r="F9" s="132">
        <f>'input data'!D8</f>
        <v>19.5</v>
      </c>
      <c r="G9" s="130">
        <f>F9/E9</f>
        <v>4.875</v>
      </c>
      <c r="H9" s="162">
        <f>K9-E9-B9</f>
        <v>1.7000000000000004</v>
      </c>
      <c r="I9" s="163">
        <f>'global path'!$C$6-C9-F9</f>
        <v>1.2277171013052595</v>
      </c>
      <c r="J9" s="130">
        <f>I9/H9</f>
        <v>0.72218653017956425</v>
      </c>
      <c r="K9" s="133">
        <f>'input data'!F6</f>
        <v>6.9</v>
      </c>
      <c r="L9" s="32">
        <f>I9+F9+C9</f>
        <v>41.727717101305259</v>
      </c>
      <c r="M9" s="130">
        <f>L9/K9</f>
        <v>6.047495232073226</v>
      </c>
      <c r="N9" s="660">
        <f>('global path'!$C$6-'global path'!C6)/('global path'!$C$6-'global path'!$C$37)</f>
        <v>0</v>
      </c>
      <c r="O9" s="152"/>
      <c r="W9" s="152"/>
      <c r="X9" s="152"/>
      <c r="Y9" s="152"/>
      <c r="Z9" s="152"/>
      <c r="AA9" s="152"/>
      <c r="AB9" s="152"/>
    </row>
    <row r="10" spans="1:28" s="8" customFormat="1" ht="12.75" x14ac:dyDescent="0.2">
      <c r="A10" s="49">
        <f>A9+1</f>
        <v>2020</v>
      </c>
      <c r="B10" s="128">
        <f t="shared" ref="B10:B39" si="0">B$9*(B$40/B$9)^(($A10-2019)/31)</f>
        <v>1.2</v>
      </c>
      <c r="C10" s="5">
        <f>(1-$N10)*C$9+$N10*C$6</f>
        <v>20.547215458313016</v>
      </c>
      <c r="D10" s="4">
        <f t="shared" ref="D10:D40" si="1">C10/B10</f>
        <v>17.122679548594181</v>
      </c>
      <c r="E10" s="129">
        <f t="shared" ref="E10:E39" si="2">E$9*(E$40/E$9)^(($A10-2019)/31)</f>
        <v>4</v>
      </c>
      <c r="F10" s="5">
        <f>(1-$N10)*F$9+$N10*F$6</f>
        <v>19.121188154787276</v>
      </c>
      <c r="G10" s="4">
        <f t="shared" ref="G10:G40" si="3">F10/E10</f>
        <v>4.7802970386968191</v>
      </c>
      <c r="H10" s="18">
        <f t="shared" ref="H10:H39" si="4">H$9*(H$40/H$9)^(($A10-2019)/31)</f>
        <v>1.7000000000000004</v>
      </c>
      <c r="I10" s="5">
        <f>(1-$N10)*I$9+$N10*I$6</f>
        <v>1.2247591461788552</v>
      </c>
      <c r="J10" s="4">
        <f t="shared" ref="J10:J40" si="5">I10/H10</f>
        <v>0.72044655657579704</v>
      </c>
      <c r="K10" s="129">
        <f>B10+E10+H10</f>
        <v>6.9</v>
      </c>
      <c r="L10" s="19">
        <f>I10+F10+C10</f>
        <v>40.89316275927915</v>
      </c>
      <c r="M10" s="4">
        <f t="shared" ref="M10:M40" si="6">L10/K10</f>
        <v>5.9265453274317608</v>
      </c>
      <c r="N10" s="367">
        <f>('global path'!$C$6-'global path'!C7)/('global path'!$C$6-'global path'!$C$37)</f>
        <v>2.2385543770506142E-2</v>
      </c>
      <c r="O10" s="152"/>
      <c r="W10" s="168"/>
      <c r="X10" s="168"/>
      <c r="Y10" s="168"/>
      <c r="Z10" s="168"/>
      <c r="AA10" s="168"/>
      <c r="AB10" s="168"/>
    </row>
    <row r="11" spans="1:28" s="8" customFormat="1" ht="12.75" x14ac:dyDescent="0.2">
      <c r="A11" s="49">
        <f t="shared" ref="A11:A40" si="7">A10+1</f>
        <v>2021</v>
      </c>
      <c r="B11" s="128">
        <f t="shared" si="0"/>
        <v>1.2</v>
      </c>
      <c r="C11" s="5">
        <f t="shared" ref="C11:C40" si="8">(1-N11)*$C$9+N11*$C$6</f>
        <v>20.030691537716812</v>
      </c>
      <c r="D11" s="4">
        <f t="shared" si="1"/>
        <v>16.692242948097345</v>
      </c>
      <c r="E11" s="129">
        <f t="shared" si="2"/>
        <v>4</v>
      </c>
      <c r="F11" s="5">
        <f t="shared" ref="F11:F40" si="9">(1-$N11)*F$9+$N11*F$6</f>
        <v>18.689050214016273</v>
      </c>
      <c r="G11" s="4">
        <f t="shared" si="3"/>
        <v>4.6722625535040683</v>
      </c>
      <c r="H11" s="18">
        <f t="shared" si="4"/>
        <v>1.7000000000000004</v>
      </c>
      <c r="I11" s="5">
        <f t="shared" ref="I11:I40" si="10">(1-$N11)*I$9+$N11*I$6</f>
        <v>1.2213847938364679</v>
      </c>
      <c r="J11" s="4">
        <f t="shared" si="5"/>
        <v>0.71846164343321628</v>
      </c>
      <c r="K11" s="129">
        <f t="shared" ref="K11:K39" si="11">B11+E11+H11</f>
        <v>6.9</v>
      </c>
      <c r="L11" s="19">
        <f t="shared" ref="L11:L40" si="12">I11+F11+C11</f>
        <v>39.941126545569553</v>
      </c>
      <c r="M11" s="4">
        <f t="shared" si="6"/>
        <v>5.788569064575297</v>
      </c>
      <c r="N11" s="368">
        <f>('global path'!$C$6-'global path'!C8)/('global path'!$C$6-'global path'!$C$37)</f>
        <v>4.7922344982710939E-2</v>
      </c>
      <c r="O11" s="152"/>
      <c r="W11" s="168"/>
      <c r="X11" s="168"/>
      <c r="Y11" s="168"/>
      <c r="Z11" s="168"/>
      <c r="AA11" s="168"/>
      <c r="AB11" s="168"/>
    </row>
    <row r="12" spans="1:28" s="8" customFormat="1" ht="12.75" x14ac:dyDescent="0.2">
      <c r="A12" s="49">
        <f t="shared" si="7"/>
        <v>2022</v>
      </c>
      <c r="B12" s="128">
        <f t="shared" si="0"/>
        <v>1.2</v>
      </c>
      <c r="C12" s="5">
        <f t="shared" si="8"/>
        <v>19.455092518697356</v>
      </c>
      <c r="D12" s="4">
        <f t="shared" si="1"/>
        <v>16.212577098914466</v>
      </c>
      <c r="E12" s="129">
        <f t="shared" si="2"/>
        <v>4</v>
      </c>
      <c r="F12" s="5">
        <f t="shared" si="9"/>
        <v>18.207488441423497</v>
      </c>
      <c r="G12" s="4">
        <f t="shared" si="3"/>
        <v>4.5518721103558741</v>
      </c>
      <c r="H12" s="18">
        <f t="shared" si="4"/>
        <v>1.7000000000000004</v>
      </c>
      <c r="I12" s="5">
        <f t="shared" si="10"/>
        <v>1.2176245151336695</v>
      </c>
      <c r="J12" s="4">
        <f t="shared" si="5"/>
        <v>0.71624971478451127</v>
      </c>
      <c r="K12" s="129">
        <f t="shared" si="11"/>
        <v>6.9</v>
      </c>
      <c r="L12" s="19">
        <f t="shared" si="12"/>
        <v>38.88020547525452</v>
      </c>
      <c r="M12" s="4">
        <f t="shared" si="6"/>
        <v>5.6348123877180463</v>
      </c>
      <c r="N12" s="368">
        <f>('global path'!$C$6-'global path'!C9)/('global path'!$C$6-'global path'!$C$37)</f>
        <v>7.6379802886448481E-2</v>
      </c>
      <c r="O12" s="152"/>
      <c r="W12" s="168"/>
      <c r="X12" s="168"/>
      <c r="Y12" s="168"/>
      <c r="Z12" s="168"/>
      <c r="AA12" s="168"/>
      <c r="AB12" s="168"/>
    </row>
    <row r="13" spans="1:28" s="8" customFormat="1" ht="12.75" x14ac:dyDescent="0.2">
      <c r="A13" s="49">
        <f t="shared" si="7"/>
        <v>2023</v>
      </c>
      <c r="B13" s="128">
        <f t="shared" si="0"/>
        <v>1.2</v>
      </c>
      <c r="C13" s="5">
        <f t="shared" si="8"/>
        <v>18.825570883122548</v>
      </c>
      <c r="D13" s="4">
        <f t="shared" si="1"/>
        <v>15.687975735935458</v>
      </c>
      <c r="E13" s="129">
        <f t="shared" si="2"/>
        <v>4</v>
      </c>
      <c r="F13" s="5">
        <f t="shared" si="9"/>
        <v>17.680813543281147</v>
      </c>
      <c r="G13" s="4">
        <f t="shared" si="3"/>
        <v>4.4202033858202867</v>
      </c>
      <c r="H13" s="18">
        <f t="shared" si="4"/>
        <v>1.7000000000000004</v>
      </c>
      <c r="I13" s="5">
        <f t="shared" si="10"/>
        <v>1.2135119702526249</v>
      </c>
      <c r="J13" s="4">
        <f t="shared" si="5"/>
        <v>0.71383057073683798</v>
      </c>
      <c r="K13" s="129">
        <f t="shared" si="11"/>
        <v>6.9</v>
      </c>
      <c r="L13" s="19">
        <f t="shared" si="12"/>
        <v>37.719896396656324</v>
      </c>
      <c r="M13" s="4">
        <f t="shared" si="6"/>
        <v>5.4666516516893218</v>
      </c>
      <c r="N13" s="368">
        <f>('global path'!$C$6-'global path'!C10)/('global path'!$C$6-'global path'!$C$37)</f>
        <v>0.10750318018889754</v>
      </c>
      <c r="O13" s="152"/>
      <c r="W13" s="168"/>
      <c r="X13" s="168"/>
      <c r="Y13" s="168"/>
      <c r="Z13" s="168"/>
      <c r="AA13" s="168"/>
      <c r="AB13" s="168"/>
    </row>
    <row r="14" spans="1:28" s="8" customFormat="1" ht="12.75" x14ac:dyDescent="0.2">
      <c r="A14" s="49">
        <f t="shared" si="7"/>
        <v>2024</v>
      </c>
      <c r="B14" s="128">
        <f t="shared" si="0"/>
        <v>1.2</v>
      </c>
      <c r="C14" s="5">
        <f t="shared" si="8"/>
        <v>18.147689927786825</v>
      </c>
      <c r="D14" s="4">
        <f t="shared" si="1"/>
        <v>15.123074939822354</v>
      </c>
      <c r="E14" s="129">
        <f t="shared" si="2"/>
        <v>4</v>
      </c>
      <c r="F14" s="5">
        <f t="shared" si="9"/>
        <v>17.113679924786705</v>
      </c>
      <c r="G14" s="4">
        <f t="shared" si="3"/>
        <v>4.2784199811966763</v>
      </c>
      <c r="H14" s="18">
        <f t="shared" si="4"/>
        <v>1.7000000000000004</v>
      </c>
      <c r="I14" s="5">
        <f t="shared" si="10"/>
        <v>1.2090835031511276</v>
      </c>
      <c r="J14" s="4">
        <f t="shared" si="5"/>
        <v>0.71122559008889841</v>
      </c>
      <c r="K14" s="129">
        <f t="shared" si="11"/>
        <v>6.9</v>
      </c>
      <c r="L14" s="19">
        <f t="shared" si="12"/>
        <v>36.470453355724658</v>
      </c>
      <c r="M14" s="4">
        <f t="shared" si="6"/>
        <v>5.2855729501050224</v>
      </c>
      <c r="N14" s="368">
        <f>('global path'!$C$6-'global path'!C11)/('global path'!$C$6-'global path'!$C$37)</f>
        <v>0.14101742901974829</v>
      </c>
      <c r="O14" s="152"/>
      <c r="P14" s="168"/>
      <c r="Q14" s="168"/>
      <c r="W14" s="168"/>
      <c r="X14" s="168"/>
      <c r="Y14" s="168"/>
      <c r="Z14" s="168"/>
      <c r="AA14" s="168"/>
      <c r="AB14" s="168"/>
    </row>
    <row r="15" spans="1:28" s="8" customFormat="1" ht="12.75" x14ac:dyDescent="0.2">
      <c r="A15" s="49">
        <f t="shared" si="7"/>
        <v>2025</v>
      </c>
      <c r="B15" s="128">
        <f t="shared" si="0"/>
        <v>1.2</v>
      </c>
      <c r="C15" s="5">
        <f t="shared" si="8"/>
        <v>17.427341186140879</v>
      </c>
      <c r="D15" s="4">
        <f t="shared" si="1"/>
        <v>14.522784321784066</v>
      </c>
      <c r="E15" s="129">
        <f t="shared" si="2"/>
        <v>4</v>
      </c>
      <c r="F15" s="5">
        <f t="shared" si="9"/>
        <v>16.511016602839188</v>
      </c>
      <c r="G15" s="4">
        <f t="shared" si="3"/>
        <v>4.127754150709797</v>
      </c>
      <c r="H15" s="18">
        <f t="shared" si="4"/>
        <v>1.7000000000000004</v>
      </c>
      <c r="I15" s="5">
        <f t="shared" si="10"/>
        <v>1.2043776020944974</v>
      </c>
      <c r="J15" s="4">
        <f t="shared" si="5"/>
        <v>0.70845741299676301</v>
      </c>
      <c r="K15" s="129">
        <f t="shared" si="11"/>
        <v>6.9</v>
      </c>
      <c r="L15" s="19">
        <f t="shared" si="12"/>
        <v>35.142735391074567</v>
      </c>
      <c r="M15" s="4">
        <f t="shared" si="6"/>
        <v>5.093150056677473</v>
      </c>
      <c r="N15" s="368">
        <f>('global path'!$C$6-'global path'!C12)/('global path'!$C$6-'global path'!$C$37)</f>
        <v>0.17663127357827585</v>
      </c>
      <c r="O15" s="152"/>
      <c r="W15" s="168"/>
      <c r="X15" s="168"/>
      <c r="Y15" s="168"/>
      <c r="Z15" s="168"/>
      <c r="AA15" s="168"/>
      <c r="AB15" s="168"/>
    </row>
    <row r="16" spans="1:28" s="8" customFormat="1" ht="12.75" x14ac:dyDescent="0.2">
      <c r="A16" s="49">
        <f t="shared" si="7"/>
        <v>2026</v>
      </c>
      <c r="B16" s="128">
        <f t="shared" si="0"/>
        <v>1.2</v>
      </c>
      <c r="C16" s="5">
        <f t="shared" si="8"/>
        <v>16.670658387708752</v>
      </c>
      <c r="D16" s="4">
        <f t="shared" si="1"/>
        <v>13.892215323090626</v>
      </c>
      <c r="E16" s="129">
        <f t="shared" si="2"/>
        <v>4</v>
      </c>
      <c r="F16" s="5">
        <f t="shared" si="9"/>
        <v>15.877955222150627</v>
      </c>
      <c r="G16" s="4">
        <f t="shared" si="3"/>
        <v>3.9694888055376567</v>
      </c>
      <c r="H16" s="18">
        <f t="shared" si="4"/>
        <v>1.7000000000000004</v>
      </c>
      <c r="I16" s="5">
        <f t="shared" si="10"/>
        <v>1.1994343375688468</v>
      </c>
      <c r="J16" s="4">
        <f t="shared" si="5"/>
        <v>0.70554961033461561</v>
      </c>
      <c r="K16" s="129">
        <f t="shared" si="11"/>
        <v>6.9</v>
      </c>
      <c r="L16" s="19">
        <f t="shared" si="12"/>
        <v>33.748047947428226</v>
      </c>
      <c r="M16" s="4">
        <f t="shared" si="6"/>
        <v>4.8910214416562647</v>
      </c>
      <c r="N16" s="368">
        <f>('global path'!$C$6-'global path'!C13)/('global path'!$C$6-'global path'!$C$37)</f>
        <v>0.21404146395620041</v>
      </c>
      <c r="O16" s="152"/>
      <c r="W16" s="168"/>
      <c r="X16" s="168"/>
      <c r="Y16" s="168"/>
      <c r="Z16" s="168"/>
      <c r="AA16" s="168"/>
      <c r="AB16" s="168"/>
    </row>
    <row r="17" spans="1:28" s="8" customFormat="1" ht="12.75" x14ac:dyDescent="0.2">
      <c r="A17" s="49">
        <f t="shared" si="7"/>
        <v>2027</v>
      </c>
      <c r="B17" s="128">
        <f t="shared" si="0"/>
        <v>1.2</v>
      </c>
      <c r="C17" s="5">
        <f t="shared" si="8"/>
        <v>15.883929729625061</v>
      </c>
      <c r="D17" s="4">
        <f t="shared" si="1"/>
        <v>13.236608108020885</v>
      </c>
      <c r="E17" s="129">
        <f t="shared" si="2"/>
        <v>4</v>
      </c>
      <c r="F17" s="5">
        <f t="shared" si="9"/>
        <v>15.219756659231409</v>
      </c>
      <c r="G17" s="4">
        <f t="shared" si="3"/>
        <v>3.8049391648078523</v>
      </c>
      <c r="H17" s="18">
        <f t="shared" si="4"/>
        <v>1.7000000000000004</v>
      </c>
      <c r="I17" s="5">
        <f t="shared" si="10"/>
        <v>1.1942947891677516</v>
      </c>
      <c r="J17" s="4">
        <f t="shared" si="5"/>
        <v>0.70252634656926549</v>
      </c>
      <c r="K17" s="129">
        <f t="shared" si="11"/>
        <v>6.9</v>
      </c>
      <c r="L17" s="19">
        <f t="shared" si="12"/>
        <v>32.297981178024223</v>
      </c>
      <c r="M17" s="4">
        <f t="shared" si="6"/>
        <v>4.6808668373948148</v>
      </c>
      <c r="N17" s="368">
        <f>('global path'!$C$6-'global path'!C14)/('global path'!$C$6-'global path'!$C$37)</f>
        <v>0.25293711340886865</v>
      </c>
      <c r="O17" s="152"/>
      <c r="W17" s="168"/>
      <c r="X17" s="168"/>
      <c r="Y17" s="168"/>
      <c r="Z17" s="168"/>
      <c r="AA17" s="168"/>
      <c r="AB17" s="168"/>
    </row>
    <row r="18" spans="1:28" s="8" customFormat="1" ht="12.75" x14ac:dyDescent="0.2">
      <c r="A18" s="49">
        <f t="shared" si="7"/>
        <v>2028</v>
      </c>
      <c r="B18" s="128">
        <f t="shared" si="0"/>
        <v>1.2</v>
      </c>
      <c r="C18" s="5">
        <f t="shared" si="8"/>
        <v>15.073510232180503</v>
      </c>
      <c r="D18" s="4">
        <f t="shared" si="1"/>
        <v>12.561258526817086</v>
      </c>
      <c r="E18" s="129">
        <f t="shared" si="2"/>
        <v>4</v>
      </c>
      <c r="F18" s="5">
        <f t="shared" si="9"/>
        <v>14.541737696659206</v>
      </c>
      <c r="G18" s="4">
        <f t="shared" si="3"/>
        <v>3.6354344241648016</v>
      </c>
      <c r="H18" s="18">
        <f t="shared" si="4"/>
        <v>1.7000000000000004</v>
      </c>
      <c r="I18" s="5">
        <f t="shared" si="10"/>
        <v>1.189000473027733</v>
      </c>
      <c r="J18" s="4">
        <f t="shared" si="5"/>
        <v>0.69941204295748982</v>
      </c>
      <c r="K18" s="129">
        <f t="shared" si="11"/>
        <v>6.9</v>
      </c>
      <c r="L18" s="19">
        <f t="shared" si="12"/>
        <v>30.80424840186744</v>
      </c>
      <c r="M18" s="4">
        <f t="shared" si="6"/>
        <v>4.4643838263575999</v>
      </c>
      <c r="N18" s="368">
        <f>('global path'!$C$6-'global path'!C15)/('global path'!$C$6-'global path'!$C$37)</f>
        <v>0.29300403147308646</v>
      </c>
      <c r="O18" s="152"/>
      <c r="W18" s="152"/>
      <c r="X18" s="152"/>
      <c r="Y18" s="152"/>
      <c r="Z18" s="152"/>
      <c r="AA18" s="152"/>
      <c r="AB18" s="152"/>
    </row>
    <row r="19" spans="1:28" s="8" customFormat="1" ht="12.75" x14ac:dyDescent="0.2">
      <c r="A19" s="49">
        <f t="shared" si="7"/>
        <v>2029</v>
      </c>
      <c r="B19" s="128">
        <f t="shared" si="0"/>
        <v>1.2</v>
      </c>
      <c r="C19" s="5">
        <f t="shared" si="8"/>
        <v>14.245735901269434</v>
      </c>
      <c r="D19" s="4">
        <f t="shared" si="1"/>
        <v>11.871446584391196</v>
      </c>
      <c r="E19" s="129">
        <f t="shared" si="2"/>
        <v>4</v>
      </c>
      <c r="F19" s="5">
        <f t="shared" si="9"/>
        <v>13.849199209051291</v>
      </c>
      <c r="G19" s="4">
        <f t="shared" si="3"/>
        <v>3.4622998022628226</v>
      </c>
      <c r="H19" s="18">
        <f t="shared" si="4"/>
        <v>1.7000000000000004</v>
      </c>
      <c r="I19" s="5">
        <f t="shared" si="10"/>
        <v>1.1835927810678846</v>
      </c>
      <c r="J19" s="4">
        <f t="shared" si="5"/>
        <v>0.69623104768699073</v>
      </c>
      <c r="K19" s="129">
        <f t="shared" si="11"/>
        <v>6.9</v>
      </c>
      <c r="L19" s="19">
        <f t="shared" si="12"/>
        <v>29.27852789138861</v>
      </c>
      <c r="M19" s="4">
        <f t="shared" si="6"/>
        <v>4.2432649117954506</v>
      </c>
      <c r="N19" s="368">
        <f>('global path'!$C$6-'global path'!C16)/('global path'!$C$6-'global path'!$C$37)</f>
        <v>0.33392896775220821</v>
      </c>
      <c r="O19" s="152"/>
      <c r="W19" s="152"/>
      <c r="X19" s="152"/>
      <c r="Y19" s="152"/>
      <c r="Z19" s="152"/>
      <c r="AA19" s="152"/>
      <c r="AB19" s="152"/>
    </row>
    <row r="20" spans="1:28" s="8" customFormat="1" ht="12.75" x14ac:dyDescent="0.2">
      <c r="A20" s="49">
        <f t="shared" si="7"/>
        <v>2030</v>
      </c>
      <c r="B20" s="128">
        <f t="shared" si="0"/>
        <v>1.2</v>
      </c>
      <c r="C20" s="5">
        <f t="shared" si="8"/>
        <v>13.406841327716663</v>
      </c>
      <c r="D20" s="4">
        <f t="shared" si="1"/>
        <v>11.17236777309722</v>
      </c>
      <c r="E20" s="129">
        <f t="shared" si="2"/>
        <v>4</v>
      </c>
      <c r="F20" s="5">
        <f t="shared" si="9"/>
        <v>13.14735722442331</v>
      </c>
      <c r="G20" s="4">
        <f t="shared" si="3"/>
        <v>3.2868393061058274</v>
      </c>
      <c r="H20" s="18">
        <f t="shared" si="4"/>
        <v>1.7000000000000004</v>
      </c>
      <c r="I20" s="5">
        <f t="shared" si="10"/>
        <v>1.178112442681976</v>
      </c>
      <c r="J20" s="4">
        <f t="shared" si="5"/>
        <v>0.69300731922469161</v>
      </c>
      <c r="K20" s="129">
        <f t="shared" si="11"/>
        <v>6.9</v>
      </c>
      <c r="L20" s="19">
        <f t="shared" si="12"/>
        <v>27.732310994821948</v>
      </c>
      <c r="M20" s="4">
        <f t="shared" si="6"/>
        <v>4.0191755064959338</v>
      </c>
      <c r="N20" s="368">
        <f>('global path'!$C$6-'global path'!C17)/('global path'!$C$6-'global path'!$C$37)</f>
        <v>0.3754036857828601</v>
      </c>
      <c r="O20" s="152"/>
      <c r="W20" s="152"/>
      <c r="X20" s="152"/>
      <c r="Y20" s="152"/>
      <c r="Z20" s="152"/>
      <c r="AA20" s="152"/>
      <c r="AB20" s="152"/>
    </row>
    <row r="21" spans="1:28" s="8" customFormat="1" ht="12.75" x14ac:dyDescent="0.2">
      <c r="A21" s="49">
        <f t="shared" si="7"/>
        <v>2031</v>
      </c>
      <c r="B21" s="128">
        <f t="shared" si="0"/>
        <v>1.2</v>
      </c>
      <c r="C21" s="5">
        <f t="shared" si="8"/>
        <v>12.562882220532581</v>
      </c>
      <c r="D21" s="4">
        <f t="shared" si="1"/>
        <v>10.469068517110484</v>
      </c>
      <c r="E21" s="129">
        <f t="shared" si="2"/>
        <v>4</v>
      </c>
      <c r="F21" s="5">
        <f t="shared" si="9"/>
        <v>12.441278113406538</v>
      </c>
      <c r="G21" s="4">
        <f t="shared" si="3"/>
        <v>3.1103195283516345</v>
      </c>
      <c r="H21" s="18">
        <f t="shared" si="4"/>
        <v>1.7000000000000004</v>
      </c>
      <c r="I21" s="5">
        <f t="shared" si="10"/>
        <v>1.1725990186629716</v>
      </c>
      <c r="J21" s="4">
        <f t="shared" si="5"/>
        <v>0.68976412862527725</v>
      </c>
      <c r="K21" s="129">
        <f t="shared" si="11"/>
        <v>6.9</v>
      </c>
      <c r="L21" s="19">
        <f t="shared" si="12"/>
        <v>26.17675935260209</v>
      </c>
      <c r="M21" s="4">
        <f t="shared" si="6"/>
        <v>3.7937332395075489</v>
      </c>
      <c r="N21" s="368">
        <f>('global path'!$C$6-'global path'!C18)/('global path'!$C$6-'global path'!$C$37)</f>
        <v>0.41712879296959604</v>
      </c>
      <c r="O21" s="152"/>
      <c r="W21" s="152"/>
      <c r="X21" s="152"/>
      <c r="Y21" s="152"/>
      <c r="Z21" s="152"/>
      <c r="AA21" s="152"/>
      <c r="AB21" s="152"/>
    </row>
    <row r="22" spans="1:28" s="8" customFormat="1" ht="12.75" x14ac:dyDescent="0.2">
      <c r="A22" s="49">
        <f t="shared" si="7"/>
        <v>2032</v>
      </c>
      <c r="B22" s="128">
        <f t="shared" si="0"/>
        <v>1.2</v>
      </c>
      <c r="C22" s="5">
        <f t="shared" si="8"/>
        <v>11.719664203325619</v>
      </c>
      <c r="D22" s="4">
        <f t="shared" si="1"/>
        <v>9.7663868361046831</v>
      </c>
      <c r="E22" s="129">
        <f t="shared" si="2"/>
        <v>4</v>
      </c>
      <c r="F22" s="5">
        <f t="shared" si="9"/>
        <v>11.735819018392643</v>
      </c>
      <c r="G22" s="4">
        <f t="shared" si="3"/>
        <v>2.9339547545981608</v>
      </c>
      <c r="H22" s="18">
        <f t="shared" si="4"/>
        <v>1.7000000000000004</v>
      </c>
      <c r="I22" s="5">
        <f t="shared" si="10"/>
        <v>1.1670904360435628</v>
      </c>
      <c r="J22" s="4">
        <f t="shared" si="5"/>
        <v>0.68652378590797791</v>
      </c>
      <c r="K22" s="129">
        <f t="shared" si="11"/>
        <v>6.9</v>
      </c>
      <c r="L22" s="19">
        <f t="shared" si="12"/>
        <v>24.622573657761826</v>
      </c>
      <c r="M22" s="4">
        <f t="shared" si="6"/>
        <v>3.5684889359075109</v>
      </c>
      <c r="N22" s="368">
        <f>('global path'!$C$6-'global path'!C19)/('global path'!$C$6-'global path'!$C$37)</f>
        <v>0.45881726087077052</v>
      </c>
      <c r="O22" s="152"/>
      <c r="W22" s="152"/>
      <c r="X22" s="152"/>
      <c r="Y22" s="152"/>
      <c r="Z22" s="152"/>
      <c r="AA22" s="152"/>
      <c r="AB22" s="152"/>
    </row>
    <row r="23" spans="1:28" s="8" customFormat="1" ht="12.75" x14ac:dyDescent="0.2">
      <c r="A23" s="49">
        <f t="shared" si="7"/>
        <v>2033</v>
      </c>
      <c r="B23" s="128">
        <f t="shared" si="0"/>
        <v>1.2</v>
      </c>
      <c r="C23" s="5">
        <f t="shared" si="8"/>
        <v>10.882679006500132</v>
      </c>
      <c r="D23" s="4">
        <f t="shared" si="1"/>
        <v>9.0688991720834427</v>
      </c>
      <c r="E23" s="129">
        <f t="shared" si="2"/>
        <v>4</v>
      </c>
      <c r="F23" s="5">
        <f t="shared" si="9"/>
        <v>11.035574470193421</v>
      </c>
      <c r="G23" s="4">
        <f t="shared" si="3"/>
        <v>2.7588936175483552</v>
      </c>
      <c r="H23" s="18">
        <f t="shared" si="4"/>
        <v>1.7000000000000004</v>
      </c>
      <c r="I23" s="5">
        <f t="shared" si="10"/>
        <v>1.161622571251955</v>
      </c>
      <c r="J23" s="4">
        <f t="shared" si="5"/>
        <v>0.68330739485409098</v>
      </c>
      <c r="K23" s="129">
        <f t="shared" si="11"/>
        <v>6.9</v>
      </c>
      <c r="L23" s="19">
        <f t="shared" si="12"/>
        <v>23.079876047945508</v>
      </c>
      <c r="M23" s="4">
        <f t="shared" si="6"/>
        <v>3.3449095721660154</v>
      </c>
      <c r="N23" s="368">
        <f>('global path'!$C$6-'global path'!C20)/('global path'!$C$6-'global path'!$C$37)</f>
        <v>0.50019757983880486</v>
      </c>
      <c r="O23" s="152"/>
      <c r="W23" s="152"/>
      <c r="X23" s="152"/>
      <c r="Y23" s="152"/>
      <c r="Z23" s="152"/>
      <c r="AA23" s="152"/>
      <c r="AB23" s="152"/>
    </row>
    <row r="24" spans="1:28" s="7" customFormat="1" ht="12.75" x14ac:dyDescent="0.2">
      <c r="A24" s="49">
        <f t="shared" si="7"/>
        <v>2034</v>
      </c>
      <c r="B24" s="128">
        <f t="shared" si="0"/>
        <v>1.2</v>
      </c>
      <c r="C24" s="5">
        <f t="shared" si="8"/>
        <v>10.057048969339538</v>
      </c>
      <c r="D24" s="4">
        <f t="shared" si="1"/>
        <v>8.3808741411162817</v>
      </c>
      <c r="E24" s="129">
        <f t="shared" si="2"/>
        <v>4</v>
      </c>
      <c r="F24" s="5">
        <f t="shared" si="9"/>
        <v>10.344829956976216</v>
      </c>
      <c r="G24" s="4">
        <f t="shared" si="3"/>
        <v>2.5862074892440541</v>
      </c>
      <c r="H24" s="18">
        <f t="shared" si="4"/>
        <v>1.7000000000000004</v>
      </c>
      <c r="I24" s="5">
        <f t="shared" si="10"/>
        <v>1.156228887554553</v>
      </c>
      <c r="J24" s="4">
        <f t="shared" si="5"/>
        <v>0.68013463973797217</v>
      </c>
      <c r="K24" s="129">
        <f t="shared" si="11"/>
        <v>6.9</v>
      </c>
      <c r="L24" s="19">
        <f t="shared" si="12"/>
        <v>21.558107813870308</v>
      </c>
      <c r="M24" s="4">
        <f t="shared" si="6"/>
        <v>3.1243634512855518</v>
      </c>
      <c r="N24" s="368">
        <f>('global path'!$C$6-'global path'!C21)/('global path'!$C$6-'global path'!$C$37)</f>
        <v>0.54101650282200164</v>
      </c>
      <c r="O24" s="152"/>
      <c r="W24" s="152"/>
      <c r="X24" s="152"/>
      <c r="Y24" s="152"/>
      <c r="Z24" s="152"/>
      <c r="AA24" s="152"/>
      <c r="AB24" s="152"/>
    </row>
    <row r="25" spans="1:28" s="7" customFormat="1" ht="12.75" x14ac:dyDescent="0.2">
      <c r="A25" s="49">
        <f t="shared" si="7"/>
        <v>2035</v>
      </c>
      <c r="B25" s="128">
        <f t="shared" si="0"/>
        <v>1.2</v>
      </c>
      <c r="C25" s="5">
        <f t="shared" si="8"/>
        <v>9.2474805329421432</v>
      </c>
      <c r="D25" s="4">
        <f t="shared" si="1"/>
        <v>7.7062337774517866</v>
      </c>
      <c r="E25" s="129">
        <f t="shared" si="2"/>
        <v>4</v>
      </c>
      <c r="F25" s="5">
        <f t="shared" si="9"/>
        <v>9.6675230151909037</v>
      </c>
      <c r="G25" s="4">
        <f t="shared" si="3"/>
        <v>2.4168807537977259</v>
      </c>
      <c r="H25" s="18">
        <f t="shared" si="4"/>
        <v>1.7000000000000004</v>
      </c>
      <c r="I25" s="5">
        <f t="shared" si="10"/>
        <v>1.150940131234174</v>
      </c>
      <c r="J25" s="4">
        <f t="shared" si="5"/>
        <v>0.67702360660833749</v>
      </c>
      <c r="K25" s="129">
        <f t="shared" si="11"/>
        <v>6.9</v>
      </c>
      <c r="L25" s="19">
        <f t="shared" si="12"/>
        <v>20.065943679367223</v>
      </c>
      <c r="M25" s="4">
        <f t="shared" si="6"/>
        <v>2.908107779618438</v>
      </c>
      <c r="N25" s="368">
        <f>('global path'!$C$6-'global path'!C22)/('global path'!$C$6-'global path'!$C$37)</f>
        <v>0.58104134466106461</v>
      </c>
      <c r="O25" s="152"/>
      <c r="W25" s="152"/>
      <c r="X25" s="152"/>
      <c r="Y25" s="152"/>
      <c r="Z25" s="152"/>
      <c r="AA25" s="152"/>
      <c r="AB25" s="152"/>
    </row>
    <row r="26" spans="1:28" s="7" customFormat="1" ht="12.75" x14ac:dyDescent="0.2">
      <c r="A26" s="49">
        <f t="shared" si="7"/>
        <v>2036</v>
      </c>
      <c r="B26" s="128">
        <f t="shared" si="0"/>
        <v>1.2</v>
      </c>
      <c r="C26" s="5">
        <f t="shared" si="8"/>
        <v>8.4582271647522695</v>
      </c>
      <c r="D26" s="4">
        <f t="shared" si="1"/>
        <v>7.0485226372935585</v>
      </c>
      <c r="E26" s="129">
        <f t="shared" si="2"/>
        <v>4</v>
      </c>
      <c r="F26" s="5">
        <f t="shared" si="9"/>
        <v>9.0072122112256743</v>
      </c>
      <c r="G26" s="4">
        <f t="shared" si="3"/>
        <v>2.2518030528064186</v>
      </c>
      <c r="H26" s="18">
        <f t="shared" si="4"/>
        <v>1.7000000000000004</v>
      </c>
      <c r="I26" s="5">
        <f t="shared" si="10"/>
        <v>1.1457840893830742</v>
      </c>
      <c r="J26" s="4">
        <f t="shared" si="5"/>
        <v>0.67399064081357285</v>
      </c>
      <c r="K26" s="129">
        <f t="shared" si="11"/>
        <v>6.9</v>
      </c>
      <c r="L26" s="19">
        <f t="shared" si="12"/>
        <v>18.611223465361018</v>
      </c>
      <c r="M26" s="4">
        <f t="shared" si="6"/>
        <v>2.6972787630957997</v>
      </c>
      <c r="N26" s="368">
        <f>('global path'!$C$6-'global path'!C23)/('global path'!$C$6-'global path'!$C$37)</f>
        <v>0.62006181509012759</v>
      </c>
      <c r="O26" s="152"/>
      <c r="W26" s="152"/>
      <c r="X26" s="152"/>
      <c r="Y26" s="152"/>
      <c r="Z26" s="152"/>
      <c r="AA26" s="152"/>
      <c r="AB26" s="152"/>
    </row>
    <row r="27" spans="1:28" s="7" customFormat="1" ht="12.75" x14ac:dyDescent="0.2">
      <c r="A27" s="49">
        <f t="shared" si="7"/>
        <v>2037</v>
      </c>
      <c r="B27" s="128">
        <f t="shared" si="0"/>
        <v>1.2</v>
      </c>
      <c r="C27" s="5">
        <f t="shared" si="8"/>
        <v>7.6930619155340425</v>
      </c>
      <c r="D27" s="4">
        <f t="shared" si="1"/>
        <v>6.4108849296117025</v>
      </c>
      <c r="E27" s="129">
        <f t="shared" si="2"/>
        <v>4</v>
      </c>
      <c r="F27" s="5">
        <f t="shared" si="9"/>
        <v>8.3670541818259263</v>
      </c>
      <c r="G27" s="4">
        <f t="shared" si="3"/>
        <v>2.0917635454564816</v>
      </c>
      <c r="H27" s="18">
        <f t="shared" si="4"/>
        <v>1.7000000000000004</v>
      </c>
      <c r="I27" s="5">
        <f t="shared" si="10"/>
        <v>1.1407854106228876</v>
      </c>
      <c r="J27" s="4">
        <f t="shared" si="5"/>
        <v>0.67105024154287496</v>
      </c>
      <c r="K27" s="129">
        <f t="shared" si="11"/>
        <v>6.9</v>
      </c>
      <c r="L27" s="19">
        <f t="shared" si="12"/>
        <v>17.200901507982856</v>
      </c>
      <c r="M27" s="4">
        <f t="shared" si="6"/>
        <v>2.4928842765192543</v>
      </c>
      <c r="N27" s="368">
        <f>('global path'!$C$6-'global path'!C24)/('global path'!$C$6-'global path'!$C$37)</f>
        <v>0.6578913755124578</v>
      </c>
      <c r="O27" s="152"/>
      <c r="W27" s="152"/>
      <c r="X27" s="152"/>
      <c r="Y27" s="152"/>
      <c r="Z27" s="152"/>
      <c r="AA27" s="152"/>
      <c r="AB27" s="152"/>
    </row>
    <row r="28" spans="1:28" s="7" customFormat="1" ht="12.75" x14ac:dyDescent="0.2">
      <c r="A28" s="49">
        <f t="shared" si="7"/>
        <v>2038</v>
      </c>
      <c r="B28" s="128">
        <f t="shared" si="0"/>
        <v>1.2</v>
      </c>
      <c r="C28" s="5">
        <f t="shared" si="8"/>
        <v>6.955259577136804</v>
      </c>
      <c r="D28" s="4">
        <f t="shared" si="1"/>
        <v>5.7960496476140033</v>
      </c>
      <c r="E28" s="129">
        <f t="shared" si="2"/>
        <v>4</v>
      </c>
      <c r="F28" s="5">
        <f t="shared" si="9"/>
        <v>7.7497887067962328</v>
      </c>
      <c r="G28" s="4">
        <f t="shared" si="3"/>
        <v>1.9374471766990582</v>
      </c>
      <c r="H28" s="18">
        <f t="shared" si="4"/>
        <v>1.7000000000000004</v>
      </c>
      <c r="I28" s="5">
        <f t="shared" si="10"/>
        <v>1.1359654885447084</v>
      </c>
      <c r="J28" s="4">
        <f t="shared" si="5"/>
        <v>0.66821499326159295</v>
      </c>
      <c r="K28" s="129">
        <f t="shared" si="11"/>
        <v>6.9</v>
      </c>
      <c r="L28" s="19">
        <f t="shared" si="12"/>
        <v>15.841013772477744</v>
      </c>
      <c r="M28" s="4">
        <f t="shared" si="6"/>
        <v>2.2957990974605424</v>
      </c>
      <c r="N28" s="368">
        <f>('global path'!$C$6-'global path'!C25)/('global path'!$C$6-'global path'!$C$37)</f>
        <v>0.69436812111564794</v>
      </c>
      <c r="O28" s="152"/>
      <c r="W28" s="152"/>
      <c r="X28" s="152"/>
      <c r="Y28" s="152"/>
      <c r="Z28" s="152"/>
      <c r="AA28" s="152"/>
      <c r="AB28" s="152"/>
    </row>
    <row r="29" spans="1:28" s="7" customFormat="1" ht="12.75" x14ac:dyDescent="0.2">
      <c r="A29" s="49">
        <f t="shared" si="7"/>
        <v>2039</v>
      </c>
      <c r="B29" s="128">
        <f t="shared" si="0"/>
        <v>1.2</v>
      </c>
      <c r="C29" s="5">
        <f t="shared" si="8"/>
        <v>6.2475881907749491</v>
      </c>
      <c r="D29" s="4">
        <f t="shared" si="1"/>
        <v>5.2063234923124577</v>
      </c>
      <c r="E29" s="129">
        <f t="shared" si="2"/>
        <v>4</v>
      </c>
      <c r="F29" s="5">
        <f t="shared" si="9"/>
        <v>7.1577316045966146</v>
      </c>
      <c r="G29" s="4">
        <f t="shared" si="3"/>
        <v>1.7894329011491537</v>
      </c>
      <c r="H29" s="18">
        <f t="shared" si="4"/>
        <v>1.7000000000000004</v>
      </c>
      <c r="I29" s="5">
        <f t="shared" si="10"/>
        <v>1.1313424062343016</v>
      </c>
      <c r="J29" s="4">
        <f t="shared" si="5"/>
        <v>0.66549553307900078</v>
      </c>
      <c r="K29" s="129">
        <f t="shared" si="11"/>
        <v>6.9</v>
      </c>
      <c r="L29" s="19">
        <f t="shared" si="12"/>
        <v>14.536662201605864</v>
      </c>
      <c r="M29" s="4">
        <f t="shared" si="6"/>
        <v>2.1067626379138931</v>
      </c>
      <c r="N29" s="368">
        <f>('global path'!$C$6-'global path'!C26)/('global path'!$C$6-'global path'!$C$37)</f>
        <v>0.72935520069993631</v>
      </c>
      <c r="O29" s="152"/>
      <c r="W29" s="152"/>
      <c r="X29" s="152"/>
      <c r="Y29" s="152"/>
      <c r="Z29" s="152"/>
      <c r="AA29" s="152"/>
      <c r="AB29" s="152"/>
    </row>
    <row r="30" spans="1:28" s="7" customFormat="1" ht="12.75" x14ac:dyDescent="0.2">
      <c r="A30" s="49">
        <f t="shared" si="7"/>
        <v>2040</v>
      </c>
      <c r="B30" s="128">
        <f t="shared" si="0"/>
        <v>1.2</v>
      </c>
      <c r="C30" s="5">
        <f t="shared" si="8"/>
        <v>5.5723094564684414</v>
      </c>
      <c r="D30" s="4">
        <f t="shared" si="1"/>
        <v>4.6435912137237016</v>
      </c>
      <c r="E30" s="129">
        <f t="shared" si="2"/>
        <v>4</v>
      </c>
      <c r="F30" s="5">
        <f t="shared" si="9"/>
        <v>6.5927750748915903</v>
      </c>
      <c r="G30" s="4">
        <f t="shared" si="3"/>
        <v>1.6481937687228976</v>
      </c>
      <c r="H30" s="18">
        <f t="shared" si="4"/>
        <v>1.7000000000000004</v>
      </c>
      <c r="I30" s="5">
        <f t="shared" si="10"/>
        <v>1.1269309389468987</v>
      </c>
      <c r="J30" s="4">
        <f t="shared" si="5"/>
        <v>0.66290055232170497</v>
      </c>
      <c r="K30" s="129">
        <f t="shared" si="11"/>
        <v>6.9</v>
      </c>
      <c r="L30" s="19">
        <f t="shared" si="12"/>
        <v>13.29201547030693</v>
      </c>
      <c r="M30" s="4">
        <f t="shared" si="6"/>
        <v>1.926379053667671</v>
      </c>
      <c r="N30" s="368">
        <f>('global path'!$C$6-'global path'!C27)/('global path'!$C$6-'global path'!$C$37)</f>
        <v>0.7627407964355799</v>
      </c>
      <c r="O30" s="152"/>
      <c r="W30" s="152"/>
      <c r="X30" s="152"/>
      <c r="Y30" s="152"/>
      <c r="Z30" s="152"/>
      <c r="AA30" s="152"/>
      <c r="AB30" s="152"/>
    </row>
    <row r="31" spans="1:28" s="7" customFormat="1" ht="12.75" x14ac:dyDescent="0.2">
      <c r="A31" s="49">
        <f t="shared" si="7"/>
        <v>2041</v>
      </c>
      <c r="B31" s="128">
        <f t="shared" si="0"/>
        <v>1.2</v>
      </c>
      <c r="C31" s="5">
        <f t="shared" si="8"/>
        <v>4.9311874194817111</v>
      </c>
      <c r="D31" s="4">
        <f t="shared" si="1"/>
        <v>4.1093228495680929</v>
      </c>
      <c r="E31" s="129">
        <f t="shared" si="2"/>
        <v>4</v>
      </c>
      <c r="F31" s="5">
        <f t="shared" si="9"/>
        <v>6.0563949658608873</v>
      </c>
      <c r="G31" s="4">
        <f t="shared" si="3"/>
        <v>1.5140987414652218</v>
      </c>
      <c r="H31" s="18">
        <f t="shared" si="4"/>
        <v>1.7000000000000004</v>
      </c>
      <c r="I31" s="5">
        <f t="shared" si="10"/>
        <v>1.1227426108540488</v>
      </c>
      <c r="J31" s="4">
        <f t="shared" si="5"/>
        <v>0.66043682991414621</v>
      </c>
      <c r="K31" s="129">
        <f t="shared" si="11"/>
        <v>6.9</v>
      </c>
      <c r="L31" s="19">
        <f t="shared" si="12"/>
        <v>12.110324996196647</v>
      </c>
      <c r="M31" s="4">
        <f t="shared" si="6"/>
        <v>1.7551195646661806</v>
      </c>
      <c r="N31" s="368">
        <f>('global path'!$C$6-'global path'!C28)/('global path'!$C$6-'global path'!$C$37)</f>
        <v>0.79443769440769341</v>
      </c>
      <c r="O31" s="152"/>
      <c r="W31" s="152"/>
      <c r="X31" s="152"/>
      <c r="Y31" s="152"/>
      <c r="Z31" s="152"/>
      <c r="AA31" s="152"/>
      <c r="AB31" s="152"/>
    </row>
    <row r="32" spans="1:28" s="7" customFormat="1" ht="12.75" x14ac:dyDescent="0.2">
      <c r="A32" s="49">
        <f t="shared" si="7"/>
        <v>2042</v>
      </c>
      <c r="B32" s="128">
        <f t="shared" si="0"/>
        <v>1.2</v>
      </c>
      <c r="C32" s="5">
        <f t="shared" si="8"/>
        <v>4.3255046626991218</v>
      </c>
      <c r="D32" s="4">
        <f t="shared" si="1"/>
        <v>3.6045872189159351</v>
      </c>
      <c r="E32" s="129">
        <f t="shared" si="2"/>
        <v>4</v>
      </c>
      <c r="F32" s="5">
        <f t="shared" si="9"/>
        <v>5.5496643211805416</v>
      </c>
      <c r="G32" s="4">
        <f t="shared" si="3"/>
        <v>1.3874160802951354</v>
      </c>
      <c r="H32" s="18">
        <f t="shared" si="4"/>
        <v>1.7000000000000004</v>
      </c>
      <c r="I32" s="5">
        <f t="shared" si="10"/>
        <v>1.1187858008253213</v>
      </c>
      <c r="J32" s="4">
        <f t="shared" si="5"/>
        <v>0.65810929460313006</v>
      </c>
      <c r="K32" s="129">
        <f t="shared" si="11"/>
        <v>6.9</v>
      </c>
      <c r="L32" s="19">
        <f t="shared" si="12"/>
        <v>10.993954784704986</v>
      </c>
      <c r="M32" s="4">
        <f t="shared" si="6"/>
        <v>1.5933267803920268</v>
      </c>
      <c r="N32" s="368">
        <f>('global path'!$C$6-'global path'!C29)/('global path'!$C$6-'global path'!$C$37)</f>
        <v>0.82438248406963965</v>
      </c>
      <c r="O32" s="152"/>
      <c r="W32" s="152"/>
      <c r="X32" s="152"/>
      <c r="Y32" s="152"/>
      <c r="Z32" s="152"/>
      <c r="AA32" s="152"/>
      <c r="AB32" s="152"/>
    </row>
    <row r="33" spans="1:28" s="7" customFormat="1" ht="12.75" x14ac:dyDescent="0.2">
      <c r="A33" s="49">
        <f t="shared" si="7"/>
        <v>2043</v>
      </c>
      <c r="B33" s="128">
        <f t="shared" si="0"/>
        <v>1.2</v>
      </c>
      <c r="C33" s="5">
        <f t="shared" si="8"/>
        <v>3.7560851173828773</v>
      </c>
      <c r="D33" s="4">
        <f t="shared" si="1"/>
        <v>3.1300709311523978</v>
      </c>
      <c r="E33" s="129">
        <f t="shared" si="2"/>
        <v>4</v>
      </c>
      <c r="F33" s="5">
        <f t="shared" si="9"/>
        <v>5.0732724641225042</v>
      </c>
      <c r="G33" s="4">
        <f t="shared" si="3"/>
        <v>1.2683181160306261</v>
      </c>
      <c r="H33" s="18">
        <f t="shared" si="4"/>
        <v>1.7000000000000004</v>
      </c>
      <c r="I33" s="5">
        <f t="shared" si="10"/>
        <v>1.1150658914466407</v>
      </c>
      <c r="J33" s="4">
        <f t="shared" si="5"/>
        <v>0.65592111261567088</v>
      </c>
      <c r="K33" s="129">
        <f t="shared" si="11"/>
        <v>6.9</v>
      </c>
      <c r="L33" s="19">
        <f t="shared" si="12"/>
        <v>9.9444234729520211</v>
      </c>
      <c r="M33" s="4">
        <f t="shared" si="6"/>
        <v>1.4412207931814522</v>
      </c>
      <c r="N33" s="368">
        <f>('global path'!$C$6-'global path'!C30)/('global path'!$C$6-'global path'!$C$37)</f>
        <v>0.85253443048540423</v>
      </c>
      <c r="O33" s="152"/>
      <c r="W33" s="152"/>
      <c r="X33" s="152"/>
      <c r="Y33" s="152"/>
      <c r="Z33" s="152"/>
      <c r="AA33" s="152"/>
      <c r="AB33" s="152"/>
    </row>
    <row r="34" spans="1:28" s="7" customFormat="1" ht="12.75" x14ac:dyDescent="0.2">
      <c r="A34" s="49">
        <f t="shared" si="7"/>
        <v>2044</v>
      </c>
      <c r="B34" s="128">
        <f t="shared" si="0"/>
        <v>1.2</v>
      </c>
      <c r="C34" s="5">
        <f t="shared" si="8"/>
        <v>3.2233225200091211</v>
      </c>
      <c r="D34" s="4">
        <f t="shared" si="1"/>
        <v>2.6861021000076009</v>
      </c>
      <c r="E34" s="129">
        <f t="shared" si="2"/>
        <v>4</v>
      </c>
      <c r="F34" s="5">
        <f t="shared" si="9"/>
        <v>4.6275488053166054</v>
      </c>
      <c r="G34" s="4">
        <f t="shared" si="3"/>
        <v>1.1568872013291513</v>
      </c>
      <c r="H34" s="18">
        <f t="shared" si="4"/>
        <v>1.7000000000000004</v>
      </c>
      <c r="I34" s="5">
        <f t="shared" si="10"/>
        <v>1.1115854549233732</v>
      </c>
      <c r="J34" s="4">
        <f t="shared" si="5"/>
        <v>0.65387379701374881</v>
      </c>
      <c r="K34" s="129">
        <f t="shared" si="11"/>
        <v>6.9</v>
      </c>
      <c r="L34" s="19">
        <f t="shared" si="12"/>
        <v>8.9624567802491004</v>
      </c>
      <c r="M34" s="4">
        <f t="shared" si="6"/>
        <v>1.2989067797462464</v>
      </c>
      <c r="N34" s="368">
        <f>('global path'!$C$6-'global path'!C31)/('global path'!$C$6-'global path'!$C$37)</f>
        <v>0.87887406743140994</v>
      </c>
      <c r="O34" s="152"/>
      <c r="W34" s="152"/>
      <c r="X34" s="152"/>
      <c r="Y34" s="152"/>
      <c r="Z34" s="152"/>
      <c r="AA34" s="152"/>
      <c r="AB34" s="152"/>
    </row>
    <row r="35" spans="1:28" s="9" customFormat="1" ht="12.75" x14ac:dyDescent="0.2">
      <c r="A35" s="49">
        <f t="shared" si="7"/>
        <v>2045</v>
      </c>
      <c r="B35" s="128">
        <f t="shared" si="0"/>
        <v>1.2</v>
      </c>
      <c r="C35" s="5">
        <f t="shared" si="8"/>
        <v>2.7272134900715628</v>
      </c>
      <c r="D35" s="4">
        <f t="shared" si="1"/>
        <v>2.2726779083929691</v>
      </c>
      <c r="E35" s="129">
        <f t="shared" si="2"/>
        <v>4</v>
      </c>
      <c r="F35" s="5">
        <f t="shared" si="9"/>
        <v>4.2124905165394697</v>
      </c>
      <c r="G35" s="4">
        <f t="shared" si="3"/>
        <v>1.0531226291348674</v>
      </c>
      <c r="H35" s="18">
        <f t="shared" si="4"/>
        <v>1.7000000000000004</v>
      </c>
      <c r="I35" s="5">
        <f t="shared" si="10"/>
        <v>1.108344469171316</v>
      </c>
      <c r="J35" s="4">
        <f t="shared" si="5"/>
        <v>0.65196733480665636</v>
      </c>
      <c r="K35" s="129">
        <f t="shared" si="11"/>
        <v>6.9</v>
      </c>
      <c r="L35" s="19">
        <f t="shared" si="12"/>
        <v>8.0480484757823483</v>
      </c>
      <c r="M35" s="4">
        <f t="shared" si="6"/>
        <v>1.1663838370699056</v>
      </c>
      <c r="N35" s="368">
        <f>('global path'!$C$6-'global path'!C32)/('global path'!$C$6-'global path'!$C$37)</f>
        <v>0.90340156203896227</v>
      </c>
      <c r="O35" s="152"/>
      <c r="W35" s="152"/>
      <c r="X35" s="152"/>
      <c r="Y35" s="152"/>
      <c r="Z35" s="152"/>
      <c r="AA35" s="152"/>
      <c r="AB35" s="152"/>
    </row>
    <row r="36" spans="1:28" s="7" customFormat="1" ht="12.75" x14ac:dyDescent="0.2">
      <c r="A36" s="49">
        <f t="shared" si="7"/>
        <v>2046</v>
      </c>
      <c r="B36" s="128">
        <f t="shared" si="0"/>
        <v>1.2</v>
      </c>
      <c r="C36" s="5">
        <f t="shared" si="8"/>
        <v>2.2673941820180259</v>
      </c>
      <c r="D36" s="4">
        <f t="shared" si="1"/>
        <v>1.8894951516816882</v>
      </c>
      <c r="E36" s="129">
        <f t="shared" si="2"/>
        <v>4</v>
      </c>
      <c r="F36" s="5">
        <f t="shared" si="9"/>
        <v>3.8277931947200936</v>
      </c>
      <c r="G36" s="4">
        <f t="shared" si="3"/>
        <v>0.9569482986800234</v>
      </c>
      <c r="H36" s="18">
        <f t="shared" si="4"/>
        <v>1.7000000000000004</v>
      </c>
      <c r="I36" s="5">
        <f t="shared" si="10"/>
        <v>1.1053405572568122</v>
      </c>
      <c r="J36" s="4">
        <f t="shared" si="5"/>
        <v>0.65020032779812464</v>
      </c>
      <c r="K36" s="129">
        <f t="shared" si="11"/>
        <v>6.9</v>
      </c>
      <c r="L36" s="19">
        <f t="shared" si="12"/>
        <v>7.2005279339949313</v>
      </c>
      <c r="M36" s="4">
        <f t="shared" si="6"/>
        <v>1.0435547730427437</v>
      </c>
      <c r="N36" s="368">
        <f>('global path'!$C$6-'global path'!C33)/('global path'!$C$6-'global path'!$C$37)</f>
        <v>0.9261349027325414</v>
      </c>
      <c r="O36" s="152"/>
      <c r="W36" s="152"/>
      <c r="X36" s="152"/>
      <c r="Y36" s="152"/>
      <c r="Z36" s="152"/>
      <c r="AA36" s="152"/>
      <c r="AB36" s="152"/>
    </row>
    <row r="37" spans="1:28" s="7" customFormat="1" ht="12.75" x14ac:dyDescent="0.2">
      <c r="A37" s="49">
        <f t="shared" si="7"/>
        <v>2047</v>
      </c>
      <c r="B37" s="128">
        <f t="shared" si="0"/>
        <v>1.2</v>
      </c>
      <c r="C37" s="5">
        <f t="shared" si="8"/>
        <v>1.8431794720279737</v>
      </c>
      <c r="D37" s="4">
        <f t="shared" si="1"/>
        <v>1.5359828933566448</v>
      </c>
      <c r="E37" s="129">
        <f t="shared" si="2"/>
        <v>4</v>
      </c>
      <c r="F37" s="5">
        <f t="shared" si="9"/>
        <v>3.4728836466622379</v>
      </c>
      <c r="G37" s="4">
        <f t="shared" si="3"/>
        <v>0.86822091166555948</v>
      </c>
      <c r="H37" s="18">
        <f t="shared" si="4"/>
        <v>1.7000000000000004</v>
      </c>
      <c r="I37" s="5">
        <f t="shared" si="10"/>
        <v>1.1025692433965022</v>
      </c>
      <c r="J37" s="4">
        <f t="shared" si="5"/>
        <v>0.64857014317441286</v>
      </c>
      <c r="K37" s="129">
        <f t="shared" si="11"/>
        <v>6.9</v>
      </c>
      <c r="L37" s="19">
        <f t="shared" si="12"/>
        <v>6.4186323620867132</v>
      </c>
      <c r="M37" s="4">
        <f t="shared" si="6"/>
        <v>0.93023657421546568</v>
      </c>
      <c r="N37" s="368">
        <f>('global path'!$C$6-'global path'!C34)/('global path'!$C$6-'global path'!$C$37)</f>
        <v>0.94710796184625068</v>
      </c>
      <c r="O37" s="152"/>
      <c r="W37" s="152"/>
      <c r="X37" s="152"/>
      <c r="Y37" s="152"/>
      <c r="Z37" s="152"/>
      <c r="AA37" s="152"/>
      <c r="AB37" s="152"/>
    </row>
    <row r="38" spans="1:28" s="7" customFormat="1" ht="12.75" x14ac:dyDescent="0.2">
      <c r="A38" s="49">
        <f t="shared" si="7"/>
        <v>2048</v>
      </c>
      <c r="B38" s="128">
        <f t="shared" si="0"/>
        <v>1.2</v>
      </c>
      <c r="C38" s="5">
        <f t="shared" si="8"/>
        <v>1.4536036745156049</v>
      </c>
      <c r="D38" s="4">
        <f t="shared" si="1"/>
        <v>1.2113363954296708</v>
      </c>
      <c r="E38" s="129">
        <f t="shared" si="2"/>
        <v>4</v>
      </c>
      <c r="F38" s="5">
        <f t="shared" si="9"/>
        <v>3.1469539535767823</v>
      </c>
      <c r="G38" s="4">
        <f t="shared" si="3"/>
        <v>0.78673848839419558</v>
      </c>
      <c r="H38" s="18">
        <f t="shared" si="4"/>
        <v>1.7000000000000004</v>
      </c>
      <c r="I38" s="5">
        <f t="shared" si="10"/>
        <v>1.1000242189504787</v>
      </c>
      <c r="J38" s="4">
        <f t="shared" si="5"/>
        <v>0.64707306997086966</v>
      </c>
      <c r="K38" s="129">
        <f t="shared" si="11"/>
        <v>6.9</v>
      </c>
      <c r="L38" s="19">
        <f t="shared" si="12"/>
        <v>5.7005818470428657</v>
      </c>
      <c r="M38" s="4">
        <f t="shared" si="6"/>
        <v>0.82617128218012548</v>
      </c>
      <c r="N38" s="368">
        <f>('global path'!$C$6-'global path'!C35)/('global path'!$C$6-'global path'!$C$37)</f>
        <v>0.96636848261105146</v>
      </c>
      <c r="O38" s="152"/>
      <c r="W38" s="152"/>
      <c r="X38" s="152"/>
      <c r="Y38" s="152"/>
      <c r="Z38" s="152"/>
      <c r="AA38" s="152"/>
      <c r="AB38" s="152"/>
    </row>
    <row r="39" spans="1:28" s="7" customFormat="1" ht="12.75" x14ac:dyDescent="0.2">
      <c r="A39" s="49">
        <f t="shared" si="7"/>
        <v>2049</v>
      </c>
      <c r="B39" s="128">
        <f t="shared" si="0"/>
        <v>1.2</v>
      </c>
      <c r="C39" s="5">
        <f t="shared" si="8"/>
        <v>1.0974618407642864</v>
      </c>
      <c r="D39" s="4">
        <f t="shared" si="1"/>
        <v>0.91455153397023869</v>
      </c>
      <c r="E39" s="129">
        <f t="shared" si="2"/>
        <v>4</v>
      </c>
      <c r="F39" s="5">
        <f t="shared" si="9"/>
        <v>2.8489960226409585</v>
      </c>
      <c r="G39" s="4">
        <f t="shared" si="3"/>
        <v>0.71224900566023963</v>
      </c>
      <c r="H39" s="18">
        <f t="shared" si="4"/>
        <v>1.7000000000000004</v>
      </c>
      <c r="I39" s="5">
        <f t="shared" si="10"/>
        <v>1.0976976122183963</v>
      </c>
      <c r="J39" s="4">
        <f t="shared" si="5"/>
        <v>0.64570447777552709</v>
      </c>
      <c r="K39" s="129">
        <f t="shared" si="11"/>
        <v>6.9</v>
      </c>
      <c r="L39" s="19">
        <f t="shared" si="12"/>
        <v>5.0441554756236417</v>
      </c>
      <c r="M39" s="4">
        <f t="shared" si="6"/>
        <v>0.73103702545270166</v>
      </c>
      <c r="N39" s="368">
        <f>('global path'!$C$6-'global path'!C36)/('global path'!$C$6-'global path'!$C$37)</f>
        <v>0.98397603736158423</v>
      </c>
      <c r="O39" s="152"/>
      <c r="W39" s="152"/>
      <c r="X39" s="152"/>
      <c r="Y39" s="152"/>
      <c r="Z39" s="152"/>
      <c r="AA39" s="152"/>
      <c r="AB39" s="152"/>
    </row>
    <row r="40" spans="1:28" s="7" customFormat="1" ht="13.5" thickBot="1" x14ac:dyDescent="0.25">
      <c r="A40" s="50">
        <f t="shared" si="7"/>
        <v>2050</v>
      </c>
      <c r="B40" s="377">
        <f>'input data'!C18</f>
        <v>1.2</v>
      </c>
      <c r="C40" s="379">
        <f t="shared" si="8"/>
        <v>0.7733507691894369</v>
      </c>
      <c r="D40" s="380">
        <f t="shared" si="1"/>
        <v>0.64445897432453081</v>
      </c>
      <c r="E40" s="378">
        <f>'input data'!D18</f>
        <v>4</v>
      </c>
      <c r="F40" s="379">
        <f t="shared" si="9"/>
        <v>2.5778358972981232</v>
      </c>
      <c r="G40" s="380">
        <f t="shared" si="3"/>
        <v>0.64445897432453081</v>
      </c>
      <c r="H40" s="164">
        <f>K40-E40-B40</f>
        <v>1.7000000000000004</v>
      </c>
      <c r="I40" s="379">
        <f t="shared" si="10"/>
        <v>1.0955802563517025</v>
      </c>
      <c r="J40" s="380">
        <f t="shared" si="5"/>
        <v>0.6444589743245307</v>
      </c>
      <c r="K40" s="378">
        <f>'input data'!F18</f>
        <v>6.9</v>
      </c>
      <c r="L40" s="268">
        <f t="shared" si="12"/>
        <v>4.446766922839263</v>
      </c>
      <c r="M40" s="380">
        <f t="shared" si="6"/>
        <v>0.64445897432453081</v>
      </c>
      <c r="N40" s="661">
        <f>('global path'!$C$6-'global path'!C37)/('global path'!$C$6-'global path'!$C$37)</f>
        <v>1</v>
      </c>
      <c r="O40" s="152"/>
      <c r="W40" s="152"/>
      <c r="X40" s="152"/>
      <c r="Y40" s="152"/>
      <c r="Z40" s="152"/>
      <c r="AA40" s="152"/>
      <c r="AB40" s="152"/>
    </row>
    <row r="41" spans="1:28" s="7" customFormat="1" ht="13.5" thickBot="1" x14ac:dyDescent="0.25">
      <c r="A41" s="45" t="s">
        <v>1</v>
      </c>
      <c r="B41" s="120"/>
      <c r="C41" s="121">
        <f>SUM(C10:C40)</f>
        <v>305.50878147574412</v>
      </c>
      <c r="D41" s="122"/>
      <c r="E41" s="120"/>
      <c r="F41" s="121">
        <f>SUM(F10:F40)</f>
        <v>315.45266303406379</v>
      </c>
      <c r="G41" s="122"/>
      <c r="H41" s="120"/>
      <c r="I41" s="121">
        <f>SUM(I10:I40)</f>
        <v>35.802201848035111</v>
      </c>
      <c r="J41" s="122"/>
      <c r="K41" s="120"/>
      <c r="L41" s="123">
        <f>SUM(L10:L40)</f>
        <v>656.76364635784307</v>
      </c>
      <c r="M41" s="124"/>
      <c r="N41" s="86"/>
      <c r="O41" s="138"/>
      <c r="W41" s="138"/>
      <c r="X41" s="138"/>
      <c r="Y41" s="138"/>
      <c r="Z41" s="138"/>
      <c r="AA41" s="138"/>
      <c r="AB41" s="138"/>
    </row>
    <row r="42" spans="1:28" s="7" customFormat="1" ht="12" x14ac:dyDescent="0.2"/>
    <row r="43" spans="1:28" s="7" customFormat="1" ht="12.75" x14ac:dyDescent="0.2">
      <c r="A43" s="641" t="s">
        <v>201</v>
      </c>
      <c r="B43" s="662">
        <f>B40/B9-1</f>
        <v>0</v>
      </c>
      <c r="E43" s="662">
        <f>E40/E9-1</f>
        <v>0</v>
      </c>
      <c r="H43" s="662">
        <f>H40/H9-1</f>
        <v>0</v>
      </c>
      <c r="J43" s="7" t="s">
        <v>41</v>
      </c>
      <c r="K43" s="114"/>
      <c r="L43" s="113">
        <f>'global path'!C88</f>
        <v>683.96620539064213</v>
      </c>
    </row>
    <row r="44" spans="1:28" ht="12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113">
        <f>L41-L43</f>
        <v>-27.202559032799059</v>
      </c>
      <c r="M44" s="7"/>
      <c r="N44" s="7"/>
      <c r="O44" s="7"/>
      <c r="W44" s="7"/>
      <c r="X44" s="7"/>
      <c r="Y44" s="7"/>
      <c r="Z44" s="7"/>
      <c r="AA44" s="7"/>
      <c r="AB44" s="7"/>
    </row>
    <row r="45" spans="1:28" ht="12.75" thickBo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W45" s="7"/>
      <c r="X45" s="7"/>
      <c r="Y45" s="7"/>
      <c r="Z45" s="7"/>
      <c r="AA45" s="7"/>
      <c r="AB45" s="7"/>
    </row>
    <row r="46" spans="1:28" ht="12" x14ac:dyDescent="0.2">
      <c r="A46" s="539">
        <f>A40+1</f>
        <v>2051</v>
      </c>
      <c r="B46" s="569">
        <f>B40</f>
        <v>1.2</v>
      </c>
      <c r="C46" s="540">
        <f>B46/$K46*$L46</f>
        <v>0.67922401305673408</v>
      </c>
      <c r="D46" s="543">
        <f>C46/B46</f>
        <v>0.56602001088061171</v>
      </c>
      <c r="E46" s="570">
        <f>E40</f>
        <v>4</v>
      </c>
      <c r="F46" s="540">
        <f>E46/$K46*$L46</f>
        <v>2.2640800435224473</v>
      </c>
      <c r="G46" s="541">
        <f>F46/E46</f>
        <v>0.56602001088061182</v>
      </c>
      <c r="H46" s="571">
        <f>H40</f>
        <v>1.7000000000000004</v>
      </c>
      <c r="I46" s="540">
        <f>H46/$K46*$L46</f>
        <v>0.96223401849704016</v>
      </c>
      <c r="J46" s="543">
        <f>I46/H46</f>
        <v>0.56602001088061171</v>
      </c>
      <c r="K46" s="542">
        <f>B46+E46+H46</f>
        <v>6.9</v>
      </c>
      <c r="L46" s="540">
        <f>'global path'!C38</f>
        <v>3.9055380750762212</v>
      </c>
      <c r="M46" s="543">
        <f>L46/K46</f>
        <v>0.56602001088061171</v>
      </c>
      <c r="N46" s="7"/>
      <c r="O46" s="7"/>
      <c r="W46" s="7"/>
      <c r="X46" s="7"/>
      <c r="Y46" s="7"/>
      <c r="Z46" s="7"/>
      <c r="AA46" s="7"/>
      <c r="AB46" s="7"/>
    </row>
    <row r="47" spans="1:28" ht="12" x14ac:dyDescent="0.2">
      <c r="A47" s="544">
        <f>A46+1</f>
        <v>2052</v>
      </c>
      <c r="B47" s="555">
        <f>B46</f>
        <v>1.2</v>
      </c>
      <c r="C47" s="546">
        <f t="shared" ref="C47:C95" si="13">B47/$K47*$L47</f>
        <v>0.59432512095118173</v>
      </c>
      <c r="D47" s="549">
        <f t="shared" ref="D47:D95" si="14">C47/B47</f>
        <v>0.49527093412598477</v>
      </c>
      <c r="E47" s="545">
        <f>E46</f>
        <v>4</v>
      </c>
      <c r="F47" s="546">
        <f t="shared" ref="F47:F95" si="15">E47/$K47*$L47</f>
        <v>1.9810837365039393</v>
      </c>
      <c r="G47" s="547">
        <f t="shared" ref="G47:G95" si="16">F47/E47</f>
        <v>0.49527093412598483</v>
      </c>
      <c r="H47" s="557">
        <f>H46</f>
        <v>1.7000000000000004</v>
      </c>
      <c r="I47" s="546">
        <f t="shared" ref="I47:I95" si="17">H47/$K47*$L47</f>
        <v>0.84196058801417428</v>
      </c>
      <c r="J47" s="549">
        <f t="shared" ref="J47:J95" si="18">I47/H47</f>
        <v>0.49527093412598477</v>
      </c>
      <c r="K47" s="548">
        <f t="shared" ref="K47:K95" si="19">B47+E47+H47</f>
        <v>6.9</v>
      </c>
      <c r="L47" s="546">
        <f>'global path'!C39</f>
        <v>3.4173694454692951</v>
      </c>
      <c r="M47" s="549">
        <f t="shared" ref="M47:M95" si="20">L47/K47</f>
        <v>0.49527093412598477</v>
      </c>
      <c r="N47" s="7"/>
      <c r="O47" s="7"/>
      <c r="W47" s="7"/>
      <c r="X47" s="7"/>
      <c r="Y47" s="7"/>
      <c r="Z47" s="7"/>
      <c r="AA47" s="7"/>
      <c r="AB47" s="7"/>
    </row>
    <row r="48" spans="1:28" ht="12" x14ac:dyDescent="0.2">
      <c r="A48" s="544">
        <f t="shared" ref="A48:A95" si="21">A47+1</f>
        <v>2053</v>
      </c>
      <c r="B48" s="555">
        <f t="shared" ref="B48:B95" si="22">B47</f>
        <v>1.2</v>
      </c>
      <c r="C48" s="546">
        <f t="shared" si="13"/>
        <v>0.51808805976039229</v>
      </c>
      <c r="D48" s="549">
        <f t="shared" si="14"/>
        <v>0.43174004980032693</v>
      </c>
      <c r="E48" s="545">
        <f t="shared" ref="E48:E95" si="23">E47</f>
        <v>4</v>
      </c>
      <c r="F48" s="546">
        <f t="shared" si="15"/>
        <v>1.7269601992013077</v>
      </c>
      <c r="G48" s="547">
        <f t="shared" si="16"/>
        <v>0.43174004980032693</v>
      </c>
      <c r="H48" s="557">
        <f t="shared" ref="H48:H95" si="24">H47</f>
        <v>1.7000000000000004</v>
      </c>
      <c r="I48" s="546">
        <f t="shared" si="17"/>
        <v>0.73395808466055579</v>
      </c>
      <c r="J48" s="549">
        <f t="shared" si="18"/>
        <v>0.43174004980032682</v>
      </c>
      <c r="K48" s="548">
        <f t="shared" si="19"/>
        <v>6.9</v>
      </c>
      <c r="L48" s="546">
        <f>'global path'!C40</f>
        <v>2.9790063436222556</v>
      </c>
      <c r="M48" s="549">
        <f t="shared" si="20"/>
        <v>0.43174004980032687</v>
      </c>
      <c r="N48" s="7"/>
      <c r="O48" s="7"/>
      <c r="W48" s="7"/>
      <c r="X48" s="7"/>
      <c r="Y48" s="7"/>
      <c r="Z48" s="7"/>
      <c r="AA48" s="7"/>
      <c r="AB48" s="7"/>
    </row>
    <row r="49" spans="1:28" ht="12" x14ac:dyDescent="0.2">
      <c r="A49" s="544">
        <f t="shared" si="21"/>
        <v>2054</v>
      </c>
      <c r="B49" s="555">
        <f t="shared" si="22"/>
        <v>1.2</v>
      </c>
      <c r="C49" s="546">
        <f t="shared" si="13"/>
        <v>0.44993042991229248</v>
      </c>
      <c r="D49" s="549">
        <f t="shared" si="14"/>
        <v>0.37494202492691042</v>
      </c>
      <c r="E49" s="545">
        <f t="shared" si="23"/>
        <v>4</v>
      </c>
      <c r="F49" s="546">
        <f t="shared" si="15"/>
        <v>1.4997680997076417</v>
      </c>
      <c r="G49" s="547">
        <f t="shared" si="16"/>
        <v>0.37494202492691042</v>
      </c>
      <c r="H49" s="557">
        <f t="shared" si="24"/>
        <v>1.7000000000000004</v>
      </c>
      <c r="I49" s="546">
        <f t="shared" si="17"/>
        <v>0.63740144237574781</v>
      </c>
      <c r="J49" s="549">
        <f t="shared" si="18"/>
        <v>0.37494202492691037</v>
      </c>
      <c r="K49" s="548">
        <f t="shared" si="19"/>
        <v>6.9</v>
      </c>
      <c r="L49" s="546">
        <f>'global path'!C41</f>
        <v>2.587099971995682</v>
      </c>
      <c r="M49" s="549">
        <f t="shared" si="20"/>
        <v>0.37494202492691042</v>
      </c>
      <c r="N49" s="7"/>
      <c r="O49" s="7"/>
      <c r="W49" s="7"/>
      <c r="X49" s="7"/>
      <c r="Y49" s="7"/>
      <c r="Z49" s="7"/>
      <c r="AA49" s="7"/>
      <c r="AB49" s="7"/>
    </row>
    <row r="50" spans="1:28" ht="12" x14ac:dyDescent="0.2">
      <c r="A50" s="544">
        <f t="shared" si="21"/>
        <v>2055</v>
      </c>
      <c r="B50" s="555">
        <f t="shared" si="22"/>
        <v>1.2</v>
      </c>
      <c r="C50" s="546">
        <f t="shared" si="13"/>
        <v>0.3892631009381311</v>
      </c>
      <c r="D50" s="549">
        <f t="shared" si="14"/>
        <v>0.32438591744844258</v>
      </c>
      <c r="E50" s="545">
        <f t="shared" si="23"/>
        <v>4</v>
      </c>
      <c r="F50" s="546">
        <f t="shared" si="15"/>
        <v>1.2975436697937706</v>
      </c>
      <c r="G50" s="547">
        <f t="shared" si="16"/>
        <v>0.32438591744844264</v>
      </c>
      <c r="H50" s="557">
        <f t="shared" si="24"/>
        <v>1.7000000000000004</v>
      </c>
      <c r="I50" s="546">
        <f t="shared" si="17"/>
        <v>0.55145605966235256</v>
      </c>
      <c r="J50" s="549">
        <f t="shared" si="18"/>
        <v>0.32438591744844258</v>
      </c>
      <c r="K50" s="548">
        <f t="shared" si="19"/>
        <v>6.9</v>
      </c>
      <c r="L50" s="546">
        <f>'global path'!C42</f>
        <v>2.238262830394254</v>
      </c>
      <c r="M50" s="549">
        <f t="shared" si="20"/>
        <v>0.32438591744844258</v>
      </c>
    </row>
    <row r="51" spans="1:28" ht="12" x14ac:dyDescent="0.2">
      <c r="A51" s="544">
        <f t="shared" si="21"/>
        <v>2056</v>
      </c>
      <c r="B51" s="555">
        <f t="shared" si="22"/>
        <v>1.2</v>
      </c>
      <c r="C51" s="546">
        <f t="shared" si="13"/>
        <v>0.33549878468568733</v>
      </c>
      <c r="D51" s="549">
        <f t="shared" si="14"/>
        <v>0.27958232057140614</v>
      </c>
      <c r="E51" s="545">
        <f t="shared" si="23"/>
        <v>4</v>
      </c>
      <c r="F51" s="546">
        <f t="shared" si="15"/>
        <v>1.1183292822856246</v>
      </c>
      <c r="G51" s="547">
        <f t="shared" si="16"/>
        <v>0.27958232057140614</v>
      </c>
      <c r="H51" s="557">
        <f t="shared" si="24"/>
        <v>1.7000000000000004</v>
      </c>
      <c r="I51" s="546">
        <f t="shared" si="17"/>
        <v>0.47528994497139049</v>
      </c>
      <c r="J51" s="549">
        <f t="shared" si="18"/>
        <v>0.27958232057140608</v>
      </c>
      <c r="K51" s="548">
        <f t="shared" si="19"/>
        <v>6.9</v>
      </c>
      <c r="L51" s="546">
        <f>'global path'!C43</f>
        <v>1.9291180119427023</v>
      </c>
      <c r="M51" s="549">
        <f t="shared" si="20"/>
        <v>0.27958232057140608</v>
      </c>
    </row>
    <row r="52" spans="1:28" ht="12" x14ac:dyDescent="0.2">
      <c r="A52" s="544">
        <f t="shared" si="21"/>
        <v>2057</v>
      </c>
      <c r="B52" s="555">
        <f t="shared" si="22"/>
        <v>1.2</v>
      </c>
      <c r="C52" s="546">
        <f t="shared" si="13"/>
        <v>0.28805950670893604</v>
      </c>
      <c r="D52" s="549">
        <f t="shared" si="14"/>
        <v>0.24004958892411338</v>
      </c>
      <c r="E52" s="545">
        <f t="shared" si="23"/>
        <v>4</v>
      </c>
      <c r="F52" s="546">
        <f t="shared" si="15"/>
        <v>0.96019835569645351</v>
      </c>
      <c r="G52" s="547">
        <f t="shared" si="16"/>
        <v>0.24004958892411338</v>
      </c>
      <c r="H52" s="557">
        <f t="shared" si="24"/>
        <v>1.7000000000000004</v>
      </c>
      <c r="I52" s="546">
        <f t="shared" si="17"/>
        <v>0.40808430117099276</v>
      </c>
      <c r="J52" s="549">
        <f t="shared" si="18"/>
        <v>0.24004958892411332</v>
      </c>
      <c r="K52" s="548">
        <f t="shared" si="19"/>
        <v>6.9</v>
      </c>
      <c r="L52" s="546">
        <f>'global path'!C44</f>
        <v>1.6563421635763822</v>
      </c>
      <c r="M52" s="549">
        <f t="shared" si="20"/>
        <v>0.24004958892411335</v>
      </c>
    </row>
    <row r="53" spans="1:28" ht="12" x14ac:dyDescent="0.2">
      <c r="A53" s="544">
        <f t="shared" si="21"/>
        <v>2058</v>
      </c>
      <c r="B53" s="555">
        <f t="shared" si="22"/>
        <v>1.2</v>
      </c>
      <c r="C53" s="546">
        <f t="shared" si="13"/>
        <v>0.24638296647093647</v>
      </c>
      <c r="D53" s="549">
        <f t="shared" si="14"/>
        <v>0.20531913872578039</v>
      </c>
      <c r="E53" s="545">
        <f t="shared" si="23"/>
        <v>4</v>
      </c>
      <c r="F53" s="546">
        <f t="shared" si="15"/>
        <v>0.82127655490312168</v>
      </c>
      <c r="G53" s="547">
        <f t="shared" si="16"/>
        <v>0.20531913872578042</v>
      </c>
      <c r="H53" s="557">
        <f t="shared" si="24"/>
        <v>1.7000000000000004</v>
      </c>
      <c r="I53" s="546">
        <f t="shared" si="17"/>
        <v>0.34904253583382672</v>
      </c>
      <c r="J53" s="549">
        <f t="shared" si="18"/>
        <v>0.20531913872578036</v>
      </c>
      <c r="K53" s="548">
        <f t="shared" si="19"/>
        <v>6.9</v>
      </c>
      <c r="L53" s="546">
        <f>'global path'!C45</f>
        <v>1.4167020572078848</v>
      </c>
      <c r="M53" s="549">
        <f t="shared" si="20"/>
        <v>0.20531913872578039</v>
      </c>
    </row>
    <row r="54" spans="1:28" ht="12" x14ac:dyDescent="0.2">
      <c r="A54" s="544">
        <f t="shared" si="21"/>
        <v>2059</v>
      </c>
      <c r="B54" s="555">
        <f t="shared" si="22"/>
        <v>1.2</v>
      </c>
      <c r="C54" s="546">
        <f t="shared" si="13"/>
        <v>0.2099278036881618</v>
      </c>
      <c r="D54" s="549">
        <f t="shared" si="14"/>
        <v>0.1749398364068015</v>
      </c>
      <c r="E54" s="545">
        <f t="shared" si="23"/>
        <v>4</v>
      </c>
      <c r="F54" s="546">
        <f t="shared" si="15"/>
        <v>0.6997593456272061</v>
      </c>
      <c r="G54" s="547">
        <f t="shared" si="16"/>
        <v>0.17493983640680152</v>
      </c>
      <c r="H54" s="557">
        <f t="shared" si="24"/>
        <v>1.7000000000000004</v>
      </c>
      <c r="I54" s="546">
        <f t="shared" si="17"/>
        <v>0.29739772189156261</v>
      </c>
      <c r="J54" s="549">
        <f t="shared" si="18"/>
        <v>0.1749398364068015</v>
      </c>
      <c r="K54" s="548">
        <f t="shared" si="19"/>
        <v>6.9</v>
      </c>
      <c r="L54" s="546">
        <f>'global path'!C46</f>
        <v>1.2070848712069304</v>
      </c>
      <c r="M54" s="549">
        <f t="shared" si="20"/>
        <v>0.1749398364068015</v>
      </c>
    </row>
    <row r="55" spans="1:28" ht="12" x14ac:dyDescent="0.2">
      <c r="A55" s="544">
        <f t="shared" si="21"/>
        <v>2060</v>
      </c>
      <c r="B55" s="555">
        <f t="shared" si="22"/>
        <v>1.2</v>
      </c>
      <c r="C55" s="546">
        <f t="shared" si="13"/>
        <v>0.17817781104482394</v>
      </c>
      <c r="D55" s="549">
        <f t="shared" si="14"/>
        <v>0.14848150920401995</v>
      </c>
      <c r="E55" s="545">
        <f t="shared" si="23"/>
        <v>4</v>
      </c>
      <c r="F55" s="546">
        <f t="shared" si="15"/>
        <v>0.59392603681607992</v>
      </c>
      <c r="G55" s="547">
        <f t="shared" si="16"/>
        <v>0.14848150920401998</v>
      </c>
      <c r="H55" s="557">
        <f t="shared" si="24"/>
        <v>1.7000000000000004</v>
      </c>
      <c r="I55" s="546">
        <f t="shared" si="17"/>
        <v>0.25241856564683396</v>
      </c>
      <c r="J55" s="549">
        <f t="shared" si="18"/>
        <v>0.14848150920401995</v>
      </c>
      <c r="K55" s="548">
        <f t="shared" si="19"/>
        <v>6.9</v>
      </c>
      <c r="L55" s="546">
        <f>'global path'!C47</f>
        <v>1.0245224135077378</v>
      </c>
      <c r="M55" s="549">
        <f t="shared" si="20"/>
        <v>0.14848150920401995</v>
      </c>
    </row>
    <row r="56" spans="1:28" ht="12" x14ac:dyDescent="0.2">
      <c r="A56" s="544">
        <f t="shared" si="21"/>
        <v>2061</v>
      </c>
      <c r="B56" s="555">
        <f t="shared" si="22"/>
        <v>1.2</v>
      </c>
      <c r="C56" s="546">
        <f t="shared" si="13"/>
        <v>0.15064515241260856</v>
      </c>
      <c r="D56" s="549">
        <f t="shared" si="14"/>
        <v>0.12553762701050714</v>
      </c>
      <c r="E56" s="545">
        <f t="shared" si="23"/>
        <v>4</v>
      </c>
      <c r="F56" s="546">
        <f t="shared" si="15"/>
        <v>0.50215050804202865</v>
      </c>
      <c r="G56" s="547">
        <f t="shared" si="16"/>
        <v>0.12553762701050716</v>
      </c>
      <c r="H56" s="557">
        <f t="shared" si="24"/>
        <v>1.7000000000000004</v>
      </c>
      <c r="I56" s="546">
        <f t="shared" si="17"/>
        <v>0.21341396591786219</v>
      </c>
      <c r="J56" s="549">
        <f t="shared" si="18"/>
        <v>0.12553762701050714</v>
      </c>
      <c r="K56" s="548">
        <f t="shared" si="19"/>
        <v>6.9</v>
      </c>
      <c r="L56" s="546">
        <f>'global path'!C48</f>
        <v>0.86620962637249932</v>
      </c>
      <c r="M56" s="549">
        <f t="shared" si="20"/>
        <v>0.12553762701050714</v>
      </c>
    </row>
    <row r="57" spans="1:28" ht="12" x14ac:dyDescent="0.2">
      <c r="A57" s="544">
        <f t="shared" si="21"/>
        <v>2062</v>
      </c>
      <c r="B57" s="555">
        <f t="shared" si="22"/>
        <v>1.2</v>
      </c>
      <c r="C57" s="546">
        <f t="shared" si="13"/>
        <v>0.12687266057856594</v>
      </c>
      <c r="D57" s="549">
        <f t="shared" si="14"/>
        <v>0.10572721714880495</v>
      </c>
      <c r="E57" s="545">
        <f t="shared" si="23"/>
        <v>4</v>
      </c>
      <c r="F57" s="546">
        <f t="shared" si="15"/>
        <v>0.42290886859521987</v>
      </c>
      <c r="G57" s="547">
        <f t="shared" si="16"/>
        <v>0.10572721714880497</v>
      </c>
      <c r="H57" s="557">
        <f t="shared" si="24"/>
        <v>1.7000000000000004</v>
      </c>
      <c r="I57" s="546">
        <f t="shared" si="17"/>
        <v>0.17973626915296848</v>
      </c>
      <c r="J57" s="549">
        <f t="shared" si="18"/>
        <v>0.10572721714880497</v>
      </c>
      <c r="K57" s="548">
        <f t="shared" si="19"/>
        <v>6.9</v>
      </c>
      <c r="L57" s="546">
        <f>'global path'!C49</f>
        <v>0.72951779832675423</v>
      </c>
      <c r="M57" s="549">
        <f t="shared" si="20"/>
        <v>0.10572721714880495</v>
      </c>
    </row>
    <row r="58" spans="1:28" ht="12" x14ac:dyDescent="0.2">
      <c r="A58" s="544">
        <f t="shared" si="21"/>
        <v>2063</v>
      </c>
      <c r="B58" s="555">
        <f t="shared" si="22"/>
        <v>1.2</v>
      </c>
      <c r="C58" s="546">
        <f t="shared" si="13"/>
        <v>0.10643529940410673</v>
      </c>
      <c r="D58" s="549">
        <f t="shared" si="14"/>
        <v>8.8696082836755619E-2</v>
      </c>
      <c r="E58" s="545">
        <f t="shared" si="23"/>
        <v>4</v>
      </c>
      <c r="F58" s="546">
        <f t="shared" si="15"/>
        <v>0.35478433134702247</v>
      </c>
      <c r="G58" s="547">
        <f t="shared" si="16"/>
        <v>8.8696082836755619E-2</v>
      </c>
      <c r="H58" s="557">
        <f t="shared" si="24"/>
        <v>1.7000000000000004</v>
      </c>
      <c r="I58" s="546">
        <f t="shared" si="17"/>
        <v>0.15078334082248457</v>
      </c>
      <c r="J58" s="549">
        <f t="shared" si="18"/>
        <v>8.8696082836755605E-2</v>
      </c>
      <c r="K58" s="548">
        <f t="shared" si="19"/>
        <v>6.9</v>
      </c>
      <c r="L58" s="546">
        <f>'global path'!C50</f>
        <v>0.61200297157361372</v>
      </c>
      <c r="M58" s="549">
        <f t="shared" si="20"/>
        <v>8.8696082836755605E-2</v>
      </c>
    </row>
    <row r="59" spans="1:28" ht="12" x14ac:dyDescent="0.2">
      <c r="A59" s="544">
        <f t="shared" si="21"/>
        <v>2064</v>
      </c>
      <c r="B59" s="555">
        <f t="shared" si="22"/>
        <v>1.2</v>
      </c>
      <c r="C59" s="546">
        <f t="shared" si="13"/>
        <v>8.8940882520877326E-2</v>
      </c>
      <c r="D59" s="549">
        <f t="shared" si="14"/>
        <v>7.4117402100731103E-2</v>
      </c>
      <c r="E59" s="545">
        <f t="shared" si="23"/>
        <v>4</v>
      </c>
      <c r="F59" s="546">
        <f t="shared" si="15"/>
        <v>0.29646960840292441</v>
      </c>
      <c r="G59" s="547">
        <f t="shared" si="16"/>
        <v>7.4117402100731103E-2</v>
      </c>
      <c r="H59" s="557">
        <f t="shared" si="24"/>
        <v>1.7000000000000004</v>
      </c>
      <c r="I59" s="546">
        <f t="shared" si="17"/>
        <v>0.12599958357124288</v>
      </c>
      <c r="J59" s="549">
        <f t="shared" si="18"/>
        <v>7.4117402100731089E-2</v>
      </c>
      <c r="K59" s="548">
        <f t="shared" si="19"/>
        <v>6.9</v>
      </c>
      <c r="L59" s="546">
        <f>'global path'!C51</f>
        <v>0.51141007449504461</v>
      </c>
      <c r="M59" s="549">
        <f t="shared" si="20"/>
        <v>7.4117402100731103E-2</v>
      </c>
    </row>
    <row r="60" spans="1:28" ht="12" x14ac:dyDescent="0.2">
      <c r="A60" s="544">
        <f t="shared" si="21"/>
        <v>2065</v>
      </c>
      <c r="B60" s="555">
        <f t="shared" si="22"/>
        <v>1.2</v>
      </c>
      <c r="C60" s="546">
        <f t="shared" si="13"/>
        <v>7.4030144418831711E-2</v>
      </c>
      <c r="D60" s="549">
        <f t="shared" si="14"/>
        <v>6.1691787015693098E-2</v>
      </c>
      <c r="E60" s="545">
        <f t="shared" si="23"/>
        <v>4</v>
      </c>
      <c r="F60" s="546">
        <f t="shared" si="15"/>
        <v>0.24676714806277239</v>
      </c>
      <c r="G60" s="547">
        <f t="shared" si="16"/>
        <v>6.1691787015693098E-2</v>
      </c>
      <c r="H60" s="557">
        <f t="shared" si="24"/>
        <v>1.7000000000000004</v>
      </c>
      <c r="I60" s="546">
        <f t="shared" si="17"/>
        <v>0.10487603792667828</v>
      </c>
      <c r="J60" s="549">
        <f t="shared" si="18"/>
        <v>6.1691787015693091E-2</v>
      </c>
      <c r="K60" s="548">
        <f t="shared" si="19"/>
        <v>6.9</v>
      </c>
      <c r="L60" s="546">
        <f>'global path'!C52</f>
        <v>0.42567333040828237</v>
      </c>
      <c r="M60" s="549">
        <f t="shared" si="20"/>
        <v>6.1691787015693091E-2</v>
      </c>
    </row>
    <row r="61" spans="1:28" ht="12" x14ac:dyDescent="0.2">
      <c r="A61" s="544">
        <f t="shared" si="21"/>
        <v>2066</v>
      </c>
      <c r="B61" s="555">
        <f t="shared" si="22"/>
        <v>1.2</v>
      </c>
      <c r="C61" s="546">
        <f t="shared" si="13"/>
        <v>6.1376260472816184E-2</v>
      </c>
      <c r="D61" s="549">
        <f t="shared" si="14"/>
        <v>5.1146883727346819E-2</v>
      </c>
      <c r="E61" s="545">
        <f t="shared" si="23"/>
        <v>4</v>
      </c>
      <c r="F61" s="546">
        <f t="shared" si="15"/>
        <v>0.2045875349093873</v>
      </c>
      <c r="G61" s="547">
        <f t="shared" si="16"/>
        <v>5.1146883727346826E-2</v>
      </c>
      <c r="H61" s="557">
        <f t="shared" si="24"/>
        <v>1.7000000000000004</v>
      </c>
      <c r="I61" s="546">
        <f t="shared" si="17"/>
        <v>8.6949702336489618E-2</v>
      </c>
      <c r="J61" s="549">
        <f t="shared" si="18"/>
        <v>5.1146883727346819E-2</v>
      </c>
      <c r="K61" s="548">
        <f t="shared" si="19"/>
        <v>6.9</v>
      </c>
      <c r="L61" s="546">
        <f>'global path'!C53</f>
        <v>0.35291349771869307</v>
      </c>
      <c r="M61" s="549">
        <f t="shared" si="20"/>
        <v>5.1146883727346819E-2</v>
      </c>
    </row>
    <row r="62" spans="1:28" ht="12" x14ac:dyDescent="0.2">
      <c r="A62" s="544">
        <f t="shared" si="21"/>
        <v>2067</v>
      </c>
      <c r="B62" s="555">
        <f t="shared" si="22"/>
        <v>1.2</v>
      </c>
      <c r="C62" s="546">
        <f t="shared" si="13"/>
        <v>5.0683910508547897E-2</v>
      </c>
      <c r="D62" s="549">
        <f t="shared" si="14"/>
        <v>4.2236592090456583E-2</v>
      </c>
      <c r="E62" s="545">
        <f t="shared" si="23"/>
        <v>4</v>
      </c>
      <c r="F62" s="546">
        <f t="shared" si="15"/>
        <v>0.16894636836182633</v>
      </c>
      <c r="G62" s="547">
        <f t="shared" si="16"/>
        <v>4.2236592090456583E-2</v>
      </c>
      <c r="H62" s="557">
        <f t="shared" si="24"/>
        <v>1.7000000000000004</v>
      </c>
      <c r="I62" s="546">
        <f t="shared" si="17"/>
        <v>7.1802206553776199E-2</v>
      </c>
      <c r="J62" s="549">
        <f t="shared" si="18"/>
        <v>4.2236592090456576E-2</v>
      </c>
      <c r="K62" s="548">
        <f t="shared" si="19"/>
        <v>6.9</v>
      </c>
      <c r="L62" s="546">
        <f>'global path'!C54</f>
        <v>0.2914324854241504</v>
      </c>
      <c r="M62" s="549">
        <f t="shared" si="20"/>
        <v>4.2236592090456576E-2</v>
      </c>
    </row>
    <row r="63" spans="1:28" ht="12" x14ac:dyDescent="0.2">
      <c r="A63" s="544">
        <f t="shared" si="21"/>
        <v>2068</v>
      </c>
      <c r="B63" s="555">
        <f t="shared" si="22"/>
        <v>1.2</v>
      </c>
      <c r="C63" s="546">
        <f t="shared" si="13"/>
        <v>4.1687976374534287E-2</v>
      </c>
      <c r="D63" s="549">
        <f t="shared" si="14"/>
        <v>3.4739980312111909E-2</v>
      </c>
      <c r="E63" s="545">
        <f t="shared" si="23"/>
        <v>4</v>
      </c>
      <c r="F63" s="546">
        <f t="shared" si="15"/>
        <v>0.13895992124844764</v>
      </c>
      <c r="G63" s="547">
        <f t="shared" si="16"/>
        <v>3.4739980312111909E-2</v>
      </c>
      <c r="H63" s="557">
        <f t="shared" si="24"/>
        <v>1.7000000000000004</v>
      </c>
      <c r="I63" s="546">
        <f t="shared" si="17"/>
        <v>5.9057966530590256E-2</v>
      </c>
      <c r="J63" s="549">
        <f t="shared" si="18"/>
        <v>3.4739980312111909E-2</v>
      </c>
      <c r="K63" s="548">
        <f t="shared" si="19"/>
        <v>6.9</v>
      </c>
      <c r="L63" s="546">
        <f>'global path'!C55</f>
        <v>0.23970586415357217</v>
      </c>
      <c r="M63" s="549">
        <f t="shared" si="20"/>
        <v>3.4739980312111909E-2</v>
      </c>
    </row>
    <row r="64" spans="1:28" ht="12" x14ac:dyDescent="0.2">
      <c r="A64" s="544">
        <f t="shared" si="21"/>
        <v>2069</v>
      </c>
      <c r="B64" s="555">
        <f t="shared" si="22"/>
        <v>1.2</v>
      </c>
      <c r="C64" s="546">
        <f t="shared" si="13"/>
        <v>3.4151958116388603E-2</v>
      </c>
      <c r="D64" s="549">
        <f t="shared" si="14"/>
        <v>2.8459965096990503E-2</v>
      </c>
      <c r="E64" s="545">
        <f t="shared" si="23"/>
        <v>4</v>
      </c>
      <c r="F64" s="546">
        <f t="shared" si="15"/>
        <v>0.11383986038796201</v>
      </c>
      <c r="G64" s="547">
        <f t="shared" si="16"/>
        <v>2.8459965096990503E-2</v>
      </c>
      <c r="H64" s="557">
        <f t="shared" si="24"/>
        <v>1.7000000000000004</v>
      </c>
      <c r="I64" s="546">
        <f t="shared" si="17"/>
        <v>4.8381940664883862E-2</v>
      </c>
      <c r="J64" s="549">
        <f t="shared" si="18"/>
        <v>2.8459965096990499E-2</v>
      </c>
      <c r="K64" s="548">
        <f t="shared" si="19"/>
        <v>6.9</v>
      </c>
      <c r="L64" s="546">
        <f>'global path'!C56</f>
        <v>0.19637375916923447</v>
      </c>
      <c r="M64" s="549">
        <f t="shared" si="20"/>
        <v>2.8459965096990503E-2</v>
      </c>
    </row>
    <row r="65" spans="1:13" ht="12" x14ac:dyDescent="0.2">
      <c r="A65" s="544">
        <f t="shared" si="21"/>
        <v>2070</v>
      </c>
      <c r="B65" s="555">
        <f t="shared" si="22"/>
        <v>1.2</v>
      </c>
      <c r="C65" s="546">
        <f t="shared" si="13"/>
        <v>2.7866186185702961E-2</v>
      </c>
      <c r="D65" s="549">
        <f t="shared" si="14"/>
        <v>2.3221821821419134E-2</v>
      </c>
      <c r="E65" s="545">
        <f t="shared" si="23"/>
        <v>4</v>
      </c>
      <c r="F65" s="546">
        <f t="shared" si="15"/>
        <v>9.2887287285676537E-2</v>
      </c>
      <c r="G65" s="547">
        <f t="shared" si="16"/>
        <v>2.3221821821419134E-2</v>
      </c>
      <c r="H65" s="557">
        <f t="shared" si="24"/>
        <v>1.7000000000000004</v>
      </c>
      <c r="I65" s="546">
        <f t="shared" si="17"/>
        <v>3.9477097096412533E-2</v>
      </c>
      <c r="J65" s="549">
        <f t="shared" si="18"/>
        <v>2.3221821821419131E-2</v>
      </c>
      <c r="K65" s="548">
        <f t="shared" si="19"/>
        <v>6.9</v>
      </c>
      <c r="L65" s="546">
        <f>'global path'!C57</f>
        <v>0.16023057056779202</v>
      </c>
      <c r="M65" s="549">
        <f t="shared" si="20"/>
        <v>2.3221821821419134E-2</v>
      </c>
    </row>
    <row r="66" spans="1:13" ht="12" x14ac:dyDescent="0.2">
      <c r="A66" s="544">
        <f t="shared" si="21"/>
        <v>2071</v>
      </c>
      <c r="B66" s="555">
        <f t="shared" si="22"/>
        <v>1.2</v>
      </c>
      <c r="C66" s="546">
        <f t="shared" si="13"/>
        <v>2.2645899072934614E-2</v>
      </c>
      <c r="D66" s="549">
        <f t="shared" si="14"/>
        <v>1.8871582560778845E-2</v>
      </c>
      <c r="E66" s="545">
        <f t="shared" si="23"/>
        <v>4</v>
      </c>
      <c r="F66" s="546">
        <f t="shared" si="15"/>
        <v>7.5486330243115393E-2</v>
      </c>
      <c r="G66" s="547">
        <f t="shared" si="16"/>
        <v>1.8871582560778848E-2</v>
      </c>
      <c r="H66" s="557">
        <f t="shared" si="24"/>
        <v>1.7000000000000004</v>
      </c>
      <c r="I66" s="546">
        <f t="shared" si="17"/>
        <v>3.2081690353324047E-2</v>
      </c>
      <c r="J66" s="549">
        <f t="shared" si="18"/>
        <v>1.8871582560778845E-2</v>
      </c>
      <c r="K66" s="548">
        <f t="shared" si="19"/>
        <v>6.9</v>
      </c>
      <c r="L66" s="546">
        <f>'global path'!C58</f>
        <v>0.13021391966937404</v>
      </c>
      <c r="M66" s="549">
        <f t="shared" si="20"/>
        <v>1.8871582560778845E-2</v>
      </c>
    </row>
    <row r="67" spans="1:13" ht="12" x14ac:dyDescent="0.2">
      <c r="A67" s="544">
        <f t="shared" si="21"/>
        <v>2072</v>
      </c>
      <c r="B67" s="555">
        <f t="shared" si="22"/>
        <v>1.2</v>
      </c>
      <c r="C67" s="546">
        <f t="shared" si="13"/>
        <v>1.8329247211639352E-2</v>
      </c>
      <c r="D67" s="549">
        <f t="shared" si="14"/>
        <v>1.5274372676366128E-2</v>
      </c>
      <c r="E67" s="545">
        <f t="shared" si="23"/>
        <v>4</v>
      </c>
      <c r="F67" s="546">
        <f t="shared" si="15"/>
        <v>6.1097490705464517E-2</v>
      </c>
      <c r="G67" s="547">
        <f t="shared" si="16"/>
        <v>1.5274372676366129E-2</v>
      </c>
      <c r="H67" s="557">
        <f t="shared" si="24"/>
        <v>1.7000000000000004</v>
      </c>
      <c r="I67" s="546">
        <f t="shared" si="17"/>
        <v>2.5966433549822421E-2</v>
      </c>
      <c r="J67" s="549">
        <f t="shared" si="18"/>
        <v>1.5274372676366126E-2</v>
      </c>
      <c r="K67" s="548">
        <f t="shared" si="19"/>
        <v>6.9</v>
      </c>
      <c r="L67" s="546">
        <f>'global path'!C59</f>
        <v>0.10539317146692628</v>
      </c>
      <c r="M67" s="549">
        <f t="shared" si="20"/>
        <v>1.5274372676366128E-2</v>
      </c>
    </row>
    <row r="68" spans="1:13" ht="12" x14ac:dyDescent="0.2">
      <c r="A68" s="544">
        <f t="shared" si="21"/>
        <v>2073</v>
      </c>
      <c r="B68" s="555">
        <f t="shared" si="22"/>
        <v>1.2</v>
      </c>
      <c r="C68" s="546">
        <f t="shared" si="13"/>
        <v>1.4775275294181562E-2</v>
      </c>
      <c r="D68" s="549">
        <f t="shared" si="14"/>
        <v>1.2312729411817968E-2</v>
      </c>
      <c r="E68" s="545">
        <f t="shared" si="23"/>
        <v>4</v>
      </c>
      <c r="F68" s="546">
        <f t="shared" si="15"/>
        <v>4.9250917647271873E-2</v>
      </c>
      <c r="G68" s="547">
        <f t="shared" si="16"/>
        <v>1.2312729411817968E-2</v>
      </c>
      <c r="H68" s="557">
        <f t="shared" si="24"/>
        <v>1.7000000000000004</v>
      </c>
      <c r="I68" s="546">
        <f t="shared" si="17"/>
        <v>2.093164000009055E-2</v>
      </c>
      <c r="J68" s="549">
        <f t="shared" si="18"/>
        <v>1.2312729411817968E-2</v>
      </c>
      <c r="K68" s="548">
        <f t="shared" si="19"/>
        <v>6.9</v>
      </c>
      <c r="L68" s="546">
        <f>'global path'!C60</f>
        <v>8.4957832941543979E-2</v>
      </c>
      <c r="M68" s="549">
        <f t="shared" si="20"/>
        <v>1.2312729411817967E-2</v>
      </c>
    </row>
    <row r="69" spans="1:13" ht="12" x14ac:dyDescent="0.2">
      <c r="A69" s="544">
        <f t="shared" si="21"/>
        <v>2074</v>
      </c>
      <c r="B69" s="555">
        <f t="shared" si="22"/>
        <v>1.2</v>
      </c>
      <c r="C69" s="546">
        <f t="shared" si="13"/>
        <v>1.1221303376723769E-2</v>
      </c>
      <c r="D69" s="549">
        <f t="shared" si="14"/>
        <v>9.3510861472698072E-3</v>
      </c>
      <c r="E69" s="545">
        <f t="shared" si="23"/>
        <v>4</v>
      </c>
      <c r="F69" s="546">
        <f t="shared" si="15"/>
        <v>3.7404344589079236E-2</v>
      </c>
      <c r="G69" s="547">
        <f t="shared" si="16"/>
        <v>9.351086147269809E-3</v>
      </c>
      <c r="H69" s="557">
        <f t="shared" si="24"/>
        <v>1.7000000000000004</v>
      </c>
      <c r="I69" s="546">
        <f t="shared" si="17"/>
        <v>1.5896846450358677E-2</v>
      </c>
      <c r="J69" s="549">
        <f t="shared" si="18"/>
        <v>9.3510861472698072E-3</v>
      </c>
      <c r="K69" s="548">
        <f t="shared" si="19"/>
        <v>6.9</v>
      </c>
      <c r="L69" s="546">
        <f>'global path'!C61</f>
        <v>6.4522494416161674E-2</v>
      </c>
      <c r="M69" s="549">
        <f t="shared" si="20"/>
        <v>9.3510861472698072E-3</v>
      </c>
    </row>
    <row r="70" spans="1:13" ht="12" x14ac:dyDescent="0.2">
      <c r="A70" s="544">
        <f t="shared" si="21"/>
        <v>2075</v>
      </c>
      <c r="B70" s="555">
        <f t="shared" si="22"/>
        <v>1.2</v>
      </c>
      <c r="C70" s="546">
        <f t="shared" si="13"/>
        <v>7.6673314592659771E-3</v>
      </c>
      <c r="D70" s="549">
        <f t="shared" si="14"/>
        <v>6.3894428827216479E-3</v>
      </c>
      <c r="E70" s="545">
        <f t="shared" si="23"/>
        <v>4</v>
      </c>
      <c r="F70" s="546">
        <f t="shared" si="15"/>
        <v>2.5557771530886592E-2</v>
      </c>
      <c r="G70" s="547">
        <f t="shared" si="16"/>
        <v>6.3894428827216479E-3</v>
      </c>
      <c r="H70" s="557">
        <f t="shared" si="24"/>
        <v>1.7000000000000004</v>
      </c>
      <c r="I70" s="546">
        <f t="shared" si="17"/>
        <v>1.0862052900626803E-2</v>
      </c>
      <c r="J70" s="549">
        <f t="shared" si="18"/>
        <v>6.389442882721647E-3</v>
      </c>
      <c r="K70" s="548">
        <f t="shared" si="19"/>
        <v>6.9</v>
      </c>
      <c r="L70" s="546">
        <f>'global path'!C62</f>
        <v>4.408715589077937E-2</v>
      </c>
      <c r="M70" s="549">
        <f t="shared" si="20"/>
        <v>6.3894428827216479E-3</v>
      </c>
    </row>
    <row r="71" spans="1:13" ht="12" x14ac:dyDescent="0.2">
      <c r="A71" s="544">
        <f t="shared" si="21"/>
        <v>2076</v>
      </c>
      <c r="B71" s="555">
        <f t="shared" si="22"/>
        <v>1.2</v>
      </c>
      <c r="C71" s="546">
        <f t="shared" si="13"/>
        <v>4.1133595418081856E-3</v>
      </c>
      <c r="D71" s="549">
        <f t="shared" si="14"/>
        <v>3.4277996181734881E-3</v>
      </c>
      <c r="E71" s="545">
        <f t="shared" si="23"/>
        <v>4</v>
      </c>
      <c r="F71" s="546">
        <f t="shared" si="15"/>
        <v>1.3711198472693951E-2</v>
      </c>
      <c r="G71" s="547">
        <f t="shared" si="16"/>
        <v>3.4277996181734877E-3</v>
      </c>
      <c r="H71" s="557">
        <f t="shared" si="24"/>
        <v>1.7000000000000004</v>
      </c>
      <c r="I71" s="546">
        <f t="shared" si="17"/>
        <v>5.8272593508949299E-3</v>
      </c>
      <c r="J71" s="549">
        <f t="shared" si="18"/>
        <v>3.4277996181734873E-3</v>
      </c>
      <c r="K71" s="548">
        <f t="shared" si="19"/>
        <v>6.9</v>
      </c>
      <c r="L71" s="546">
        <f>'global path'!C63</f>
        <v>2.3651817365397065E-2</v>
      </c>
      <c r="M71" s="549">
        <f t="shared" si="20"/>
        <v>3.4277996181734877E-3</v>
      </c>
    </row>
    <row r="72" spans="1:13" ht="12" x14ac:dyDescent="0.2">
      <c r="A72" s="544">
        <f t="shared" si="21"/>
        <v>2077</v>
      </c>
      <c r="B72" s="555">
        <f t="shared" si="22"/>
        <v>1.2</v>
      </c>
      <c r="C72" s="546">
        <f t="shared" si="13"/>
        <v>5.5938762435039317E-4</v>
      </c>
      <c r="D72" s="549">
        <f t="shared" si="14"/>
        <v>4.6615635362532766E-4</v>
      </c>
      <c r="E72" s="545">
        <f t="shared" si="23"/>
        <v>4</v>
      </c>
      <c r="F72" s="546">
        <f t="shared" si="15"/>
        <v>1.8646254145013108E-3</v>
      </c>
      <c r="G72" s="547">
        <f t="shared" si="16"/>
        <v>4.6615635362532771E-4</v>
      </c>
      <c r="H72" s="557">
        <f t="shared" si="24"/>
        <v>1.7000000000000004</v>
      </c>
      <c r="I72" s="546">
        <f t="shared" si="17"/>
        <v>7.9246580116305713E-4</v>
      </c>
      <c r="J72" s="549">
        <f t="shared" si="18"/>
        <v>4.661563536253276E-4</v>
      </c>
      <c r="K72" s="548">
        <f t="shared" si="19"/>
        <v>6.9</v>
      </c>
      <c r="L72" s="546">
        <f>'global path'!C64</f>
        <v>3.2164788400147609E-3</v>
      </c>
      <c r="M72" s="549">
        <f t="shared" si="20"/>
        <v>4.6615635362532766E-4</v>
      </c>
    </row>
    <row r="73" spans="1:13" ht="12" x14ac:dyDescent="0.2">
      <c r="A73" s="544">
        <f t="shared" si="21"/>
        <v>2078</v>
      </c>
      <c r="B73" s="555">
        <f t="shared" si="22"/>
        <v>1.2</v>
      </c>
      <c r="C73" s="546">
        <f t="shared" si="13"/>
        <v>0</v>
      </c>
      <c r="D73" s="549">
        <f t="shared" si="14"/>
        <v>0</v>
      </c>
      <c r="E73" s="545">
        <f t="shared" si="23"/>
        <v>4</v>
      </c>
      <c r="F73" s="546">
        <f t="shared" si="15"/>
        <v>0</v>
      </c>
      <c r="G73" s="547">
        <f t="shared" si="16"/>
        <v>0</v>
      </c>
      <c r="H73" s="557">
        <f t="shared" si="24"/>
        <v>1.7000000000000004</v>
      </c>
      <c r="I73" s="546">
        <f t="shared" si="17"/>
        <v>0</v>
      </c>
      <c r="J73" s="549">
        <f t="shared" si="18"/>
        <v>0</v>
      </c>
      <c r="K73" s="548">
        <f t="shared" si="19"/>
        <v>6.9</v>
      </c>
      <c r="L73" s="546">
        <f>'global path'!C65</f>
        <v>0</v>
      </c>
      <c r="M73" s="549">
        <f t="shared" si="20"/>
        <v>0</v>
      </c>
    </row>
    <row r="74" spans="1:13" ht="12" x14ac:dyDescent="0.2">
      <c r="A74" s="544">
        <f t="shared" si="21"/>
        <v>2079</v>
      </c>
      <c r="B74" s="555">
        <f t="shared" si="22"/>
        <v>1.2</v>
      </c>
      <c r="C74" s="546">
        <f t="shared" si="13"/>
        <v>0</v>
      </c>
      <c r="D74" s="549">
        <f t="shared" si="14"/>
        <v>0</v>
      </c>
      <c r="E74" s="545">
        <f t="shared" si="23"/>
        <v>4</v>
      </c>
      <c r="F74" s="546">
        <f t="shared" si="15"/>
        <v>0</v>
      </c>
      <c r="G74" s="547">
        <f t="shared" si="16"/>
        <v>0</v>
      </c>
      <c r="H74" s="557">
        <f t="shared" si="24"/>
        <v>1.7000000000000004</v>
      </c>
      <c r="I74" s="546">
        <f t="shared" si="17"/>
        <v>0</v>
      </c>
      <c r="J74" s="549">
        <f t="shared" si="18"/>
        <v>0</v>
      </c>
      <c r="K74" s="548">
        <f t="shared" si="19"/>
        <v>6.9</v>
      </c>
      <c r="L74" s="546">
        <f>'global path'!C66</f>
        <v>0</v>
      </c>
      <c r="M74" s="549">
        <f t="shared" si="20"/>
        <v>0</v>
      </c>
    </row>
    <row r="75" spans="1:13" ht="12" x14ac:dyDescent="0.2">
      <c r="A75" s="544">
        <f t="shared" si="21"/>
        <v>2080</v>
      </c>
      <c r="B75" s="555">
        <f t="shared" si="22"/>
        <v>1.2</v>
      </c>
      <c r="C75" s="546">
        <f t="shared" si="13"/>
        <v>0</v>
      </c>
      <c r="D75" s="549">
        <f t="shared" si="14"/>
        <v>0</v>
      </c>
      <c r="E75" s="545">
        <f t="shared" si="23"/>
        <v>4</v>
      </c>
      <c r="F75" s="546">
        <f t="shared" si="15"/>
        <v>0</v>
      </c>
      <c r="G75" s="547">
        <f t="shared" si="16"/>
        <v>0</v>
      </c>
      <c r="H75" s="557">
        <f t="shared" si="24"/>
        <v>1.7000000000000004</v>
      </c>
      <c r="I75" s="546">
        <f t="shared" si="17"/>
        <v>0</v>
      </c>
      <c r="J75" s="549">
        <f t="shared" si="18"/>
        <v>0</v>
      </c>
      <c r="K75" s="548">
        <f t="shared" si="19"/>
        <v>6.9</v>
      </c>
      <c r="L75" s="546">
        <f>'global path'!C67</f>
        <v>0</v>
      </c>
      <c r="M75" s="549">
        <f t="shared" si="20"/>
        <v>0</v>
      </c>
    </row>
    <row r="76" spans="1:13" ht="12" x14ac:dyDescent="0.2">
      <c r="A76" s="544">
        <f t="shared" si="21"/>
        <v>2081</v>
      </c>
      <c r="B76" s="555">
        <f t="shared" si="22"/>
        <v>1.2</v>
      </c>
      <c r="C76" s="546">
        <f t="shared" si="13"/>
        <v>0</v>
      </c>
      <c r="D76" s="549">
        <f t="shared" si="14"/>
        <v>0</v>
      </c>
      <c r="E76" s="545">
        <f t="shared" si="23"/>
        <v>4</v>
      </c>
      <c r="F76" s="546">
        <f t="shared" si="15"/>
        <v>0</v>
      </c>
      <c r="G76" s="547">
        <f t="shared" si="16"/>
        <v>0</v>
      </c>
      <c r="H76" s="557">
        <f t="shared" si="24"/>
        <v>1.7000000000000004</v>
      </c>
      <c r="I76" s="546">
        <f t="shared" si="17"/>
        <v>0</v>
      </c>
      <c r="J76" s="549">
        <f t="shared" si="18"/>
        <v>0</v>
      </c>
      <c r="K76" s="548">
        <f t="shared" si="19"/>
        <v>6.9</v>
      </c>
      <c r="L76" s="546">
        <f>'global path'!C68</f>
        <v>0</v>
      </c>
      <c r="M76" s="549">
        <f t="shared" si="20"/>
        <v>0</v>
      </c>
    </row>
    <row r="77" spans="1:13" ht="12" x14ac:dyDescent="0.2">
      <c r="A77" s="544">
        <f t="shared" si="21"/>
        <v>2082</v>
      </c>
      <c r="B77" s="555">
        <f t="shared" si="22"/>
        <v>1.2</v>
      </c>
      <c r="C77" s="546">
        <f t="shared" si="13"/>
        <v>0</v>
      </c>
      <c r="D77" s="549">
        <f t="shared" si="14"/>
        <v>0</v>
      </c>
      <c r="E77" s="545">
        <f t="shared" si="23"/>
        <v>4</v>
      </c>
      <c r="F77" s="546">
        <f t="shared" si="15"/>
        <v>0</v>
      </c>
      <c r="G77" s="547">
        <f t="shared" si="16"/>
        <v>0</v>
      </c>
      <c r="H77" s="557">
        <f t="shared" si="24"/>
        <v>1.7000000000000004</v>
      </c>
      <c r="I77" s="546">
        <f t="shared" si="17"/>
        <v>0</v>
      </c>
      <c r="J77" s="549">
        <f t="shared" si="18"/>
        <v>0</v>
      </c>
      <c r="K77" s="548">
        <f t="shared" si="19"/>
        <v>6.9</v>
      </c>
      <c r="L77" s="546">
        <f>'global path'!C69</f>
        <v>0</v>
      </c>
      <c r="M77" s="549">
        <f t="shared" si="20"/>
        <v>0</v>
      </c>
    </row>
    <row r="78" spans="1:13" ht="12" x14ac:dyDescent="0.2">
      <c r="A78" s="544">
        <f t="shared" si="21"/>
        <v>2083</v>
      </c>
      <c r="B78" s="555">
        <f t="shared" si="22"/>
        <v>1.2</v>
      </c>
      <c r="C78" s="546">
        <f t="shared" si="13"/>
        <v>0</v>
      </c>
      <c r="D78" s="549">
        <f t="shared" si="14"/>
        <v>0</v>
      </c>
      <c r="E78" s="545">
        <f t="shared" si="23"/>
        <v>4</v>
      </c>
      <c r="F78" s="546">
        <f t="shared" si="15"/>
        <v>0</v>
      </c>
      <c r="G78" s="547">
        <f t="shared" si="16"/>
        <v>0</v>
      </c>
      <c r="H78" s="557">
        <f t="shared" si="24"/>
        <v>1.7000000000000004</v>
      </c>
      <c r="I78" s="546">
        <f t="shared" si="17"/>
        <v>0</v>
      </c>
      <c r="J78" s="549">
        <f t="shared" si="18"/>
        <v>0</v>
      </c>
      <c r="K78" s="548">
        <f t="shared" si="19"/>
        <v>6.9</v>
      </c>
      <c r="L78" s="546">
        <f>'global path'!C70</f>
        <v>0</v>
      </c>
      <c r="M78" s="549">
        <f t="shared" si="20"/>
        <v>0</v>
      </c>
    </row>
    <row r="79" spans="1:13" ht="12" x14ac:dyDescent="0.2">
      <c r="A79" s="544">
        <f t="shared" si="21"/>
        <v>2084</v>
      </c>
      <c r="B79" s="555">
        <f t="shared" si="22"/>
        <v>1.2</v>
      </c>
      <c r="C79" s="546">
        <f t="shared" si="13"/>
        <v>0</v>
      </c>
      <c r="D79" s="549">
        <f t="shared" si="14"/>
        <v>0</v>
      </c>
      <c r="E79" s="545">
        <f t="shared" si="23"/>
        <v>4</v>
      </c>
      <c r="F79" s="546">
        <f t="shared" si="15"/>
        <v>0</v>
      </c>
      <c r="G79" s="547">
        <f t="shared" si="16"/>
        <v>0</v>
      </c>
      <c r="H79" s="557">
        <f t="shared" si="24"/>
        <v>1.7000000000000004</v>
      </c>
      <c r="I79" s="546">
        <f t="shared" si="17"/>
        <v>0</v>
      </c>
      <c r="J79" s="549">
        <f t="shared" si="18"/>
        <v>0</v>
      </c>
      <c r="K79" s="548">
        <f t="shared" si="19"/>
        <v>6.9</v>
      </c>
      <c r="L79" s="546">
        <f>'global path'!C71</f>
        <v>0</v>
      </c>
      <c r="M79" s="549">
        <f t="shared" si="20"/>
        <v>0</v>
      </c>
    </row>
    <row r="80" spans="1:13" ht="12" x14ac:dyDescent="0.2">
      <c r="A80" s="544">
        <f t="shared" si="21"/>
        <v>2085</v>
      </c>
      <c r="B80" s="555">
        <f t="shared" si="22"/>
        <v>1.2</v>
      </c>
      <c r="C80" s="546">
        <f t="shared" si="13"/>
        <v>0</v>
      </c>
      <c r="D80" s="549">
        <f t="shared" si="14"/>
        <v>0</v>
      </c>
      <c r="E80" s="545">
        <f t="shared" si="23"/>
        <v>4</v>
      </c>
      <c r="F80" s="546">
        <f t="shared" si="15"/>
        <v>0</v>
      </c>
      <c r="G80" s="547">
        <f t="shared" si="16"/>
        <v>0</v>
      </c>
      <c r="H80" s="557">
        <f t="shared" si="24"/>
        <v>1.7000000000000004</v>
      </c>
      <c r="I80" s="546">
        <f t="shared" si="17"/>
        <v>0</v>
      </c>
      <c r="J80" s="549">
        <f t="shared" si="18"/>
        <v>0</v>
      </c>
      <c r="K80" s="548">
        <f t="shared" si="19"/>
        <v>6.9</v>
      </c>
      <c r="L80" s="546">
        <f>'global path'!C72</f>
        <v>0</v>
      </c>
      <c r="M80" s="549">
        <f t="shared" si="20"/>
        <v>0</v>
      </c>
    </row>
    <row r="81" spans="1:28" ht="12" x14ac:dyDescent="0.2">
      <c r="A81" s="544">
        <f t="shared" si="21"/>
        <v>2086</v>
      </c>
      <c r="B81" s="555">
        <f t="shared" si="22"/>
        <v>1.2</v>
      </c>
      <c r="C81" s="546">
        <f t="shared" si="13"/>
        <v>0</v>
      </c>
      <c r="D81" s="549">
        <f t="shared" si="14"/>
        <v>0</v>
      </c>
      <c r="E81" s="545">
        <f t="shared" si="23"/>
        <v>4</v>
      </c>
      <c r="F81" s="546">
        <f t="shared" si="15"/>
        <v>0</v>
      </c>
      <c r="G81" s="547">
        <f t="shared" si="16"/>
        <v>0</v>
      </c>
      <c r="H81" s="557">
        <f t="shared" si="24"/>
        <v>1.7000000000000004</v>
      </c>
      <c r="I81" s="546">
        <f t="shared" si="17"/>
        <v>0</v>
      </c>
      <c r="J81" s="549">
        <f t="shared" si="18"/>
        <v>0</v>
      </c>
      <c r="K81" s="548">
        <f t="shared" si="19"/>
        <v>6.9</v>
      </c>
      <c r="L81" s="546">
        <f>'global path'!C73</f>
        <v>0</v>
      </c>
      <c r="M81" s="549">
        <f t="shared" si="20"/>
        <v>0</v>
      </c>
    </row>
    <row r="82" spans="1:28" ht="12" x14ac:dyDescent="0.2">
      <c r="A82" s="544">
        <f t="shared" si="21"/>
        <v>2087</v>
      </c>
      <c r="B82" s="555">
        <f t="shared" si="22"/>
        <v>1.2</v>
      </c>
      <c r="C82" s="546">
        <f t="shared" si="13"/>
        <v>0</v>
      </c>
      <c r="D82" s="549">
        <f t="shared" si="14"/>
        <v>0</v>
      </c>
      <c r="E82" s="545">
        <f t="shared" si="23"/>
        <v>4</v>
      </c>
      <c r="F82" s="546">
        <f t="shared" si="15"/>
        <v>0</v>
      </c>
      <c r="G82" s="547">
        <f t="shared" si="16"/>
        <v>0</v>
      </c>
      <c r="H82" s="557">
        <f t="shared" si="24"/>
        <v>1.7000000000000004</v>
      </c>
      <c r="I82" s="546">
        <f t="shared" si="17"/>
        <v>0</v>
      </c>
      <c r="J82" s="549">
        <f t="shared" si="18"/>
        <v>0</v>
      </c>
      <c r="K82" s="548">
        <f t="shared" si="19"/>
        <v>6.9</v>
      </c>
      <c r="L82" s="546">
        <f>'global path'!C74</f>
        <v>0</v>
      </c>
      <c r="M82" s="549">
        <f t="shared" si="20"/>
        <v>0</v>
      </c>
    </row>
    <row r="83" spans="1:28" ht="12" x14ac:dyDescent="0.2">
      <c r="A83" s="544">
        <f t="shared" si="21"/>
        <v>2088</v>
      </c>
      <c r="B83" s="555">
        <f t="shared" si="22"/>
        <v>1.2</v>
      </c>
      <c r="C83" s="546">
        <f t="shared" si="13"/>
        <v>0</v>
      </c>
      <c r="D83" s="549">
        <f t="shared" si="14"/>
        <v>0</v>
      </c>
      <c r="E83" s="545">
        <f t="shared" si="23"/>
        <v>4</v>
      </c>
      <c r="F83" s="546">
        <f t="shared" si="15"/>
        <v>0</v>
      </c>
      <c r="G83" s="547">
        <f t="shared" si="16"/>
        <v>0</v>
      </c>
      <c r="H83" s="557">
        <f t="shared" si="24"/>
        <v>1.7000000000000004</v>
      </c>
      <c r="I83" s="546">
        <f t="shared" si="17"/>
        <v>0</v>
      </c>
      <c r="J83" s="549">
        <f t="shared" si="18"/>
        <v>0</v>
      </c>
      <c r="K83" s="548">
        <f t="shared" si="19"/>
        <v>6.9</v>
      </c>
      <c r="L83" s="546">
        <f>'global path'!C75</f>
        <v>0</v>
      </c>
      <c r="M83" s="549">
        <f t="shared" si="20"/>
        <v>0</v>
      </c>
    </row>
    <row r="84" spans="1:28" ht="12" x14ac:dyDescent="0.2">
      <c r="A84" s="544">
        <f t="shared" si="21"/>
        <v>2089</v>
      </c>
      <c r="B84" s="555">
        <f t="shared" si="22"/>
        <v>1.2</v>
      </c>
      <c r="C84" s="546">
        <f t="shared" si="13"/>
        <v>0</v>
      </c>
      <c r="D84" s="549">
        <f t="shared" si="14"/>
        <v>0</v>
      </c>
      <c r="E84" s="545">
        <f t="shared" si="23"/>
        <v>4</v>
      </c>
      <c r="F84" s="546">
        <f t="shared" si="15"/>
        <v>0</v>
      </c>
      <c r="G84" s="547">
        <f t="shared" si="16"/>
        <v>0</v>
      </c>
      <c r="H84" s="557">
        <f t="shared" si="24"/>
        <v>1.7000000000000004</v>
      </c>
      <c r="I84" s="546">
        <f t="shared" si="17"/>
        <v>0</v>
      </c>
      <c r="J84" s="549">
        <f t="shared" si="18"/>
        <v>0</v>
      </c>
      <c r="K84" s="548">
        <f t="shared" si="19"/>
        <v>6.9</v>
      </c>
      <c r="L84" s="546">
        <f>'global path'!C76</f>
        <v>0</v>
      </c>
      <c r="M84" s="549">
        <f t="shared" si="20"/>
        <v>0</v>
      </c>
    </row>
    <row r="85" spans="1:28" ht="12" x14ac:dyDescent="0.2">
      <c r="A85" s="544">
        <f t="shared" si="21"/>
        <v>2090</v>
      </c>
      <c r="B85" s="555">
        <f t="shared" si="22"/>
        <v>1.2</v>
      </c>
      <c r="C85" s="546">
        <f t="shared" si="13"/>
        <v>0</v>
      </c>
      <c r="D85" s="549">
        <f t="shared" si="14"/>
        <v>0</v>
      </c>
      <c r="E85" s="545">
        <f t="shared" si="23"/>
        <v>4</v>
      </c>
      <c r="F85" s="546">
        <f t="shared" si="15"/>
        <v>0</v>
      </c>
      <c r="G85" s="547">
        <f t="shared" si="16"/>
        <v>0</v>
      </c>
      <c r="H85" s="557">
        <f t="shared" si="24"/>
        <v>1.7000000000000004</v>
      </c>
      <c r="I85" s="546">
        <f t="shared" si="17"/>
        <v>0</v>
      </c>
      <c r="J85" s="549">
        <f t="shared" si="18"/>
        <v>0</v>
      </c>
      <c r="K85" s="548">
        <f t="shared" si="19"/>
        <v>6.9</v>
      </c>
      <c r="L85" s="546">
        <f>'global path'!C77</f>
        <v>0</v>
      </c>
      <c r="M85" s="549">
        <f t="shared" si="20"/>
        <v>0</v>
      </c>
    </row>
    <row r="86" spans="1:28" ht="12" x14ac:dyDescent="0.2">
      <c r="A86" s="544">
        <f t="shared" si="21"/>
        <v>2091</v>
      </c>
      <c r="B86" s="555">
        <f t="shared" si="22"/>
        <v>1.2</v>
      </c>
      <c r="C86" s="546">
        <f t="shared" si="13"/>
        <v>0</v>
      </c>
      <c r="D86" s="549">
        <f t="shared" si="14"/>
        <v>0</v>
      </c>
      <c r="E86" s="545">
        <f t="shared" si="23"/>
        <v>4</v>
      </c>
      <c r="F86" s="546">
        <f t="shared" si="15"/>
        <v>0</v>
      </c>
      <c r="G86" s="547">
        <f t="shared" si="16"/>
        <v>0</v>
      </c>
      <c r="H86" s="557">
        <f t="shared" si="24"/>
        <v>1.7000000000000004</v>
      </c>
      <c r="I86" s="546">
        <f t="shared" si="17"/>
        <v>0</v>
      </c>
      <c r="J86" s="549">
        <f t="shared" si="18"/>
        <v>0</v>
      </c>
      <c r="K86" s="548">
        <f t="shared" si="19"/>
        <v>6.9</v>
      </c>
      <c r="L86" s="546">
        <f>'global path'!C78</f>
        <v>0</v>
      </c>
      <c r="M86" s="549">
        <f t="shared" si="20"/>
        <v>0</v>
      </c>
    </row>
    <row r="87" spans="1:28" ht="12" x14ac:dyDescent="0.2">
      <c r="A87" s="544">
        <f t="shared" si="21"/>
        <v>2092</v>
      </c>
      <c r="B87" s="555">
        <f t="shared" si="22"/>
        <v>1.2</v>
      </c>
      <c r="C87" s="546">
        <f t="shared" si="13"/>
        <v>0</v>
      </c>
      <c r="D87" s="549">
        <f t="shared" si="14"/>
        <v>0</v>
      </c>
      <c r="E87" s="545">
        <f t="shared" si="23"/>
        <v>4</v>
      </c>
      <c r="F87" s="546">
        <f t="shared" si="15"/>
        <v>0</v>
      </c>
      <c r="G87" s="547">
        <f t="shared" si="16"/>
        <v>0</v>
      </c>
      <c r="H87" s="557">
        <f t="shared" si="24"/>
        <v>1.7000000000000004</v>
      </c>
      <c r="I87" s="546">
        <f t="shared" si="17"/>
        <v>0</v>
      </c>
      <c r="J87" s="549">
        <f t="shared" si="18"/>
        <v>0</v>
      </c>
      <c r="K87" s="548">
        <f t="shared" si="19"/>
        <v>6.9</v>
      </c>
      <c r="L87" s="546">
        <f>'global path'!C79</f>
        <v>0</v>
      </c>
      <c r="M87" s="549">
        <f t="shared" si="20"/>
        <v>0</v>
      </c>
    </row>
    <row r="88" spans="1:28" ht="12" x14ac:dyDescent="0.2">
      <c r="A88" s="544">
        <f t="shared" si="21"/>
        <v>2093</v>
      </c>
      <c r="B88" s="555">
        <f t="shared" si="22"/>
        <v>1.2</v>
      </c>
      <c r="C88" s="546">
        <f t="shared" si="13"/>
        <v>0</v>
      </c>
      <c r="D88" s="549">
        <f t="shared" si="14"/>
        <v>0</v>
      </c>
      <c r="E88" s="545">
        <f t="shared" si="23"/>
        <v>4</v>
      </c>
      <c r="F88" s="546">
        <f t="shared" si="15"/>
        <v>0</v>
      </c>
      <c r="G88" s="547">
        <f t="shared" si="16"/>
        <v>0</v>
      </c>
      <c r="H88" s="557">
        <f t="shared" si="24"/>
        <v>1.7000000000000004</v>
      </c>
      <c r="I88" s="546">
        <f t="shared" si="17"/>
        <v>0</v>
      </c>
      <c r="J88" s="549">
        <f t="shared" si="18"/>
        <v>0</v>
      </c>
      <c r="K88" s="548">
        <f t="shared" si="19"/>
        <v>6.9</v>
      </c>
      <c r="L88" s="546">
        <f>'global path'!C80</f>
        <v>0</v>
      </c>
      <c r="M88" s="549">
        <f t="shared" si="20"/>
        <v>0</v>
      </c>
    </row>
    <row r="89" spans="1:28" ht="12" x14ac:dyDescent="0.2">
      <c r="A89" s="544">
        <f t="shared" si="21"/>
        <v>2094</v>
      </c>
      <c r="B89" s="555">
        <f t="shared" si="22"/>
        <v>1.2</v>
      </c>
      <c r="C89" s="546">
        <f t="shared" si="13"/>
        <v>0</v>
      </c>
      <c r="D89" s="549">
        <f t="shared" si="14"/>
        <v>0</v>
      </c>
      <c r="E89" s="545">
        <f t="shared" si="23"/>
        <v>4</v>
      </c>
      <c r="F89" s="546">
        <f t="shared" si="15"/>
        <v>0</v>
      </c>
      <c r="G89" s="547">
        <f t="shared" si="16"/>
        <v>0</v>
      </c>
      <c r="H89" s="557">
        <f t="shared" si="24"/>
        <v>1.7000000000000004</v>
      </c>
      <c r="I89" s="546">
        <f t="shared" si="17"/>
        <v>0</v>
      </c>
      <c r="J89" s="549">
        <f t="shared" si="18"/>
        <v>0</v>
      </c>
      <c r="K89" s="548">
        <f t="shared" si="19"/>
        <v>6.9</v>
      </c>
      <c r="L89" s="546">
        <f>'global path'!C81</f>
        <v>0</v>
      </c>
      <c r="M89" s="549">
        <f t="shared" si="20"/>
        <v>0</v>
      </c>
    </row>
    <row r="90" spans="1:28" ht="12" x14ac:dyDescent="0.2">
      <c r="A90" s="544">
        <f t="shared" si="21"/>
        <v>2095</v>
      </c>
      <c r="B90" s="555">
        <f t="shared" si="22"/>
        <v>1.2</v>
      </c>
      <c r="C90" s="546">
        <f t="shared" si="13"/>
        <v>0</v>
      </c>
      <c r="D90" s="549">
        <f t="shared" si="14"/>
        <v>0</v>
      </c>
      <c r="E90" s="545">
        <f t="shared" si="23"/>
        <v>4</v>
      </c>
      <c r="F90" s="546">
        <f t="shared" si="15"/>
        <v>0</v>
      </c>
      <c r="G90" s="547">
        <f t="shared" si="16"/>
        <v>0</v>
      </c>
      <c r="H90" s="557">
        <f t="shared" si="24"/>
        <v>1.7000000000000004</v>
      </c>
      <c r="I90" s="546">
        <f t="shared" si="17"/>
        <v>0</v>
      </c>
      <c r="J90" s="549">
        <f t="shared" si="18"/>
        <v>0</v>
      </c>
      <c r="K90" s="548">
        <f t="shared" si="19"/>
        <v>6.9</v>
      </c>
      <c r="L90" s="546">
        <f>'global path'!C82</f>
        <v>0</v>
      </c>
      <c r="M90" s="549">
        <f t="shared" si="20"/>
        <v>0</v>
      </c>
    </row>
    <row r="91" spans="1:28" ht="12" x14ac:dyDescent="0.2">
      <c r="A91" s="544">
        <f t="shared" si="21"/>
        <v>2096</v>
      </c>
      <c r="B91" s="555">
        <f t="shared" si="22"/>
        <v>1.2</v>
      </c>
      <c r="C91" s="546">
        <f t="shared" si="13"/>
        <v>0</v>
      </c>
      <c r="D91" s="549">
        <f t="shared" si="14"/>
        <v>0</v>
      </c>
      <c r="E91" s="545">
        <f t="shared" si="23"/>
        <v>4</v>
      </c>
      <c r="F91" s="546">
        <f t="shared" si="15"/>
        <v>0</v>
      </c>
      <c r="G91" s="547">
        <f t="shared" si="16"/>
        <v>0</v>
      </c>
      <c r="H91" s="557">
        <f t="shared" si="24"/>
        <v>1.7000000000000004</v>
      </c>
      <c r="I91" s="546">
        <f t="shared" si="17"/>
        <v>0</v>
      </c>
      <c r="J91" s="549">
        <f t="shared" si="18"/>
        <v>0</v>
      </c>
      <c r="K91" s="548">
        <f t="shared" si="19"/>
        <v>6.9</v>
      </c>
      <c r="L91" s="546">
        <f>'global path'!C83</f>
        <v>0</v>
      </c>
      <c r="M91" s="549">
        <f t="shared" si="20"/>
        <v>0</v>
      </c>
    </row>
    <row r="92" spans="1:28" ht="12" x14ac:dyDescent="0.2">
      <c r="A92" s="544">
        <f t="shared" si="21"/>
        <v>2097</v>
      </c>
      <c r="B92" s="555">
        <f t="shared" si="22"/>
        <v>1.2</v>
      </c>
      <c r="C92" s="546">
        <f t="shared" si="13"/>
        <v>0</v>
      </c>
      <c r="D92" s="549">
        <f t="shared" si="14"/>
        <v>0</v>
      </c>
      <c r="E92" s="545">
        <f t="shared" si="23"/>
        <v>4</v>
      </c>
      <c r="F92" s="546">
        <f t="shared" si="15"/>
        <v>0</v>
      </c>
      <c r="G92" s="547">
        <f t="shared" si="16"/>
        <v>0</v>
      </c>
      <c r="H92" s="557">
        <f t="shared" si="24"/>
        <v>1.7000000000000004</v>
      </c>
      <c r="I92" s="546">
        <f t="shared" si="17"/>
        <v>0</v>
      </c>
      <c r="J92" s="549">
        <f t="shared" si="18"/>
        <v>0</v>
      </c>
      <c r="K92" s="548">
        <f t="shared" si="19"/>
        <v>6.9</v>
      </c>
      <c r="L92" s="546">
        <f>'global path'!C84</f>
        <v>0</v>
      </c>
      <c r="M92" s="549">
        <f t="shared" si="20"/>
        <v>0</v>
      </c>
    </row>
    <row r="93" spans="1:28" ht="12" x14ac:dyDescent="0.2">
      <c r="A93" s="544">
        <f t="shared" si="21"/>
        <v>2098</v>
      </c>
      <c r="B93" s="555">
        <f t="shared" si="22"/>
        <v>1.2</v>
      </c>
      <c r="C93" s="546">
        <f t="shared" si="13"/>
        <v>0</v>
      </c>
      <c r="D93" s="549">
        <f t="shared" si="14"/>
        <v>0</v>
      </c>
      <c r="E93" s="545">
        <f t="shared" si="23"/>
        <v>4</v>
      </c>
      <c r="F93" s="546">
        <f t="shared" si="15"/>
        <v>0</v>
      </c>
      <c r="G93" s="547">
        <f t="shared" si="16"/>
        <v>0</v>
      </c>
      <c r="H93" s="557">
        <f t="shared" si="24"/>
        <v>1.7000000000000004</v>
      </c>
      <c r="I93" s="546">
        <f t="shared" si="17"/>
        <v>0</v>
      </c>
      <c r="J93" s="549">
        <f t="shared" si="18"/>
        <v>0</v>
      </c>
      <c r="K93" s="548">
        <f t="shared" si="19"/>
        <v>6.9</v>
      </c>
      <c r="L93" s="546">
        <f>'global path'!C85</f>
        <v>0</v>
      </c>
      <c r="M93" s="549">
        <f t="shared" si="20"/>
        <v>0</v>
      </c>
    </row>
    <row r="94" spans="1:28" ht="12" x14ac:dyDescent="0.2">
      <c r="A94" s="544">
        <f t="shared" si="21"/>
        <v>2099</v>
      </c>
      <c r="B94" s="555">
        <f t="shared" si="22"/>
        <v>1.2</v>
      </c>
      <c r="C94" s="546">
        <f t="shared" si="13"/>
        <v>0</v>
      </c>
      <c r="D94" s="549">
        <f t="shared" si="14"/>
        <v>0</v>
      </c>
      <c r="E94" s="545">
        <f t="shared" si="23"/>
        <v>4</v>
      </c>
      <c r="F94" s="546">
        <f t="shared" si="15"/>
        <v>0</v>
      </c>
      <c r="G94" s="547">
        <f t="shared" si="16"/>
        <v>0</v>
      </c>
      <c r="H94" s="557">
        <f t="shared" si="24"/>
        <v>1.7000000000000004</v>
      </c>
      <c r="I94" s="546">
        <f t="shared" si="17"/>
        <v>0</v>
      </c>
      <c r="J94" s="549">
        <f t="shared" si="18"/>
        <v>0</v>
      </c>
      <c r="K94" s="548">
        <f t="shared" si="19"/>
        <v>6.9</v>
      </c>
      <c r="L94" s="546">
        <f>'global path'!C86</f>
        <v>0</v>
      </c>
      <c r="M94" s="549">
        <f t="shared" si="20"/>
        <v>0</v>
      </c>
    </row>
    <row r="95" spans="1:28" ht="12.75" thickBot="1" x14ac:dyDescent="0.25">
      <c r="A95" s="339">
        <f t="shared" si="21"/>
        <v>2100</v>
      </c>
      <c r="B95" s="556">
        <f t="shared" si="22"/>
        <v>1.2</v>
      </c>
      <c r="C95" s="551">
        <f t="shared" si="13"/>
        <v>0</v>
      </c>
      <c r="D95" s="554">
        <f t="shared" si="14"/>
        <v>0</v>
      </c>
      <c r="E95" s="550">
        <f t="shared" si="23"/>
        <v>4</v>
      </c>
      <c r="F95" s="551">
        <f t="shared" si="15"/>
        <v>0</v>
      </c>
      <c r="G95" s="552">
        <f t="shared" si="16"/>
        <v>0</v>
      </c>
      <c r="H95" s="558">
        <f t="shared" si="24"/>
        <v>1.7000000000000004</v>
      </c>
      <c r="I95" s="551">
        <f t="shared" si="17"/>
        <v>0</v>
      </c>
      <c r="J95" s="554">
        <f t="shared" si="18"/>
        <v>0</v>
      </c>
      <c r="K95" s="553">
        <f t="shared" si="19"/>
        <v>6.9</v>
      </c>
      <c r="L95" s="551">
        <f>'global path'!C87</f>
        <v>0</v>
      </c>
      <c r="M95" s="554">
        <f t="shared" si="20"/>
        <v>0</v>
      </c>
    </row>
    <row r="96" spans="1:28" s="7" customFormat="1" ht="13.5" thickBot="1" x14ac:dyDescent="0.25">
      <c r="A96" s="143" t="s">
        <v>1</v>
      </c>
      <c r="B96" s="120"/>
      <c r="C96" s="121">
        <f>SUM(C46:C95)</f>
        <v>4.730879831791162</v>
      </c>
      <c r="D96" s="122"/>
      <c r="E96" s="120"/>
      <c r="F96" s="121">
        <f>SUM(F46:F95)</f>
        <v>15.769599439303878</v>
      </c>
      <c r="G96" s="122"/>
      <c r="H96" s="120"/>
      <c r="I96" s="121">
        <f>SUM(I46:I95)</f>
        <v>6.7020797617041437</v>
      </c>
      <c r="J96" s="122"/>
      <c r="K96" s="120"/>
      <c r="L96" s="121">
        <f>SUM(L46:L95)</f>
        <v>27.202559032799176</v>
      </c>
      <c r="M96" s="124"/>
      <c r="N96" s="86"/>
      <c r="O96" s="138"/>
      <c r="W96" s="138"/>
      <c r="X96" s="138"/>
      <c r="Y96" s="138"/>
      <c r="Z96" s="138"/>
      <c r="AA96" s="138"/>
      <c r="AB96" s="138"/>
    </row>
    <row r="97" spans="1:53" ht="12" thickBot="1" x14ac:dyDescent="0.25"/>
    <row r="98" spans="1:53" s="7" customFormat="1" ht="13.5" thickBot="1" x14ac:dyDescent="0.25">
      <c r="A98" s="614" t="s">
        <v>197</v>
      </c>
      <c r="B98" s="144"/>
      <c r="C98" s="145">
        <f>C96+C41</f>
        <v>310.2396613075353</v>
      </c>
      <c r="D98" s="146"/>
      <c r="E98" s="144"/>
      <c r="F98" s="145">
        <f>F96+F41</f>
        <v>331.22226247336766</v>
      </c>
      <c r="G98" s="146"/>
      <c r="H98" s="144"/>
      <c r="I98" s="145">
        <f>I96+I41</f>
        <v>42.504281609739252</v>
      </c>
      <c r="J98" s="146"/>
      <c r="K98" s="144"/>
      <c r="L98" s="145">
        <f>L96+L41</f>
        <v>683.96620539064224</v>
      </c>
      <c r="M98" s="148"/>
      <c r="N98" s="138"/>
      <c r="O98" s="138"/>
      <c r="W98" s="138"/>
      <c r="X98" s="138"/>
      <c r="Y98" s="138"/>
      <c r="Z98" s="138"/>
      <c r="AA98" s="138"/>
      <c r="AB98" s="138"/>
    </row>
    <row r="100" spans="1:53" ht="12.75" x14ac:dyDescent="0.2">
      <c r="J100" s="687" t="s">
        <v>41</v>
      </c>
      <c r="K100" s="688"/>
      <c r="L100" s="693">
        <f>'global path'!C88</f>
        <v>683.96620539064213</v>
      </c>
    </row>
    <row r="101" spans="1:53" ht="12" x14ac:dyDescent="0.2">
      <c r="J101" s="690" t="s">
        <v>215</v>
      </c>
      <c r="K101" s="691"/>
      <c r="L101" s="694">
        <f>L98-L100</f>
        <v>0</v>
      </c>
    </row>
    <row r="102" spans="1:53" ht="12.75" x14ac:dyDescent="0.2">
      <c r="A102" s="633" t="s">
        <v>41</v>
      </c>
      <c r="B102" s="636">
        <f>'global path'!C2</f>
        <v>3</v>
      </c>
      <c r="C102" s="708" t="s">
        <v>129</v>
      </c>
      <c r="D102" s="709"/>
      <c r="E102" s="709"/>
      <c r="F102" s="709" t="s">
        <v>130</v>
      </c>
      <c r="G102" s="709"/>
      <c r="H102" s="709"/>
      <c r="I102" s="710" t="s">
        <v>131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U102" s="1"/>
      <c r="AV102" s="1"/>
      <c r="AW102" s="1"/>
      <c r="AX102" s="1"/>
      <c r="AY102" s="1"/>
      <c r="AZ102" s="1"/>
      <c r="BA102" s="1"/>
    </row>
    <row r="103" spans="1:53" ht="12.75" x14ac:dyDescent="0.2">
      <c r="A103" s="655">
        <v>2</v>
      </c>
      <c r="B103" s="618"/>
      <c r="C103" s="684">
        <v>337.40212079995524</v>
      </c>
      <c r="D103" s="619"/>
      <c r="E103" s="619"/>
      <c r="F103" s="684">
        <v>321.77251336679808</v>
      </c>
      <c r="G103" s="619"/>
      <c r="H103" s="619"/>
      <c r="I103" s="684">
        <v>24.509589054435224</v>
      </c>
      <c r="J103" s="619"/>
      <c r="K103" s="619"/>
      <c r="L103" s="620">
        <f>SUM(B103:I103)</f>
        <v>683.68422322118852</v>
      </c>
      <c r="M103" s="480" t="s">
        <v>156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U103" s="1"/>
      <c r="AV103" s="1"/>
      <c r="AW103" s="1"/>
      <c r="AX103" s="1"/>
      <c r="AY103" s="1"/>
      <c r="AZ103" s="1"/>
      <c r="BA103" s="1"/>
    </row>
    <row r="104" spans="1:53" ht="12.75" x14ac:dyDescent="0.2">
      <c r="A104" s="656">
        <v>1</v>
      </c>
      <c r="B104" s="11"/>
      <c r="C104" s="685">
        <v>265.3497569937802</v>
      </c>
      <c r="D104" s="621"/>
      <c r="E104" s="621"/>
      <c r="F104" s="685">
        <v>346.58484600311886</v>
      </c>
      <c r="G104" s="621"/>
      <c r="H104" s="621"/>
      <c r="I104" s="685">
        <v>72.099381599535207</v>
      </c>
      <c r="J104" s="621"/>
      <c r="K104" s="621"/>
      <c r="L104" s="622">
        <f>SUM(B104:I104)</f>
        <v>684.03398459643427</v>
      </c>
      <c r="M104" s="475" t="s">
        <v>156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U104" s="1"/>
      <c r="AV104" s="1"/>
      <c r="AW104" s="1"/>
      <c r="AX104" s="1"/>
      <c r="AY104" s="1"/>
      <c r="AZ104" s="1"/>
      <c r="BA104" s="1"/>
    </row>
    <row r="105" spans="1:53" ht="12.75" x14ac:dyDescent="0.2">
      <c r="A105" s="656">
        <v>3</v>
      </c>
      <c r="B105" s="11"/>
      <c r="C105" s="685">
        <v>310.2396613075353</v>
      </c>
      <c r="D105" s="621"/>
      <c r="E105" s="621"/>
      <c r="F105" s="685">
        <v>331.22226247336766</v>
      </c>
      <c r="G105" s="621"/>
      <c r="H105" s="621"/>
      <c r="I105" s="685">
        <v>42.504281609739252</v>
      </c>
      <c r="J105" s="621"/>
      <c r="K105" s="621"/>
      <c r="L105" s="622">
        <f>SUM(B105:I105)</f>
        <v>683.96620539064213</v>
      </c>
      <c r="M105" s="475" t="s">
        <v>156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U105" s="1"/>
      <c r="AV105" s="1"/>
      <c r="AW105" s="1"/>
      <c r="AX105" s="1"/>
      <c r="AY105" s="1"/>
      <c r="AZ105" s="1"/>
      <c r="BA105" s="1"/>
    </row>
    <row r="106" spans="1:53" ht="12.75" x14ac:dyDescent="0.2">
      <c r="A106" s="657">
        <v>6</v>
      </c>
      <c r="B106" s="35"/>
      <c r="C106" s="686">
        <v>303.21816594113892</v>
      </c>
      <c r="D106" s="624"/>
      <c r="E106" s="624"/>
      <c r="F106" s="686">
        <v>333.5277134009965</v>
      </c>
      <c r="G106" s="624"/>
      <c r="H106" s="624"/>
      <c r="I106" s="686">
        <v>47.078357516076792</v>
      </c>
      <c r="J106" s="624"/>
      <c r="K106" s="624"/>
      <c r="L106" s="679">
        <f>SUM(B106:I106)</f>
        <v>683.8242368582122</v>
      </c>
      <c r="M106" s="635" t="s">
        <v>156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U106" s="1"/>
      <c r="AV106" s="1"/>
      <c r="AW106" s="1"/>
      <c r="AX106" s="1"/>
      <c r="AY106" s="1"/>
      <c r="AZ106" s="1"/>
      <c r="BA106" s="1"/>
    </row>
    <row r="107" spans="1:53" x14ac:dyDescent="0.2">
      <c r="A107" s="656"/>
    </row>
    <row r="108" spans="1:53" ht="12.75" x14ac:dyDescent="0.2">
      <c r="A108" s="655">
        <v>2</v>
      </c>
      <c r="B108" s="618"/>
      <c r="C108" s="619">
        <f>$L108*'input data'!$C$11*$L$98+(1-$L108)*'input data'!$C$10*$L$98</f>
        <v>337.54128063247742</v>
      </c>
      <c r="D108" s="625"/>
      <c r="E108" s="618"/>
      <c r="F108" s="619">
        <f>$L108*'input data'!$D$11*$L$98+(1-$L108)*'input data'!$D$10*$L$98</f>
        <v>321.90522684519641</v>
      </c>
      <c r="G108" s="625"/>
      <c r="H108" s="618"/>
      <c r="I108" s="619">
        <f>$L108*'input data'!$E$11*$L$98+(1-$L108)*'input data'!$E$10*$L$98</f>
        <v>24.519697912968507</v>
      </c>
      <c r="J108" s="618"/>
      <c r="K108" s="618"/>
      <c r="L108" s="626">
        <v>2.9624532704857931E-2</v>
      </c>
      <c r="M108" s="617" t="s">
        <v>200</v>
      </c>
      <c r="N108" s="634"/>
      <c r="O108" s="677" t="s">
        <v>170</v>
      </c>
    </row>
    <row r="109" spans="1:53" ht="12.75" x14ac:dyDescent="0.2">
      <c r="A109" s="656">
        <v>1</v>
      </c>
      <c r="B109" s="11"/>
      <c r="C109" s="621">
        <f>$L109*'input data'!$C$11*$L$98+(1-$L109)*'input data'!$C$10*$L$98</f>
        <v>265.32346415425593</v>
      </c>
      <c r="D109" s="519"/>
      <c r="E109" s="11"/>
      <c r="F109" s="621">
        <f>$L109*'input data'!$D$11*$L$98+(1-$L109)*'input data'!$D$10*$L$98</f>
        <v>346.55050378309681</v>
      </c>
      <c r="G109" s="519"/>
      <c r="H109" s="11"/>
      <c r="I109" s="621">
        <f>$L109*'input data'!$E$11*$L$98+(1-$L109)*'input data'!$E$10*$L$98</f>
        <v>72.092237453289599</v>
      </c>
      <c r="J109" s="11"/>
      <c r="K109" s="11"/>
      <c r="L109" s="680">
        <v>0.35021647856759081</v>
      </c>
      <c r="M109" s="462" t="s">
        <v>200</v>
      </c>
      <c r="N109" s="97"/>
      <c r="O109" s="681" t="s">
        <v>170</v>
      </c>
    </row>
    <row r="110" spans="1:53" ht="12.75" x14ac:dyDescent="0.2">
      <c r="A110" s="656">
        <v>3</v>
      </c>
      <c r="B110" s="11"/>
      <c r="C110" s="621">
        <f>$L110*'input data'!$C$11*$L$98+(1-$L110)*'input data'!$C$10*$L$98</f>
        <v>310.2396613075353</v>
      </c>
      <c r="D110" s="519"/>
      <c r="E110" s="11"/>
      <c r="F110" s="621">
        <f>$L110*'input data'!$D$11*$L$98+(1-$L110)*'input data'!$D$10*$L$98</f>
        <v>331.22226247336772</v>
      </c>
      <c r="G110" s="519"/>
      <c r="H110" s="11"/>
      <c r="I110" s="621">
        <f>$L110*'input data'!$E$11*$L$98+(1-$L110)*'input data'!$E$10*$L$98</f>
        <v>42.504281609739252</v>
      </c>
      <c r="J110" s="11"/>
      <c r="K110" s="11"/>
      <c r="L110" s="680">
        <v>0.15082286978316475</v>
      </c>
      <c r="M110" s="462" t="s">
        <v>200</v>
      </c>
      <c r="N110" s="97"/>
      <c r="O110" s="681" t="s">
        <v>170</v>
      </c>
    </row>
    <row r="111" spans="1:53" ht="12.75" x14ac:dyDescent="0.2">
      <c r="A111" s="657">
        <v>6</v>
      </c>
      <c r="B111" s="35"/>
      <c r="C111" s="624">
        <f>$L111*'input data'!$C$11*$L$98+(1-$L111)*'input data'!$C$10*$L$98</f>
        <v>303.26956150947331</v>
      </c>
      <c r="D111" s="627"/>
      <c r="E111" s="35"/>
      <c r="F111" s="624">
        <f>$L111*'input data'!$D$11*$L$98+(1-$L111)*'input data'!$D$10*$L$98</f>
        <v>333.60090043537042</v>
      </c>
      <c r="G111" s="627"/>
      <c r="H111" s="35"/>
      <c r="I111" s="624">
        <f>$L111*'input data'!$E$11*$L$98+(1-$L111)*'input data'!$E$10*$L$98</f>
        <v>47.095743445798512</v>
      </c>
      <c r="J111" s="35"/>
      <c r="K111" s="35"/>
      <c r="L111" s="628">
        <v>0.18176478918877273</v>
      </c>
      <c r="M111" s="623" t="s">
        <v>200</v>
      </c>
      <c r="N111" s="60"/>
      <c r="O111" s="678" t="s">
        <v>170</v>
      </c>
    </row>
    <row r="112" spans="1:53" x14ac:dyDescent="0.2">
      <c r="A112" s="656"/>
    </row>
    <row r="113" spans="1:17" x14ac:dyDescent="0.2">
      <c r="A113" s="655">
        <v>2</v>
      </c>
      <c r="B113" s="618"/>
      <c r="C113" s="629">
        <f>(C103-C108)^2/C103^2</f>
        <v>1.7011091423007309E-7</v>
      </c>
      <c r="D113" s="618"/>
      <c r="E113" s="618"/>
      <c r="F113" s="629">
        <f>(F103-F108)^2/F103^2</f>
        <v>1.7011091422984714E-7</v>
      </c>
      <c r="G113" s="618"/>
      <c r="H113" s="618"/>
      <c r="I113" s="629">
        <f>(I103-I108)^2/I103^2</f>
        <v>1.7011091422942648E-7</v>
      </c>
      <c r="J113" s="618"/>
      <c r="K113" s="618"/>
      <c r="L113" s="630">
        <f>C113+F113+I113</f>
        <v>5.1033274268934674E-7</v>
      </c>
      <c r="M113" s="617" t="s">
        <v>184</v>
      </c>
      <c r="N113" s="634"/>
    </row>
    <row r="114" spans="1:17" x14ac:dyDescent="0.2">
      <c r="A114" s="656">
        <v>1</v>
      </c>
      <c r="B114" s="11"/>
      <c r="C114" s="682">
        <f>(C104-C109)^2/C104^2</f>
        <v>9.8183292791335879E-9</v>
      </c>
      <c r="D114" s="11"/>
      <c r="E114" s="11"/>
      <c r="F114" s="682">
        <f>(F104-F109)^2/F104^2</f>
        <v>9.8183292790692399E-9</v>
      </c>
      <c r="G114" s="11"/>
      <c r="H114" s="11"/>
      <c r="I114" s="682">
        <f>(I104-I109)^2/I104^2</f>
        <v>9.818329279176234E-9</v>
      </c>
      <c r="J114" s="11"/>
      <c r="K114" s="11"/>
      <c r="L114" s="683">
        <f>C114+F114+I114</f>
        <v>2.9454987837379062E-8</v>
      </c>
      <c r="M114" s="462" t="s">
        <v>184</v>
      </c>
      <c r="N114" s="97"/>
    </row>
    <row r="115" spans="1:17" x14ac:dyDescent="0.2">
      <c r="A115" s="656">
        <v>3</v>
      </c>
      <c r="B115" s="11"/>
      <c r="C115" s="682">
        <f>(C105-C110)^2/C105^2</f>
        <v>0</v>
      </c>
      <c r="D115" s="11"/>
      <c r="E115" s="11"/>
      <c r="F115" s="682">
        <f>(F105-F110)^2/F105^2</f>
        <v>2.9452444265918564E-32</v>
      </c>
      <c r="G115" s="11"/>
      <c r="H115" s="11"/>
      <c r="I115" s="682">
        <f>(I105-I110)^2/I105^2</f>
        <v>0</v>
      </c>
      <c r="J115" s="11"/>
      <c r="K115" s="11"/>
      <c r="L115" s="683">
        <f>C115+F115+I115</f>
        <v>2.9452444265918564E-32</v>
      </c>
      <c r="M115" s="462" t="s">
        <v>184</v>
      </c>
      <c r="N115" s="97"/>
    </row>
    <row r="116" spans="1:17" x14ac:dyDescent="0.2">
      <c r="A116" s="657">
        <v>6</v>
      </c>
      <c r="B116" s="35"/>
      <c r="C116" s="631">
        <f>(C106-C111)^2/C106^2</f>
        <v>2.8730349734532455E-8</v>
      </c>
      <c r="D116" s="35"/>
      <c r="E116" s="35"/>
      <c r="F116" s="631">
        <f>(F106-F111)^2/F106^2</f>
        <v>4.8150904174135291E-8</v>
      </c>
      <c r="G116" s="35"/>
      <c r="H116" s="35"/>
      <c r="I116" s="631">
        <f>(I106-I111)^2/I106^2</f>
        <v>1.3638080018749283E-7</v>
      </c>
      <c r="J116" s="35"/>
      <c r="K116" s="35"/>
      <c r="L116" s="632">
        <f>C116+F116+I116</f>
        <v>2.1326205409616058E-7</v>
      </c>
      <c r="M116" s="623" t="s">
        <v>184</v>
      </c>
      <c r="N116" s="60"/>
    </row>
    <row r="118" spans="1:17" x14ac:dyDescent="0.2">
      <c r="L118" s="708" t="s">
        <v>129</v>
      </c>
      <c r="M118" s="711" t="s">
        <v>130</v>
      </c>
      <c r="N118" s="710" t="s">
        <v>131</v>
      </c>
    </row>
    <row r="119" spans="1:17" ht="12.75" x14ac:dyDescent="0.2">
      <c r="A119" s="655">
        <v>2</v>
      </c>
      <c r="B119" s="618"/>
      <c r="C119" s="619">
        <f>$L119*'input data'!$C$11*$L$98+(1-$L119)*'input data'!$C$10*$L$98</f>
        <v>337.47216874699632</v>
      </c>
      <c r="D119" s="625"/>
      <c r="E119" s="618"/>
      <c r="F119" s="619">
        <f>M119*'input data'!$D$11*$L$98+(1-M119)*'input data'!$D$10*$L$98</f>
        <v>321.83931645600848</v>
      </c>
      <c r="G119" s="625"/>
      <c r="H119" s="618"/>
      <c r="I119" s="619">
        <f>N119*'input data'!$E$11*$L$98+(1-N119)*'input data'!$E$10*$L$98</f>
        <v>24.514677482427359</v>
      </c>
      <c r="J119" s="618"/>
      <c r="K119" s="618"/>
      <c r="L119" s="696">
        <v>2.9931336689374654E-2</v>
      </c>
      <c r="M119" s="696">
        <v>2.8767153825506736E-2</v>
      </c>
      <c r="N119" s="696">
        <v>2.9590699959921283E-2</v>
      </c>
      <c r="O119" s="618" t="s">
        <v>200</v>
      </c>
      <c r="P119" s="634"/>
      <c r="Q119" s="677" t="s">
        <v>170</v>
      </c>
    </row>
    <row r="120" spans="1:17" ht="12.75" x14ac:dyDescent="0.2">
      <c r="A120" s="656">
        <v>1</v>
      </c>
      <c r="B120" s="11"/>
      <c r="C120" s="621">
        <f>$L120*'input data'!$C$11*$L$98+(1-$L120)*'input data'!$C$10*$L$98</f>
        <v>265.40484617247648</v>
      </c>
      <c r="D120" s="519"/>
      <c r="E120" s="11"/>
      <c r="F120" s="621">
        <f>M120*'input data'!$D$11*$L$98+(1-M120)*'input data'!$D$10*$L$98</f>
        <v>346.65680037282016</v>
      </c>
      <c r="G120" s="519"/>
      <c r="H120" s="11"/>
      <c r="I120" s="621">
        <f>N120*'input data'!$E$11*$L$98+(1-N120)*'input data'!$E$10*$L$98</f>
        <v>72.114350129229109</v>
      </c>
      <c r="J120" s="11"/>
      <c r="K120" s="11"/>
      <c r="L120" s="696">
        <v>0.34985520456552466</v>
      </c>
      <c r="M120" s="696">
        <v>0.35159921127633165</v>
      </c>
      <c r="N120" s="696">
        <v>0.35036549617052259</v>
      </c>
      <c r="O120" s="11" t="s">
        <v>200</v>
      </c>
      <c r="P120" s="97"/>
      <c r="Q120" s="681" t="s">
        <v>170</v>
      </c>
    </row>
    <row r="121" spans="1:17" ht="12.75" x14ac:dyDescent="0.2">
      <c r="A121" s="656">
        <v>3</v>
      </c>
      <c r="B121" s="11"/>
      <c r="C121" s="621">
        <f>$L121*'input data'!$C$11*$L$98+(1-$L121)*'input data'!$C$10*$L$98</f>
        <v>310.30407006499593</v>
      </c>
      <c r="D121" s="519"/>
      <c r="E121" s="11"/>
      <c r="F121" s="621">
        <f>M121*'input data'!$D$11*$L$98+(1-M121)*'input data'!$D$10*$L$98</f>
        <v>331.29102742198609</v>
      </c>
      <c r="G121" s="519"/>
      <c r="H121" s="11"/>
      <c r="I121" s="621">
        <f>N121*'input data'!$E$11*$L$98+(1-N121)*'input data'!$E$10*$L$98</f>
        <v>42.513105910132381</v>
      </c>
      <c r="J121" s="11"/>
      <c r="K121" s="11"/>
      <c r="L121" s="696">
        <v>0.15053694409485299</v>
      </c>
      <c r="M121" s="696">
        <v>0.15171738148779024</v>
      </c>
      <c r="N121" s="696">
        <v>0.15088233685516142</v>
      </c>
      <c r="O121" s="11" t="s">
        <v>200</v>
      </c>
      <c r="P121" s="97"/>
      <c r="Q121" s="681" t="s">
        <v>170</v>
      </c>
    </row>
    <row r="122" spans="1:17" ht="12.75" x14ac:dyDescent="0.2">
      <c r="A122" s="657">
        <v>6</v>
      </c>
      <c r="B122" s="35"/>
      <c r="C122" s="624">
        <f>$L122*'input data'!$C$11*$L$98+(1-$L122)*'input data'!$C$10*$L$98</f>
        <v>303.28111696817865</v>
      </c>
      <c r="D122" s="627"/>
      <c r="E122" s="35"/>
      <c r="F122" s="624">
        <f>M122*'input data'!$D$11*$L$98+(1-M122)*'input data'!$D$10*$L$98</f>
        <v>333.59695698354915</v>
      </c>
      <c r="G122" s="627"/>
      <c r="H122" s="35"/>
      <c r="I122" s="624">
        <f>N122*'input data'!$E$11*$L$98+(1-N122)*'input data'!$E$10*$L$98</f>
        <v>47.088131438914758</v>
      </c>
      <c r="J122" s="35"/>
      <c r="K122" s="35"/>
      <c r="L122" s="651">
        <v>0.18171349177807361</v>
      </c>
      <c r="M122" s="651">
        <v>0.18171349177807627</v>
      </c>
      <c r="N122" s="651">
        <v>0.18171349177807397</v>
      </c>
      <c r="O122" s="35" t="s">
        <v>200</v>
      </c>
      <c r="P122" s="60"/>
      <c r="Q122" s="678" t="s">
        <v>170</v>
      </c>
    </row>
    <row r="123" spans="1:17" x14ac:dyDescent="0.2">
      <c r="A123" s="656"/>
    </row>
    <row r="124" spans="1:17" x14ac:dyDescent="0.2">
      <c r="A124" s="655">
        <v>2</v>
      </c>
      <c r="B124" s="617"/>
      <c r="C124" s="629">
        <f>(C103-C119)^2/C103^2</f>
        <v>4.3101780104039456E-8</v>
      </c>
      <c r="D124" s="629"/>
      <c r="E124" s="629"/>
      <c r="F124" s="629">
        <f t="shared" ref="F124:I124" si="25">(F103-F119)^2/F103^2</f>
        <v>4.3101780103981586E-8</v>
      </c>
      <c r="G124" s="629"/>
      <c r="H124" s="629"/>
      <c r="I124" s="629">
        <f t="shared" si="25"/>
        <v>4.3101780104066819E-8</v>
      </c>
      <c r="J124" s="618"/>
      <c r="K124" s="618"/>
      <c r="L124" s="630">
        <f>C124+F124+I124</f>
        <v>1.2930534031208785E-7</v>
      </c>
      <c r="M124" s="617" t="s">
        <v>184</v>
      </c>
      <c r="N124" s="634"/>
    </row>
    <row r="125" spans="1:17" x14ac:dyDescent="0.2">
      <c r="A125" s="656">
        <v>1</v>
      </c>
      <c r="B125" s="462"/>
      <c r="C125" s="682">
        <f t="shared" ref="C125:I127" si="26">(C104-C120)^2/C104^2</f>
        <v>4.3101780103989885E-8</v>
      </c>
      <c r="D125" s="682"/>
      <c r="E125" s="682"/>
      <c r="F125" s="682">
        <f t="shared" si="26"/>
        <v>4.3101780103960113E-8</v>
      </c>
      <c r="G125" s="682"/>
      <c r="H125" s="682"/>
      <c r="I125" s="682">
        <f t="shared" si="26"/>
        <v>4.310178010406177E-8</v>
      </c>
      <c r="J125" s="11"/>
      <c r="K125" s="11"/>
      <c r="L125" s="683">
        <f>C125+F125+I125</f>
        <v>1.2930534031201175E-7</v>
      </c>
      <c r="M125" s="462" t="s">
        <v>184</v>
      </c>
      <c r="N125" s="97"/>
    </row>
    <row r="126" spans="1:17" x14ac:dyDescent="0.2">
      <c r="A126" s="656">
        <v>3</v>
      </c>
      <c r="B126" s="462"/>
      <c r="C126" s="682">
        <f t="shared" si="26"/>
        <v>4.3101780104014528E-8</v>
      </c>
      <c r="D126" s="682"/>
      <c r="E126" s="682"/>
      <c r="F126" s="682">
        <f t="shared" si="26"/>
        <v>4.3101780104024997E-8</v>
      </c>
      <c r="G126" s="682"/>
      <c r="H126" s="682"/>
      <c r="I126" s="682">
        <f t="shared" si="26"/>
        <v>4.3101780104034989E-8</v>
      </c>
      <c r="J126" s="11"/>
      <c r="K126" s="11"/>
      <c r="L126" s="683">
        <f>C126+F126+I126</f>
        <v>1.2930534031207451E-7</v>
      </c>
      <c r="M126" s="462" t="s">
        <v>184</v>
      </c>
      <c r="N126" s="97"/>
    </row>
    <row r="127" spans="1:17" x14ac:dyDescent="0.2">
      <c r="A127" s="657">
        <v>6</v>
      </c>
      <c r="B127" s="623"/>
      <c r="C127" s="631">
        <f t="shared" si="26"/>
        <v>4.3101780104053353E-8</v>
      </c>
      <c r="D127" s="631"/>
      <c r="E127" s="631"/>
      <c r="F127" s="631">
        <f t="shared" si="26"/>
        <v>4.3101780104057958E-8</v>
      </c>
      <c r="G127" s="631"/>
      <c r="H127" s="631"/>
      <c r="I127" s="631">
        <f t="shared" si="26"/>
        <v>4.3101780103976828E-8</v>
      </c>
      <c r="J127" s="35"/>
      <c r="K127" s="35"/>
      <c r="L127" s="632">
        <f>C127+F127+I127</f>
        <v>1.2930534031208815E-7</v>
      </c>
      <c r="M127" s="623" t="s">
        <v>184</v>
      </c>
      <c r="N127" s="60"/>
    </row>
  </sheetData>
  <sheetProtection selectLockedCells="1"/>
  <mergeCells count="7">
    <mergeCell ref="K5:N5"/>
    <mergeCell ref="B5:D5"/>
    <mergeCell ref="E5:G5"/>
    <mergeCell ref="H5:J5"/>
    <mergeCell ref="I1:N1"/>
    <mergeCell ref="G1:H1"/>
    <mergeCell ref="H3:I3"/>
  </mergeCells>
  <conditionalFormatting sqref="P14:Q14 W9:AB40 N9:O40">
    <cfRule type="expression" dxfId="83" priority="12" stopIfTrue="1">
      <formula>AND(N9=-100,N10=-100)</formula>
    </cfRule>
  </conditionalFormatting>
  <conditionalFormatting sqref="L44">
    <cfRule type="cellIs" dxfId="82" priority="7" stopIfTrue="1" operator="equal">
      <formula>0</formula>
    </cfRule>
  </conditionalFormatting>
  <conditionalFormatting sqref="L101">
    <cfRule type="cellIs" dxfId="81" priority="6" stopIfTrue="1" operator="equal">
      <formula>0</formula>
    </cfRule>
  </conditionalFormatting>
  <conditionalFormatting sqref="L113:L116">
    <cfRule type="cellIs" dxfId="80" priority="5" operator="between">
      <formula>-0.001</formula>
      <formula>0.001</formula>
    </cfRule>
  </conditionalFormatting>
  <conditionalFormatting sqref="C124:C127">
    <cfRule type="cellIs" dxfId="79" priority="3" operator="between">
      <formula>-0.001</formula>
      <formula>0.001</formula>
    </cfRule>
  </conditionalFormatting>
  <conditionalFormatting sqref="F124:F127">
    <cfRule type="cellIs" dxfId="78" priority="2" operator="between">
      <formula>-0.001</formula>
      <formula>0.001</formula>
    </cfRule>
  </conditionalFormatting>
  <conditionalFormatting sqref="I124:I127">
    <cfRule type="cellIs" dxfId="77" priority="1" operator="between">
      <formula>-0.001</formula>
      <formula>0.001</formula>
    </cfRule>
  </conditionalFormatting>
  <hyperlinks>
    <hyperlink ref="I1" r:id="rId1"/>
    <hyperlink ref="I1:N1" r:id="rId2" display="www.save-the-climate.info"/>
  </hyperlink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3"/>
  <headerFooter>
    <oddHeader>&amp;LRegensburger Modell</oddHeader>
    <oddFooter>&amp;LSargl/Wolfsteiner/Wittmann&amp;R&amp;18Anlage 1.3.1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>
    <tabColor rgb="FF00B0F0"/>
    <pageSetUpPr fitToPage="1"/>
  </sheetPr>
  <dimension ref="A1:BA118"/>
  <sheetViews>
    <sheetView zoomScale="120" zoomScaleNormal="12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5" style="3" customWidth="1"/>
    <col min="4" max="4" width="5.42578125" style="3" bestFit="1" customWidth="1"/>
    <col min="5" max="5" width="4.42578125" style="3" customWidth="1"/>
    <col min="6" max="7" width="5.85546875" style="3" customWidth="1"/>
    <col min="8" max="8" width="4.5703125" style="3" bestFit="1" customWidth="1"/>
    <col min="9" max="9" width="4.7109375" style="3" customWidth="1"/>
    <col min="10" max="10" width="4.42578125" style="3" customWidth="1"/>
    <col min="11" max="11" width="4.85546875" style="3" customWidth="1"/>
    <col min="12" max="12" width="6" style="3" customWidth="1"/>
    <col min="13" max="13" width="4.42578125" style="3" bestFit="1" customWidth="1"/>
    <col min="14" max="14" width="10.140625" style="3" customWidth="1"/>
    <col min="15" max="15" width="5" style="3" bestFit="1" customWidth="1"/>
    <col min="16" max="16" width="5.28515625" style="3" bestFit="1" customWidth="1"/>
    <col min="17" max="17" width="4.85546875" style="3" bestFit="1" customWidth="1"/>
    <col min="18" max="18" width="4" style="3" bestFit="1" customWidth="1"/>
    <col min="19" max="19" width="5.42578125" style="3" bestFit="1" customWidth="1"/>
    <col min="20" max="20" width="4.42578125" style="3" customWidth="1"/>
    <col min="21" max="21" width="4.85546875" style="3" bestFit="1" customWidth="1"/>
    <col min="22" max="22" width="4.42578125" style="3" bestFit="1" customWidth="1"/>
    <col min="23" max="23" width="4.28515625" style="3" customWidth="1"/>
    <col min="24" max="24" width="5.42578125" style="3" customWidth="1"/>
    <col min="25" max="25" width="7.28515625" style="3" bestFit="1" customWidth="1"/>
    <col min="26" max="26" width="6.42578125" style="3" customWidth="1"/>
    <col min="27" max="27" width="6.28515625" style="3" customWidth="1"/>
    <col min="28" max="28" width="7" style="3" bestFit="1" customWidth="1"/>
    <col min="29" max="29" width="11.42578125" style="3" bestFit="1" customWidth="1"/>
    <col min="30" max="30" width="4.28515625" style="3" customWidth="1"/>
    <col min="31" max="31" width="14.42578125" style="1" customWidth="1"/>
    <col min="32" max="32" width="13.85546875" style="1" customWidth="1"/>
    <col min="33" max="33" width="10.7109375" style="1" customWidth="1"/>
    <col min="34" max="34" width="9.28515625" style="1" customWidth="1"/>
    <col min="35" max="35" width="23.28515625" style="1" customWidth="1"/>
    <col min="36" max="36" width="23.42578125" style="1" customWidth="1"/>
    <col min="37" max="37" width="20.42578125" style="1" bestFit="1" customWidth="1"/>
    <col min="38" max="38" width="21.42578125" style="1" bestFit="1" customWidth="1"/>
    <col min="39" max="39" width="21.7109375" style="1" customWidth="1"/>
    <col min="40" max="45" width="8.42578125" style="1" bestFit="1" customWidth="1"/>
    <col min="46" max="46" width="8.42578125" style="3" bestFit="1" customWidth="1"/>
    <col min="47" max="53" width="8.42578125" style="1" bestFit="1" customWidth="1"/>
    <col min="54" max="54" width="8.42578125" style="3" bestFit="1" customWidth="1"/>
    <col min="55" max="16384" width="11.7109375" style="3"/>
  </cols>
  <sheetData>
    <row r="1" spans="1:53" ht="15.75" x14ac:dyDescent="0.25">
      <c r="A1" s="51" t="s">
        <v>32</v>
      </c>
      <c r="G1" s="1" t="s">
        <v>35</v>
      </c>
      <c r="H1" s="763" t="s">
        <v>37</v>
      </c>
      <c r="I1" s="763"/>
      <c r="J1" s="763"/>
      <c r="K1" s="763"/>
      <c r="L1" s="7" t="s">
        <v>111</v>
      </c>
    </row>
    <row r="2" spans="1:53" x14ac:dyDescent="0.2">
      <c r="A2" s="1" t="s">
        <v>160</v>
      </c>
    </row>
    <row r="3" spans="1:53" x14ac:dyDescent="0.2">
      <c r="A3" s="165"/>
      <c r="C3" s="165"/>
      <c r="D3" s="165"/>
      <c r="E3" s="165"/>
      <c r="F3" s="165"/>
      <c r="G3" s="404"/>
      <c r="H3" s="404"/>
      <c r="I3" s="165"/>
    </row>
    <row r="4" spans="1:53" ht="13.5" thickBot="1" x14ac:dyDescent="0.25">
      <c r="A4" s="103"/>
      <c r="C4" s="101"/>
      <c r="D4" s="104"/>
      <c r="E4" s="104"/>
      <c r="F4" s="105"/>
      <c r="G4" s="106"/>
      <c r="H4" s="106"/>
      <c r="I4" s="106"/>
    </row>
    <row r="5" spans="1:53" s="43" customFormat="1" ht="15" thickBot="1" x14ac:dyDescent="0.3">
      <c r="A5" s="101"/>
      <c r="B5" s="428" t="s">
        <v>27</v>
      </c>
      <c r="C5" s="429"/>
      <c r="D5" s="430"/>
      <c r="E5" s="399">
        <f>'input data'!C21</f>
        <v>4</v>
      </c>
      <c r="F5" s="102"/>
      <c r="G5" s="304" t="s">
        <v>152</v>
      </c>
      <c r="H5" s="102"/>
      <c r="L5" s="1" t="s">
        <v>113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U5" s="10"/>
      <c r="AV5" s="10"/>
      <c r="AW5" s="10"/>
      <c r="AX5" s="10"/>
      <c r="AY5" s="10"/>
      <c r="AZ5" s="10"/>
      <c r="BA5" s="10"/>
    </row>
    <row r="6" spans="1:53" s="43" customFormat="1" ht="13.5" thickBot="1" x14ac:dyDescent="0.3">
      <c r="A6" s="101"/>
      <c r="B6" s="101"/>
      <c r="C6" s="101"/>
      <c r="D6" s="101"/>
      <c r="E6" s="101"/>
      <c r="F6" s="102"/>
      <c r="G6" s="102"/>
      <c r="H6" s="102"/>
      <c r="I6" s="107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U6" s="10"/>
      <c r="AV6" s="10"/>
      <c r="AW6" s="10"/>
      <c r="AX6" s="10"/>
      <c r="AY6" s="10"/>
      <c r="AZ6" s="10"/>
      <c r="BA6" s="10"/>
    </row>
    <row r="7" spans="1:53" s="7" customFormat="1" ht="16.5" thickBot="1" x14ac:dyDescent="0.25">
      <c r="A7" s="6"/>
      <c r="B7" s="754" t="s">
        <v>7</v>
      </c>
      <c r="C7" s="755"/>
      <c r="D7" s="755"/>
      <c r="E7" s="756" t="s">
        <v>8</v>
      </c>
      <c r="F7" s="757"/>
      <c r="G7" s="757"/>
      <c r="H7" s="758" t="s">
        <v>9</v>
      </c>
      <c r="I7" s="759"/>
      <c r="J7" s="759"/>
      <c r="K7" s="751" t="s">
        <v>5</v>
      </c>
      <c r="L7" s="752"/>
      <c r="M7" s="752"/>
      <c r="N7" s="753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U7" s="1"/>
      <c r="AV7" s="1"/>
      <c r="AW7" s="1"/>
      <c r="AX7" s="1"/>
      <c r="AY7" s="1"/>
      <c r="AZ7" s="1"/>
      <c r="BA7" s="1"/>
    </row>
    <row r="8" spans="1:53" s="7" customFormat="1" ht="13.5" thickBot="1" x14ac:dyDescent="0.25">
      <c r="A8" s="44"/>
      <c r="B8" s="87"/>
      <c r="C8" s="88"/>
      <c r="D8" s="90"/>
      <c r="E8" s="87"/>
      <c r="F8" s="88"/>
      <c r="G8" s="90"/>
      <c r="H8" s="87"/>
      <c r="I8" s="88"/>
      <c r="J8" s="90"/>
      <c r="K8" s="87"/>
      <c r="L8" s="89"/>
      <c r="M8" s="90"/>
      <c r="N8" s="125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U8" s="1"/>
      <c r="AV8" s="1"/>
      <c r="AW8" s="1"/>
      <c r="AX8" s="1"/>
      <c r="AY8" s="1"/>
      <c r="AZ8" s="1"/>
      <c r="BA8" s="1"/>
    </row>
    <row r="9" spans="1:53" s="7" customFormat="1" ht="46.5" x14ac:dyDescent="0.25">
      <c r="A9" s="46" t="s">
        <v>10</v>
      </c>
      <c r="B9" s="126" t="s">
        <v>13</v>
      </c>
      <c r="C9" s="20" t="s">
        <v>12</v>
      </c>
      <c r="D9" s="14" t="s">
        <v>11</v>
      </c>
      <c r="E9" s="13" t="s">
        <v>13</v>
      </c>
      <c r="F9" s="20" t="s">
        <v>12</v>
      </c>
      <c r="G9" s="14" t="s">
        <v>11</v>
      </c>
      <c r="H9" s="13" t="s">
        <v>13</v>
      </c>
      <c r="I9" s="20" t="s">
        <v>12</v>
      </c>
      <c r="J9" s="14" t="s">
        <v>11</v>
      </c>
      <c r="K9" s="13" t="s">
        <v>22</v>
      </c>
      <c r="L9" s="20" t="s">
        <v>23</v>
      </c>
      <c r="M9" s="14" t="s">
        <v>11</v>
      </c>
      <c r="N9" s="91" t="s">
        <v>30</v>
      </c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U9" s="1"/>
      <c r="AV9" s="1"/>
      <c r="AW9" s="1"/>
      <c r="AX9" s="1"/>
      <c r="AY9" s="1"/>
      <c r="AZ9" s="1"/>
      <c r="BA9" s="1"/>
    </row>
    <row r="10" spans="1:53" s="7" customFormat="1" x14ac:dyDescent="0.2">
      <c r="A10" s="47"/>
      <c r="B10" s="127" t="s">
        <v>6</v>
      </c>
      <c r="C10" s="108" t="s">
        <v>21</v>
      </c>
      <c r="D10" s="30" t="s">
        <v>0</v>
      </c>
      <c r="E10" s="109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9" t="s">
        <v>6</v>
      </c>
      <c r="L10" s="108" t="s">
        <v>21</v>
      </c>
      <c r="M10" s="30" t="s">
        <v>0</v>
      </c>
      <c r="N10" s="33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U10" s="1"/>
      <c r="AV10" s="1"/>
      <c r="AW10" s="1"/>
      <c r="AX10" s="1"/>
      <c r="AY10" s="1"/>
      <c r="AZ10" s="1"/>
      <c r="BA10" s="1"/>
    </row>
    <row r="11" spans="1:53" s="7" customFormat="1" ht="14.25" x14ac:dyDescent="0.25">
      <c r="A11" s="48">
        <v>2019</v>
      </c>
      <c r="B11" s="131">
        <f>RF!B9</f>
        <v>1.2</v>
      </c>
      <c r="C11" s="132">
        <f>RF!C9</f>
        <v>21</v>
      </c>
      <c r="D11" s="130">
        <f>C11/B11</f>
        <v>17.5</v>
      </c>
      <c r="E11" s="133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3">
        <f>RF!K9</f>
        <v>6.9</v>
      </c>
      <c r="L11" s="32">
        <f>I11+F11+C11</f>
        <v>41.727717101305259</v>
      </c>
      <c r="M11" s="31">
        <f>L11/K11</f>
        <v>6.047495232073226</v>
      </c>
      <c r="N11" s="118">
        <f t="shared" ref="N11:N42" si="0">EXP(-$E$5*(1-((A11-2019)/(2050-2019))))</f>
        <v>1.8315638888734179E-2</v>
      </c>
      <c r="AB11" s="433" t="s">
        <v>2</v>
      </c>
      <c r="AC11" s="434" t="s">
        <v>153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U11" s="1"/>
      <c r="AV11" s="1"/>
      <c r="AW11" s="1"/>
      <c r="AX11" s="1"/>
      <c r="AY11" s="1"/>
      <c r="AZ11" s="1"/>
      <c r="BA11" s="1"/>
    </row>
    <row r="12" spans="1:53" x14ac:dyDescent="0.2">
      <c r="A12" s="49">
        <f>A11+1</f>
        <v>2020</v>
      </c>
      <c r="B12" s="128">
        <f>B$11*(B$42/B$11)^(($A12-2019)/31)</f>
        <v>1.2</v>
      </c>
      <c r="C12" s="5">
        <f>((1-$N12)*(C11/$L11)+$N12*(B12/$K12))*'global path'!$C7</f>
        <v>20.299348173457769</v>
      </c>
      <c r="D12" s="4">
        <f t="shared" ref="D12:D42" si="1">C12/B12</f>
        <v>16.916123477881474</v>
      </c>
      <c r="E12" s="128">
        <f>E$11*(E$42/E$11)^(($A12-2019)/31)</f>
        <v>4</v>
      </c>
      <c r="F12" s="5">
        <f>((1-$N12)*(F11/$L11)+$N12*(E12/$K12))*'global path'!$C7</f>
        <v>19.205776116276603</v>
      </c>
      <c r="G12" s="4">
        <f t="shared" ref="G12:G42" si="2">F12/E12</f>
        <v>4.8014440290691507</v>
      </c>
      <c r="H12" s="128">
        <f>H$11*(H$42/H$11)^(($A12-2019)/31)</f>
        <v>1.7000000000000004</v>
      </c>
      <c r="I12" s="5">
        <f>((1-$N12)*(I11/$L11)+$N12*(H12/$K12))*'global path'!$C7</f>
        <v>1.3880384695447761</v>
      </c>
      <c r="J12" s="4">
        <f t="shared" ref="J12:J42" si="3">I12/H12</f>
        <v>0.81649321737927982</v>
      </c>
      <c r="K12" s="129">
        <f>B12+E12+H12</f>
        <v>6.9</v>
      </c>
      <c r="L12" s="19">
        <f>I12+F12+C12</f>
        <v>40.89316275927915</v>
      </c>
      <c r="M12" s="4">
        <f t="shared" ref="M12:M42" si="4">L12/K12</f>
        <v>5.9265453274317608</v>
      </c>
      <c r="N12" s="118">
        <f t="shared" si="0"/>
        <v>2.0838193670452695E-2</v>
      </c>
      <c r="AB12" s="435">
        <v>0</v>
      </c>
      <c r="AC12" s="436">
        <f>EXP(-AB12)</f>
        <v>1</v>
      </c>
    </row>
    <row r="13" spans="1:53" x14ac:dyDescent="0.2">
      <c r="A13" s="49">
        <f t="shared" ref="A13:A42" si="5">A12+1</f>
        <v>2021</v>
      </c>
      <c r="B13" s="128">
        <f t="shared" ref="B13:B41" si="6">B$11*(B$42/B$11)^(($A13-2019)/31)</f>
        <v>1.2</v>
      </c>
      <c r="C13" s="5">
        <f>((1-$N13)*(C12/$L12)+$N13*(B13/$K13))*'global path'!$C8</f>
        <v>19.521385297798155</v>
      </c>
      <c r="D13" s="4">
        <f t="shared" si="1"/>
        <v>16.267821081498465</v>
      </c>
      <c r="E13" s="128">
        <f t="shared" ref="E13:E41" si="7">E$11*(E$42/E$11)^(($A13-2019)/31)</f>
        <v>4</v>
      </c>
      <c r="F13" s="5">
        <f>((1-$N13)*(F12/$L12)+$N13*(E13/$K13))*'global path'!$C8</f>
        <v>18.862857647432392</v>
      </c>
      <c r="G13" s="4">
        <f t="shared" si="2"/>
        <v>4.715714411858098</v>
      </c>
      <c r="H13" s="128">
        <f t="shared" ref="H13:H41" si="8">H$11*(H$42/H$11)^(($A13-2019)/31)</f>
        <v>1.7000000000000004</v>
      </c>
      <c r="I13" s="5">
        <f>((1-$N13)*(I12/$L12)+$N13*(H13/$K13))*'global path'!$C8</f>
        <v>1.5568836003390056</v>
      </c>
      <c r="J13" s="4">
        <f t="shared" si="3"/>
        <v>0.91581388255235607</v>
      </c>
      <c r="K13" s="129">
        <f t="shared" ref="K13:K41" si="9">B13+E13+H13</f>
        <v>6.9</v>
      </c>
      <c r="L13" s="19">
        <f t="shared" ref="L13:L42" si="10">I13+F13+C13</f>
        <v>39.941126545569553</v>
      </c>
      <c r="M13" s="4">
        <f t="shared" si="4"/>
        <v>5.788569064575297</v>
      </c>
      <c r="N13" s="119">
        <f t="shared" si="0"/>
        <v>2.3708171911730948E-2</v>
      </c>
      <c r="AB13" s="431">
        <f>AB12+0.1</f>
        <v>0.1</v>
      </c>
      <c r="AC13" s="436">
        <f>EXP(-AB13)</f>
        <v>0.90483741803595952</v>
      </c>
    </row>
    <row r="14" spans="1:53" x14ac:dyDescent="0.2">
      <c r="A14" s="49">
        <f t="shared" si="5"/>
        <v>2022</v>
      </c>
      <c r="B14" s="128">
        <f t="shared" si="6"/>
        <v>1.2</v>
      </c>
      <c r="C14" s="5">
        <f>((1-$N14)*(C13/$L13)+$N14*(B14/$K14))*'global path'!$C9</f>
        <v>18.672672024741754</v>
      </c>
      <c r="D14" s="4">
        <f t="shared" si="1"/>
        <v>15.560560020618128</v>
      </c>
      <c r="E14" s="128">
        <f t="shared" si="7"/>
        <v>4</v>
      </c>
      <c r="F14" s="5">
        <f>((1-$N14)*(F13/$L13)+$N14*(E14/$K14))*'global path'!$C9</f>
        <v>18.474499695651041</v>
      </c>
      <c r="G14" s="4">
        <f t="shared" si="2"/>
        <v>4.6186249239127601</v>
      </c>
      <c r="H14" s="128">
        <f t="shared" si="8"/>
        <v>1.7000000000000004</v>
      </c>
      <c r="I14" s="5">
        <f>((1-$N14)*(I13/$L13)+$N14*(H14/$K14))*'global path'!$C9</f>
        <v>1.7330337548617245</v>
      </c>
      <c r="J14" s="4">
        <f t="shared" si="3"/>
        <v>1.0194316205068965</v>
      </c>
      <c r="K14" s="129">
        <f t="shared" si="9"/>
        <v>6.9</v>
      </c>
      <c r="L14" s="19">
        <f t="shared" si="10"/>
        <v>38.88020547525452</v>
      </c>
      <c r="M14" s="4">
        <f t="shared" si="4"/>
        <v>5.6348123877180463</v>
      </c>
      <c r="N14" s="119">
        <f t="shared" si="0"/>
        <v>2.6973423142389763E-2</v>
      </c>
      <c r="AB14" s="431">
        <f t="shared" ref="AB14:AB36" si="11">AB13+0.1</f>
        <v>0.2</v>
      </c>
      <c r="AC14" s="436">
        <f t="shared" ref="AC14:AC77" si="12">EXP(-AB14)</f>
        <v>0.81873075307798182</v>
      </c>
    </row>
    <row r="15" spans="1:53" x14ac:dyDescent="0.2">
      <c r="A15" s="49">
        <f t="shared" si="5"/>
        <v>2023</v>
      </c>
      <c r="B15" s="128">
        <f t="shared" si="6"/>
        <v>1.2</v>
      </c>
      <c r="C15" s="5">
        <f>((1-$N15)*(C14/$L14)+$N15*(B15/$K15))*'global path'!$C10</f>
        <v>17.760802304126091</v>
      </c>
      <c r="D15" s="4">
        <f t="shared" si="1"/>
        <v>14.800668586771744</v>
      </c>
      <c r="E15" s="128">
        <f t="shared" si="7"/>
        <v>4</v>
      </c>
      <c r="F15" s="5">
        <f>((1-$N15)*(F14/$L14)+$N15*(E15/$K15))*'global path'!$C10</f>
        <v>18.044179784242694</v>
      </c>
      <c r="G15" s="4">
        <f t="shared" si="2"/>
        <v>4.5110449460606734</v>
      </c>
      <c r="H15" s="128">
        <f t="shared" si="8"/>
        <v>1.7000000000000004</v>
      </c>
      <c r="I15" s="5">
        <f>((1-$N15)*(I14/$L14)+$N15*(H15/$K15))*'global path'!$C10</f>
        <v>1.9149143082875297</v>
      </c>
      <c r="J15" s="4">
        <f t="shared" si="3"/>
        <v>1.1264201813456054</v>
      </c>
      <c r="K15" s="129">
        <f t="shared" si="9"/>
        <v>6.9</v>
      </c>
      <c r="L15" s="19">
        <f t="shared" si="10"/>
        <v>37.71989639665631</v>
      </c>
      <c r="M15" s="4">
        <f t="shared" si="4"/>
        <v>5.46665165168932</v>
      </c>
      <c r="N15" s="119">
        <f t="shared" si="0"/>
        <v>3.0688387056043043E-2</v>
      </c>
      <c r="AB15" s="431">
        <f t="shared" si="11"/>
        <v>0.30000000000000004</v>
      </c>
      <c r="AC15" s="436">
        <f t="shared" si="12"/>
        <v>0.74081822068171788</v>
      </c>
    </row>
    <row r="16" spans="1:53" x14ac:dyDescent="0.2">
      <c r="A16" s="49">
        <f t="shared" si="5"/>
        <v>2024</v>
      </c>
      <c r="B16" s="128">
        <f t="shared" si="6"/>
        <v>1.2</v>
      </c>
      <c r="C16" s="5">
        <f>((1-$N16)*(C15/$L15)+$N16*(B16/$K16))*'global path'!$C11</f>
        <v>16.794366624088781</v>
      </c>
      <c r="D16" s="4">
        <f t="shared" si="1"/>
        <v>13.995305520073984</v>
      </c>
      <c r="E16" s="128">
        <f t="shared" si="7"/>
        <v>4</v>
      </c>
      <c r="F16" s="5">
        <f>((1-$N16)*(F15/$L15)+$N16*(E16/$K16))*'global path'!$C11</f>
        <v>17.575519249660381</v>
      </c>
      <c r="G16" s="4">
        <f t="shared" si="2"/>
        <v>4.3938798124150953</v>
      </c>
      <c r="H16" s="128">
        <f t="shared" si="8"/>
        <v>1.7000000000000004</v>
      </c>
      <c r="I16" s="5">
        <f>((1-$N16)*(I15/$L15)+$N16*(H16/$K16))*'global path'!$C11</f>
        <v>2.1005674819755003</v>
      </c>
      <c r="J16" s="4">
        <f t="shared" si="3"/>
        <v>1.2356279305738234</v>
      </c>
      <c r="K16" s="129">
        <f t="shared" si="9"/>
        <v>6.9</v>
      </c>
      <c r="L16" s="19">
        <f t="shared" si="10"/>
        <v>36.470453355724658</v>
      </c>
      <c r="M16" s="4">
        <f t="shared" si="4"/>
        <v>5.2855729501050224</v>
      </c>
      <c r="N16" s="119">
        <f t="shared" si="0"/>
        <v>3.4915001152429612E-2</v>
      </c>
      <c r="AB16" s="431">
        <f t="shared" si="11"/>
        <v>0.4</v>
      </c>
      <c r="AC16" s="436">
        <f t="shared" si="12"/>
        <v>0.67032004603563933</v>
      </c>
    </row>
    <row r="17" spans="1:29" x14ac:dyDescent="0.2">
      <c r="A17" s="49">
        <f t="shared" si="5"/>
        <v>2025</v>
      </c>
      <c r="B17" s="128">
        <f t="shared" si="6"/>
        <v>1.2</v>
      </c>
      <c r="C17" s="5">
        <f>((1-$N17)*(C16/$L16)+$N17*(B17/$K17))*'global path'!$C12</f>
        <v>15.782897621532332</v>
      </c>
      <c r="D17" s="4">
        <f t="shared" si="1"/>
        <v>13.152414684610276</v>
      </c>
      <c r="E17" s="128">
        <f t="shared" si="7"/>
        <v>4</v>
      </c>
      <c r="F17" s="5">
        <f>((1-$N17)*(F16/$L16)+$N17*(E17/$K17))*'global path'!$C12</f>
        <v>17.072204534500727</v>
      </c>
      <c r="G17" s="4">
        <f t="shared" si="2"/>
        <v>4.2680511336251818</v>
      </c>
      <c r="H17" s="128">
        <f t="shared" si="8"/>
        <v>1.7000000000000004</v>
      </c>
      <c r="I17" s="5">
        <f>((1-$N17)*(I16/$L16)+$N17*(H17/$K17))*'global path'!$C12</f>
        <v>2.2876332350415041</v>
      </c>
      <c r="J17" s="4">
        <f t="shared" si="3"/>
        <v>1.3456666088479432</v>
      </c>
      <c r="K17" s="129">
        <f t="shared" si="9"/>
        <v>6.9</v>
      </c>
      <c r="L17" s="19">
        <f t="shared" si="10"/>
        <v>35.142735391074567</v>
      </c>
      <c r="M17" s="4">
        <f t="shared" si="4"/>
        <v>5.093150056677473</v>
      </c>
      <c r="N17" s="119">
        <f t="shared" si="0"/>
        <v>3.9723733386441029E-2</v>
      </c>
      <c r="AB17" s="431">
        <f t="shared" si="11"/>
        <v>0.5</v>
      </c>
      <c r="AC17" s="436">
        <f t="shared" si="12"/>
        <v>0.60653065971263342</v>
      </c>
    </row>
    <row r="18" spans="1:29" x14ac:dyDescent="0.2">
      <c r="A18" s="49">
        <f t="shared" si="5"/>
        <v>2026</v>
      </c>
      <c r="B18" s="128">
        <f t="shared" si="6"/>
        <v>1.2</v>
      </c>
      <c r="C18" s="5">
        <f>((1-$N18)*(C17/$L17)+$N18*(B18/$K18))*'global path'!$C13</f>
        <v>14.736794236515685</v>
      </c>
      <c r="D18" s="4">
        <f t="shared" si="1"/>
        <v>12.280661863763072</v>
      </c>
      <c r="E18" s="128">
        <f t="shared" si="7"/>
        <v>4</v>
      </c>
      <c r="F18" s="5">
        <f>((1-$N18)*(F17/$L17)+$N18*(E18/$K18))*'global path'!$C13</f>
        <v>16.537911724446758</v>
      </c>
      <c r="G18" s="4">
        <f t="shared" si="2"/>
        <v>4.1344779311116895</v>
      </c>
      <c r="H18" s="128">
        <f t="shared" si="8"/>
        <v>1.7000000000000004</v>
      </c>
      <c r="I18" s="5">
        <f>((1-$N18)*(I17/$L17)+$N18*(H18/$K18))*'global path'!$C13</f>
        <v>2.4733419864657837</v>
      </c>
      <c r="J18" s="4">
        <f t="shared" si="3"/>
        <v>1.4549070508622255</v>
      </c>
      <c r="K18" s="129">
        <f t="shared" si="9"/>
        <v>6.9</v>
      </c>
      <c r="L18" s="19">
        <f t="shared" si="10"/>
        <v>33.748047947428226</v>
      </c>
      <c r="M18" s="4">
        <f t="shared" si="4"/>
        <v>4.8910214416562647</v>
      </c>
      <c r="N18" s="119">
        <f t="shared" si="0"/>
        <v>4.5194757040620724E-2</v>
      </c>
      <c r="AB18" s="431">
        <f t="shared" si="11"/>
        <v>0.6</v>
      </c>
      <c r="AC18" s="436">
        <f t="shared" si="12"/>
        <v>0.54881163609402639</v>
      </c>
    </row>
    <row r="19" spans="1:29" x14ac:dyDescent="0.2">
      <c r="A19" s="49">
        <f t="shared" si="5"/>
        <v>2027</v>
      </c>
      <c r="B19" s="128">
        <f t="shared" si="6"/>
        <v>1.2</v>
      </c>
      <c r="C19" s="5">
        <f>((1-$N19)*(C18/$L18)+$N19*(B19/$K19))*'global path'!$C14</f>
        <v>13.667219661742568</v>
      </c>
      <c r="D19" s="4">
        <f t="shared" si="1"/>
        <v>11.389349718118806</v>
      </c>
      <c r="E19" s="128">
        <f t="shared" si="7"/>
        <v>4</v>
      </c>
      <c r="F19" s="5">
        <f>((1-$N19)*(F18/$L18)+$N19*(E19/$K19))*'global path'!$C14</f>
        <v>15.976238039840183</v>
      </c>
      <c r="G19" s="4">
        <f t="shared" si="2"/>
        <v>3.9940595099600458</v>
      </c>
      <c r="H19" s="128">
        <f t="shared" si="8"/>
        <v>1.7000000000000004</v>
      </c>
      <c r="I19" s="5">
        <f>((1-$N19)*(I18/$L18)+$N19*(H19/$K19))*'global path'!$C14</f>
        <v>2.6545234764414709</v>
      </c>
      <c r="J19" s="4">
        <f t="shared" si="3"/>
        <v>1.5614843979067472</v>
      </c>
      <c r="K19" s="129">
        <f t="shared" si="9"/>
        <v>6.9</v>
      </c>
      <c r="L19" s="19">
        <f t="shared" si="10"/>
        <v>32.297981178024223</v>
      </c>
      <c r="M19" s="4">
        <f t="shared" si="4"/>
        <v>4.6808668373948148</v>
      </c>
      <c r="N19" s="119">
        <f t="shared" si="0"/>
        <v>5.1419287409121751E-2</v>
      </c>
      <c r="AB19" s="431">
        <f t="shared" si="11"/>
        <v>0.7</v>
      </c>
      <c r="AC19" s="436">
        <f t="shared" si="12"/>
        <v>0.49658530379140953</v>
      </c>
    </row>
    <row r="20" spans="1:29" x14ac:dyDescent="0.2">
      <c r="A20" s="49">
        <f t="shared" si="5"/>
        <v>2028</v>
      </c>
      <c r="B20" s="128">
        <f t="shared" si="6"/>
        <v>1.2</v>
      </c>
      <c r="C20" s="5">
        <f>((1-$N20)*(C19/$L19)+$N20*(B20/$K20))*'global path'!$C15</f>
        <v>12.585967515949239</v>
      </c>
      <c r="D20" s="4">
        <f t="shared" si="1"/>
        <v>10.488306263291033</v>
      </c>
      <c r="E20" s="128">
        <f t="shared" si="7"/>
        <v>4</v>
      </c>
      <c r="F20" s="5">
        <f>((1-$N20)*(F19/$L19)+$N20*(E20/$K20))*'global path'!$C15</f>
        <v>15.390644270217331</v>
      </c>
      <c r="G20" s="4">
        <f t="shared" si="2"/>
        <v>3.8476610675543328</v>
      </c>
      <c r="H20" s="128">
        <f t="shared" si="8"/>
        <v>1.7000000000000004</v>
      </c>
      <c r="I20" s="5">
        <f>((1-$N20)*(I19/$L19)+$N20*(H20/$K20))*'global path'!$C15</f>
        <v>2.8276366157008708</v>
      </c>
      <c r="J20" s="4">
        <f t="shared" si="3"/>
        <v>1.6633156562946294</v>
      </c>
      <c r="K20" s="129">
        <f t="shared" si="9"/>
        <v>6.9</v>
      </c>
      <c r="L20" s="19">
        <f t="shared" si="10"/>
        <v>30.80424840186744</v>
      </c>
      <c r="M20" s="4">
        <f t="shared" si="4"/>
        <v>4.4643838263575999</v>
      </c>
      <c r="N20" s="119">
        <f t="shared" si="0"/>
        <v>5.8501102578901121E-2</v>
      </c>
      <c r="AB20" s="431">
        <f t="shared" si="11"/>
        <v>0.79999999999999993</v>
      </c>
      <c r="AC20" s="436">
        <f t="shared" si="12"/>
        <v>0.44932896411722162</v>
      </c>
    </row>
    <row r="21" spans="1:29" x14ac:dyDescent="0.2">
      <c r="A21" s="49">
        <f t="shared" si="5"/>
        <v>2029</v>
      </c>
      <c r="B21" s="128">
        <f t="shared" si="6"/>
        <v>1.2</v>
      </c>
      <c r="C21" s="5">
        <f>((1-$N21)*(C20/$L20)+$N21*(B21/$K21))*'global path'!$C16</f>
        <v>11.505290139849127</v>
      </c>
      <c r="D21" s="4">
        <f t="shared" si="1"/>
        <v>9.5877417832076066</v>
      </c>
      <c r="E21" s="128">
        <f t="shared" si="7"/>
        <v>4</v>
      </c>
      <c r="F21" s="5">
        <f>((1-$N21)*(F20/$L20)+$N21*(E21/$K21))*'global path'!$C16</f>
        <v>14.784412263351626</v>
      </c>
      <c r="G21" s="4">
        <f t="shared" si="2"/>
        <v>3.6961030658379066</v>
      </c>
      <c r="H21" s="128">
        <f t="shared" si="8"/>
        <v>1.7000000000000004</v>
      </c>
      <c r="I21" s="5">
        <f>((1-$N21)*(I20/$L20)+$N21*(H21/$K21))*'global path'!$C16</f>
        <v>2.9888254881878518</v>
      </c>
      <c r="J21" s="4">
        <f t="shared" si="3"/>
        <v>1.7581326401105006</v>
      </c>
      <c r="K21" s="129">
        <f t="shared" si="9"/>
        <v>6.9</v>
      </c>
      <c r="L21" s="19">
        <f t="shared" si="10"/>
        <v>29.278527891388606</v>
      </c>
      <c r="M21" s="4">
        <f t="shared" si="4"/>
        <v>4.2432649117954497</v>
      </c>
      <c r="N21" s="119">
        <f t="shared" si="0"/>
        <v>6.6558273663278794E-2</v>
      </c>
      <c r="AB21" s="431">
        <f t="shared" si="11"/>
        <v>0.89999999999999991</v>
      </c>
      <c r="AC21" s="436">
        <f t="shared" si="12"/>
        <v>0.40656965974059917</v>
      </c>
    </row>
    <row r="22" spans="1:29" x14ac:dyDescent="0.2">
      <c r="A22" s="49">
        <f t="shared" si="5"/>
        <v>2030</v>
      </c>
      <c r="B22" s="128">
        <f t="shared" si="6"/>
        <v>1.2</v>
      </c>
      <c r="C22" s="5">
        <f>((1-$N22)*(C21/$L21)+$N22*(B22/$K22))*'global path'!$C17</f>
        <v>10.437682944829644</v>
      </c>
      <c r="D22" s="4">
        <f t="shared" si="1"/>
        <v>8.6980691206913701</v>
      </c>
      <c r="E22" s="128">
        <f t="shared" si="7"/>
        <v>4</v>
      </c>
      <c r="F22" s="5">
        <f>((1-$N22)*(F21/$L21)+$N22*(E22/$K22))*'global path'!$C17</f>
        <v>14.16062146013731</v>
      </c>
      <c r="G22" s="4">
        <f t="shared" si="2"/>
        <v>3.5401553650343276</v>
      </c>
      <c r="H22" s="128">
        <f t="shared" si="8"/>
        <v>1.7000000000000004</v>
      </c>
      <c r="I22" s="5">
        <f>((1-$N22)*(I21/$L21)+$N22*(H22/$K22))*'global path'!$C17</f>
        <v>3.1340065898549909</v>
      </c>
      <c r="J22" s="4">
        <f t="shared" si="3"/>
        <v>1.8435332881499942</v>
      </c>
      <c r="K22" s="129">
        <f t="shared" si="9"/>
        <v>6.9</v>
      </c>
      <c r="L22" s="19">
        <f t="shared" si="10"/>
        <v>27.732310994821944</v>
      </c>
      <c r="M22" s="4">
        <f t="shared" si="4"/>
        <v>4.0191755064959338</v>
      </c>
      <c r="N22" s="119">
        <f t="shared" si="0"/>
        <v>7.5725133335070319E-2</v>
      </c>
      <c r="AB22" s="431">
        <f t="shared" si="11"/>
        <v>0.99999999999999989</v>
      </c>
      <c r="AC22" s="436">
        <f t="shared" si="12"/>
        <v>0.36787944117144239</v>
      </c>
    </row>
    <row r="23" spans="1:29" x14ac:dyDescent="0.2">
      <c r="A23" s="49">
        <f t="shared" si="5"/>
        <v>2031</v>
      </c>
      <c r="B23" s="128">
        <f t="shared" si="6"/>
        <v>1.2</v>
      </c>
      <c r="C23" s="5">
        <f>((1-$N23)*(C22/$L22)+$N23*(B23/$K23))*'global path'!$C18</f>
        <v>9.3956196892131878</v>
      </c>
      <c r="D23" s="4">
        <f t="shared" si="1"/>
        <v>7.8296830743443238</v>
      </c>
      <c r="E23" s="128">
        <f t="shared" si="7"/>
        <v>4</v>
      </c>
      <c r="F23" s="5">
        <f>((1-$N23)*(F22/$L22)+$N23*(E23/$K23))*'global path'!$C18</f>
        <v>13.522147987711611</v>
      </c>
      <c r="G23" s="4">
        <f t="shared" si="2"/>
        <v>3.3805369969279027</v>
      </c>
      <c r="H23" s="128">
        <f t="shared" si="8"/>
        <v>1.7000000000000004</v>
      </c>
      <c r="I23" s="5">
        <f>((1-$N23)*(I22/$L22)+$N23*(H23/$K23))*'global path'!$C18</f>
        <v>3.2589916756772945</v>
      </c>
      <c r="J23" s="4">
        <f t="shared" si="3"/>
        <v>1.9170539268689963</v>
      </c>
      <c r="K23" s="129">
        <f t="shared" si="9"/>
        <v>6.9</v>
      </c>
      <c r="L23" s="19">
        <f t="shared" si="10"/>
        <v>26.176759352602094</v>
      </c>
      <c r="M23" s="4">
        <f t="shared" si="4"/>
        <v>3.7937332395075498</v>
      </c>
      <c r="N23" s="119">
        <f t="shared" si="0"/>
        <v>8.6154515479536453E-2</v>
      </c>
      <c r="AB23" s="431">
        <f t="shared" si="11"/>
        <v>1.0999999999999999</v>
      </c>
      <c r="AC23" s="436">
        <f t="shared" si="12"/>
        <v>0.33287108369807961</v>
      </c>
    </row>
    <row r="24" spans="1:29" x14ac:dyDescent="0.2">
      <c r="A24" s="49">
        <f t="shared" si="5"/>
        <v>2032</v>
      </c>
      <c r="B24" s="128">
        <f t="shared" si="6"/>
        <v>1.2</v>
      </c>
      <c r="C24" s="5">
        <f>((1-$N24)*(C23/$L23)+$N24*(B24/$K24))*'global path'!$C19</f>
        <v>8.3912358363691766</v>
      </c>
      <c r="D24" s="4">
        <f t="shared" si="1"/>
        <v>6.9926965303076472</v>
      </c>
      <c r="E24" s="128">
        <f t="shared" si="7"/>
        <v>4</v>
      </c>
      <c r="F24" s="5">
        <f>((1-$N24)*(F23/$L23)+$N24*(E24/$K24))*'global path'!$C19</f>
        <v>12.871688847638213</v>
      </c>
      <c r="G24" s="4">
        <f t="shared" si="2"/>
        <v>3.2179222119095532</v>
      </c>
      <c r="H24" s="128">
        <f t="shared" si="8"/>
        <v>1.7000000000000004</v>
      </c>
      <c r="I24" s="5">
        <f>((1-$N24)*(I23/$L23)+$N24*(H24/$K24))*'global path'!$C19</f>
        <v>3.3596489737544384</v>
      </c>
      <c r="J24" s="4">
        <f t="shared" si="3"/>
        <v>1.9762641022084928</v>
      </c>
      <c r="K24" s="129">
        <f t="shared" si="9"/>
        <v>6.9</v>
      </c>
      <c r="L24" s="19">
        <f t="shared" si="10"/>
        <v>24.622573657761826</v>
      </c>
      <c r="M24" s="4">
        <f t="shared" si="4"/>
        <v>3.5684889359075109</v>
      </c>
      <c r="N24" s="119">
        <f t="shared" si="0"/>
        <v>9.8020303307621723E-2</v>
      </c>
      <c r="AB24" s="431">
        <f t="shared" si="11"/>
        <v>1.2</v>
      </c>
      <c r="AC24" s="436">
        <f t="shared" si="12"/>
        <v>0.30119421191220214</v>
      </c>
    </row>
    <row r="25" spans="1:29" x14ac:dyDescent="0.2">
      <c r="A25" s="49">
        <f t="shared" si="5"/>
        <v>2033</v>
      </c>
      <c r="B25" s="128">
        <f t="shared" si="6"/>
        <v>1.2</v>
      </c>
      <c r="C25" s="5">
        <f>((1-$N25)*(C24/$L24)+$N25*(B25/$K25))*'global path'!$C20</f>
        <v>7.4359612153323225</v>
      </c>
      <c r="D25" s="4">
        <f t="shared" si="1"/>
        <v>6.1966343461102689</v>
      </c>
      <c r="E25" s="128">
        <f t="shared" si="7"/>
        <v>4</v>
      </c>
      <c r="F25" s="5">
        <f>((1-$N25)*(F24/$L24)+$N25*(E25/$K25))*'global path'!$C20</f>
        <v>12.211812116699054</v>
      </c>
      <c r="G25" s="4">
        <f t="shared" si="2"/>
        <v>3.0529530291747635</v>
      </c>
      <c r="H25" s="128">
        <f t="shared" si="8"/>
        <v>1.7000000000000004</v>
      </c>
      <c r="I25" s="5">
        <f>((1-$N25)*(I24/$L24)+$N25*(H25/$K25))*'global path'!$C20</f>
        <v>3.4321027159141289</v>
      </c>
      <c r="J25" s="4">
        <f t="shared" si="3"/>
        <v>2.0188839505377225</v>
      </c>
      <c r="K25" s="129">
        <f t="shared" si="9"/>
        <v>6.9</v>
      </c>
      <c r="L25" s="19">
        <f t="shared" si="10"/>
        <v>23.079876047945504</v>
      </c>
      <c r="M25" s="4">
        <f t="shared" si="4"/>
        <v>3.3449095721660149</v>
      </c>
      <c r="N25" s="119">
        <f t="shared" si="0"/>
        <v>0.11152032841273718</v>
      </c>
      <c r="AB25" s="431">
        <f t="shared" si="11"/>
        <v>1.3</v>
      </c>
      <c r="AC25" s="436">
        <f t="shared" si="12"/>
        <v>0.27253179303401259</v>
      </c>
    </row>
    <row r="26" spans="1:29" x14ac:dyDescent="0.2">
      <c r="A26" s="49">
        <f t="shared" si="5"/>
        <v>2034</v>
      </c>
      <c r="B26" s="128">
        <f t="shared" si="6"/>
        <v>1.2</v>
      </c>
      <c r="C26" s="5">
        <f>((1-$N26)*(C25/$L25)+$N26*(B26/$K26))*'global path'!$C21</f>
        <v>6.5401094556642958</v>
      </c>
      <c r="D26" s="4">
        <f t="shared" si="1"/>
        <v>5.4500912130535797</v>
      </c>
      <c r="E26" s="128">
        <f t="shared" si="7"/>
        <v>4</v>
      </c>
      <c r="F26" s="5">
        <f>((1-$N26)*(F25/$L25)+$N26*(E26/$K26))*'global path'!$C21</f>
        <v>11.545031687175435</v>
      </c>
      <c r="G26" s="4">
        <f t="shared" si="2"/>
        <v>2.8862579217938586</v>
      </c>
      <c r="H26" s="128">
        <f t="shared" si="8"/>
        <v>1.7000000000000004</v>
      </c>
      <c r="I26" s="5">
        <f>((1-$N26)*(I25/$L25)+$N26*(H26/$K26))*'global path'!$C21</f>
        <v>3.4729666710305764</v>
      </c>
      <c r="J26" s="4">
        <f t="shared" si="3"/>
        <v>2.0429215711944564</v>
      </c>
      <c r="K26" s="129">
        <f t="shared" si="9"/>
        <v>6.9</v>
      </c>
      <c r="L26" s="19">
        <f t="shared" si="10"/>
        <v>21.558107813870308</v>
      </c>
      <c r="M26" s="4">
        <f t="shared" si="4"/>
        <v>3.1243634512855518</v>
      </c>
      <c r="N26" s="119">
        <f t="shared" si="0"/>
        <v>0.12687966910542819</v>
      </c>
      <c r="AB26" s="431">
        <f t="shared" si="11"/>
        <v>1.4000000000000001</v>
      </c>
      <c r="AC26" s="436">
        <f t="shared" si="12"/>
        <v>0.24659696394160643</v>
      </c>
    </row>
    <row r="27" spans="1:29" x14ac:dyDescent="0.2">
      <c r="A27" s="49">
        <f t="shared" si="5"/>
        <v>2035</v>
      </c>
      <c r="B27" s="128">
        <f t="shared" si="6"/>
        <v>1.2</v>
      </c>
      <c r="C27" s="5">
        <f>((1-$N27)*(C26/$L26)+$N27*(B27/$K27))*'global path'!$C22</f>
        <v>5.7124403024777672</v>
      </c>
      <c r="D27" s="4">
        <f t="shared" si="1"/>
        <v>4.7603669187314726</v>
      </c>
      <c r="E27" s="128">
        <f t="shared" si="7"/>
        <v>4</v>
      </c>
      <c r="F27" s="5">
        <f>((1-$N27)*(F26/$L26)+$N27*(E27/$K27))*'global path'!$C22</f>
        <v>10.873901852367279</v>
      </c>
      <c r="G27" s="4">
        <f t="shared" si="2"/>
        <v>2.7184754630918198</v>
      </c>
      <c r="H27" s="128">
        <f t="shared" si="8"/>
        <v>1.7000000000000004</v>
      </c>
      <c r="I27" s="5">
        <f>((1-$N27)*(I26/$L26)+$N27*(H27/$K27))*'global path'!$C22</f>
        <v>3.4796015245221721</v>
      </c>
      <c r="J27" s="4">
        <f t="shared" si="3"/>
        <v>2.0468244261895125</v>
      </c>
      <c r="K27" s="129">
        <f t="shared" si="9"/>
        <v>6.9</v>
      </c>
      <c r="L27" s="19">
        <f t="shared" si="10"/>
        <v>20.065943679367219</v>
      </c>
      <c r="M27" s="4">
        <f t="shared" si="4"/>
        <v>2.9081077796184376</v>
      </c>
      <c r="N27" s="119">
        <f t="shared" si="0"/>
        <v>0.1443544030172017</v>
      </c>
      <c r="AB27" s="431">
        <f t="shared" si="11"/>
        <v>1.5000000000000002</v>
      </c>
      <c r="AC27" s="436">
        <f t="shared" si="12"/>
        <v>0.22313016014842979</v>
      </c>
    </row>
    <row r="28" spans="1:29" x14ac:dyDescent="0.2">
      <c r="A28" s="49">
        <f t="shared" si="5"/>
        <v>2036</v>
      </c>
      <c r="B28" s="128">
        <f t="shared" si="6"/>
        <v>1.2</v>
      </c>
      <c r="C28" s="5">
        <f>((1-$N28)*(C27/$L27)+$N28*(B28/$K28))*'global path'!$C23</f>
        <v>4.9597217174177146</v>
      </c>
      <c r="D28" s="4">
        <f t="shared" si="1"/>
        <v>4.1331014311814291</v>
      </c>
      <c r="E28" s="128">
        <f t="shared" si="7"/>
        <v>4</v>
      </c>
      <c r="F28" s="5">
        <f>((1-$N28)*(F27/$L27)+$N28*(E28/$K28))*'global path'!$C23</f>
        <v>10.201123074541719</v>
      </c>
      <c r="G28" s="4">
        <f t="shared" si="2"/>
        <v>2.5502807686354299</v>
      </c>
      <c r="H28" s="128">
        <f t="shared" si="8"/>
        <v>1.7000000000000004</v>
      </c>
      <c r="I28" s="5">
        <f>((1-$N28)*(I27/$L27)+$N28*(H28/$K28))*'global path'!$C23</f>
        <v>3.4503786734015809</v>
      </c>
      <c r="J28" s="4">
        <f t="shared" si="3"/>
        <v>2.0296345137656355</v>
      </c>
      <c r="K28" s="129">
        <f t="shared" si="9"/>
        <v>6.9</v>
      </c>
      <c r="L28" s="19">
        <f t="shared" si="10"/>
        <v>18.611223465361014</v>
      </c>
      <c r="M28" s="4">
        <f t="shared" si="4"/>
        <v>2.6972787630957988</v>
      </c>
      <c r="N28" s="119">
        <f t="shared" si="0"/>
        <v>0.16423587653856192</v>
      </c>
      <c r="AB28" s="431">
        <f t="shared" si="11"/>
        <v>1.6000000000000003</v>
      </c>
      <c r="AC28" s="436">
        <f t="shared" si="12"/>
        <v>0.20189651799465536</v>
      </c>
    </row>
    <row r="29" spans="1:29" x14ac:dyDescent="0.2">
      <c r="A29" s="49">
        <f t="shared" si="5"/>
        <v>2037</v>
      </c>
      <c r="B29" s="128">
        <f t="shared" si="6"/>
        <v>1.2</v>
      </c>
      <c r="C29" s="5">
        <f>((1-$N29)*(C28/$L28)+$N29*(B29/$K29))*'global path'!$C24</f>
        <v>4.2863307244610631</v>
      </c>
      <c r="D29" s="4">
        <f t="shared" si="1"/>
        <v>3.5719422703842194</v>
      </c>
      <c r="E29" s="128">
        <f t="shared" si="7"/>
        <v>4</v>
      </c>
      <c r="F29" s="5">
        <f>((1-$N29)*(F28/$L28)+$N29*(E29/$K29))*'global path'!$C24</f>
        <v>9.5296458766647785</v>
      </c>
      <c r="G29" s="4">
        <f t="shared" si="2"/>
        <v>2.3824114691661946</v>
      </c>
      <c r="H29" s="128">
        <f t="shared" si="8"/>
        <v>1.7000000000000004</v>
      </c>
      <c r="I29" s="5">
        <f>((1-$N29)*(I28/$L28)+$N29*(H29/$K29))*'global path'!$C24</f>
        <v>3.3849249068570115</v>
      </c>
      <c r="J29" s="4">
        <f t="shared" si="3"/>
        <v>1.9911322981511828</v>
      </c>
      <c r="K29" s="129">
        <f t="shared" si="9"/>
        <v>6.9</v>
      </c>
      <c r="L29" s="19">
        <f t="shared" si="10"/>
        <v>17.200901507982852</v>
      </c>
      <c r="M29" s="4">
        <f t="shared" si="4"/>
        <v>2.4928842765192538</v>
      </c>
      <c r="N29" s="119">
        <f t="shared" si="0"/>
        <v>0.18685556227318903</v>
      </c>
      <c r="AB29" s="431">
        <f t="shared" si="11"/>
        <v>1.7000000000000004</v>
      </c>
      <c r="AC29" s="436">
        <f t="shared" si="12"/>
        <v>0.18268352405273458</v>
      </c>
    </row>
    <row r="30" spans="1:29" x14ac:dyDescent="0.2">
      <c r="A30" s="49">
        <f t="shared" si="5"/>
        <v>2038</v>
      </c>
      <c r="B30" s="128">
        <f t="shared" si="6"/>
        <v>1.2</v>
      </c>
      <c r="C30" s="5">
        <f>((1-$N30)*(C29/$L29)+$N30*(B30/$K30))*'global path'!$C25</f>
        <v>3.6939433620930893</v>
      </c>
      <c r="D30" s="4">
        <f t="shared" si="1"/>
        <v>3.0782861350775743</v>
      </c>
      <c r="E30" s="128">
        <f t="shared" si="7"/>
        <v>4</v>
      </c>
      <c r="F30" s="5">
        <f>((1-$N30)*(F29/$L29)+$N30*(E30/$K30))*'global path'!$C25</f>
        <v>8.8627556340925775</v>
      </c>
      <c r="G30" s="4">
        <f t="shared" si="2"/>
        <v>2.2156889085231444</v>
      </c>
      <c r="H30" s="128">
        <f t="shared" si="8"/>
        <v>1.7000000000000004</v>
      </c>
      <c r="I30" s="5">
        <f>((1-$N30)*(I29/$L29)+$N30*(H30/$K30))*'global path'!$C25</f>
        <v>3.2843147762920792</v>
      </c>
      <c r="J30" s="4">
        <f t="shared" si="3"/>
        <v>1.931949868407105</v>
      </c>
      <c r="K30" s="129">
        <f t="shared" si="9"/>
        <v>6.9</v>
      </c>
      <c r="L30" s="19">
        <f t="shared" si="10"/>
        <v>15.841013772477746</v>
      </c>
      <c r="M30" s="4">
        <f t="shared" si="4"/>
        <v>2.2957990974605429</v>
      </c>
      <c r="N30" s="119">
        <f t="shared" si="0"/>
        <v>0.21259058549385654</v>
      </c>
      <c r="AB30" s="431">
        <f t="shared" si="11"/>
        <v>1.8000000000000005</v>
      </c>
      <c r="AC30" s="436">
        <f t="shared" si="12"/>
        <v>0.16529888822158645</v>
      </c>
    </row>
    <row r="31" spans="1:29" x14ac:dyDescent="0.2">
      <c r="A31" s="49">
        <f t="shared" si="5"/>
        <v>2039</v>
      </c>
      <c r="B31" s="128">
        <f t="shared" si="6"/>
        <v>1.2</v>
      </c>
      <c r="C31" s="5">
        <f>((1-$N31)*(C30/$L30)+$N31*(B31/$K31))*'global path'!$C26</f>
        <v>3.1813717572500702</v>
      </c>
      <c r="D31" s="4">
        <f t="shared" si="1"/>
        <v>2.6511431310417253</v>
      </c>
      <c r="E31" s="128">
        <f t="shared" si="7"/>
        <v>4</v>
      </c>
      <c r="F31" s="5">
        <f>((1-$N31)*(F30/$L30)+$N31*(E31/$K31))*'global path'!$C26</f>
        <v>8.2041181729104125</v>
      </c>
      <c r="G31" s="4">
        <f t="shared" si="2"/>
        <v>2.0510295432276031</v>
      </c>
      <c r="H31" s="128">
        <f t="shared" si="8"/>
        <v>1.7000000000000004</v>
      </c>
      <c r="I31" s="5">
        <f>((1-$N31)*(I30/$L30)+$N31*(H31/$K31))*'global path'!$C26</f>
        <v>3.1511722714453811</v>
      </c>
      <c r="J31" s="4">
        <f t="shared" si="3"/>
        <v>1.8536307479090472</v>
      </c>
      <c r="K31" s="129">
        <f t="shared" si="9"/>
        <v>6.9</v>
      </c>
      <c r="L31" s="19">
        <f t="shared" si="10"/>
        <v>14.536662201605864</v>
      </c>
      <c r="M31" s="4">
        <f t="shared" si="4"/>
        <v>2.1067626379138931</v>
      </c>
      <c r="N31" s="119">
        <f t="shared" si="0"/>
        <v>0.24187001173957287</v>
      </c>
      <c r="AB31" s="431">
        <f t="shared" si="11"/>
        <v>1.9000000000000006</v>
      </c>
      <c r="AC31" s="436">
        <f t="shared" si="12"/>
        <v>0.14956861922263498</v>
      </c>
    </row>
    <row r="32" spans="1:29" x14ac:dyDescent="0.2">
      <c r="A32" s="49">
        <f t="shared" si="5"/>
        <v>2040</v>
      </c>
      <c r="B32" s="128">
        <f t="shared" si="6"/>
        <v>1.2</v>
      </c>
      <c r="C32" s="5">
        <f>((1-$N32)*(C31/$L31)+$N32*(B32/$K32))*'global path'!$C27</f>
        <v>2.744606026809651</v>
      </c>
      <c r="D32" s="4">
        <f t="shared" si="1"/>
        <v>2.2871716890080425</v>
      </c>
      <c r="E32" s="128">
        <f t="shared" si="7"/>
        <v>4</v>
      </c>
      <c r="F32" s="5">
        <f>((1-$N32)*(F31/$L31)+$N32*(E32/$K32))*'global path'!$C27</f>
        <v>7.5577659527756857</v>
      </c>
      <c r="G32" s="4">
        <f t="shared" si="2"/>
        <v>1.8894414881939214</v>
      </c>
      <c r="H32" s="128">
        <f t="shared" si="8"/>
        <v>1.7000000000000004</v>
      </c>
      <c r="I32" s="5">
        <f>((1-$N32)*(I31/$L31)+$N32*(H32/$K32))*'global path'!$C27</f>
        <v>2.9896434907215901</v>
      </c>
      <c r="J32" s="4">
        <f t="shared" si="3"/>
        <v>1.7586138180715232</v>
      </c>
      <c r="K32" s="129">
        <f t="shared" si="9"/>
        <v>6.9</v>
      </c>
      <c r="L32" s="19">
        <f t="shared" si="10"/>
        <v>13.292015470306927</v>
      </c>
      <c r="M32" s="4">
        <f t="shared" si="4"/>
        <v>1.9263790536676704</v>
      </c>
      <c r="N32" s="119">
        <f t="shared" si="0"/>
        <v>0.27518200038351037</v>
      </c>
      <c r="AB32" s="431">
        <f t="shared" si="11"/>
        <v>2.0000000000000004</v>
      </c>
      <c r="AC32" s="436">
        <f t="shared" si="12"/>
        <v>0.13533528323661262</v>
      </c>
    </row>
    <row r="33" spans="1:29" x14ac:dyDescent="0.2">
      <c r="A33" s="49">
        <f t="shared" si="5"/>
        <v>2041</v>
      </c>
      <c r="B33" s="128">
        <f t="shared" si="6"/>
        <v>1.2</v>
      </c>
      <c r="C33" s="5">
        <f>((1-$N33)*(C32/$L32)+$N33*(B33/$K33))*'global path'!$C28</f>
        <v>2.3771057355189282</v>
      </c>
      <c r="D33" s="4">
        <f t="shared" si="1"/>
        <v>1.9809214462657736</v>
      </c>
      <c r="E33" s="128">
        <f t="shared" si="7"/>
        <v>4</v>
      </c>
      <c r="F33" s="5">
        <f>((1-$N33)*(F32/$L32)+$N33*(E33/$K33))*'global path'!$C28</f>
        <v>6.9280088347496562</v>
      </c>
      <c r="G33" s="4">
        <f t="shared" si="2"/>
        <v>1.7320022086874141</v>
      </c>
      <c r="H33" s="128">
        <f t="shared" si="8"/>
        <v>1.7000000000000004</v>
      </c>
      <c r="I33" s="5">
        <f>((1-$N33)*(I32/$L32)+$N33*(H33/$K33))*'global path'!$C28</f>
        <v>2.8052104259280619</v>
      </c>
      <c r="J33" s="4">
        <f t="shared" si="3"/>
        <v>1.6501237799576831</v>
      </c>
      <c r="K33" s="129">
        <f t="shared" si="9"/>
        <v>6.9</v>
      </c>
      <c r="L33" s="19">
        <f t="shared" si="10"/>
        <v>12.110324996196645</v>
      </c>
      <c r="M33" s="4">
        <f t="shared" si="4"/>
        <v>1.7551195646661804</v>
      </c>
      <c r="N33" s="119">
        <f t="shared" si="0"/>
        <v>0.3130819434391286</v>
      </c>
      <c r="AB33" s="431">
        <f t="shared" si="11"/>
        <v>2.1000000000000005</v>
      </c>
      <c r="AC33" s="436">
        <f t="shared" si="12"/>
        <v>0.12245642825298185</v>
      </c>
    </row>
    <row r="34" spans="1:29" x14ac:dyDescent="0.2">
      <c r="A34" s="49">
        <f t="shared" si="5"/>
        <v>2042</v>
      </c>
      <c r="B34" s="128">
        <f t="shared" si="6"/>
        <v>1.2</v>
      </c>
      <c r="C34" s="5">
        <f>((1-$N34)*(C33/$L33)+$N34*(B34/$K34))*'global path'!$C29</f>
        <v>2.0703562446632646</v>
      </c>
      <c r="D34" s="4">
        <f t="shared" si="1"/>
        <v>1.7252968705527205</v>
      </c>
      <c r="E34" s="128">
        <f t="shared" si="7"/>
        <v>4</v>
      </c>
      <c r="F34" s="5">
        <f>((1-$N34)*(F33/$L33)+$N34*(E34/$K34))*'global path'!$C29</f>
        <v>6.3192632928598123</v>
      </c>
      <c r="G34" s="4">
        <f t="shared" si="2"/>
        <v>1.5798158232149531</v>
      </c>
      <c r="H34" s="128">
        <f t="shared" si="8"/>
        <v>1.7000000000000004</v>
      </c>
      <c r="I34" s="5">
        <f>((1-$N34)*(I33/$L33)+$N34*(H34/$K34))*'global path'!$C29</f>
        <v>2.6043352471819059</v>
      </c>
      <c r="J34" s="4">
        <f t="shared" si="3"/>
        <v>1.531961910107003</v>
      </c>
      <c r="K34" s="129">
        <f t="shared" si="9"/>
        <v>6.9</v>
      </c>
      <c r="L34" s="19">
        <f t="shared" si="10"/>
        <v>10.993954784704982</v>
      </c>
      <c r="M34" s="4">
        <f t="shared" si="4"/>
        <v>1.5933267803920264</v>
      </c>
      <c r="N34" s="119">
        <f t="shared" si="0"/>
        <v>0.35620172529821947</v>
      </c>
      <c r="AB34" s="431">
        <f t="shared" si="11"/>
        <v>2.2000000000000006</v>
      </c>
      <c r="AC34" s="436">
        <f t="shared" si="12"/>
        <v>0.11080315836233381</v>
      </c>
    </row>
    <row r="35" spans="1:29" x14ac:dyDescent="0.2">
      <c r="A35" s="49">
        <f t="shared" si="5"/>
        <v>2043</v>
      </c>
      <c r="B35" s="128">
        <f t="shared" si="6"/>
        <v>1.2</v>
      </c>
      <c r="C35" s="5">
        <f>((1-$N35)*(C34/$L34)+$N35*(B35/$K35))*'global path'!$C30</f>
        <v>1.814659025118561</v>
      </c>
      <c r="D35" s="4">
        <f t="shared" si="1"/>
        <v>1.5122158542654676</v>
      </c>
      <c r="E35" s="128">
        <f t="shared" si="7"/>
        <v>4</v>
      </c>
      <c r="F35" s="5">
        <f>((1-$N35)*(F34/$L34)+$N35*(E35/$K35))*'global path'!$C30</f>
        <v>5.7358095779765197</v>
      </c>
      <c r="G35" s="4">
        <f t="shared" si="2"/>
        <v>1.4339523944941299</v>
      </c>
      <c r="H35" s="128">
        <f t="shared" si="8"/>
        <v>1.7000000000000004</v>
      </c>
      <c r="I35" s="5">
        <f>((1-$N35)*(I34/$L34)+$N35*(H35/$K35))*'global path'!$C30</f>
        <v>2.3939548698569415</v>
      </c>
      <c r="J35" s="4">
        <f t="shared" si="3"/>
        <v>1.4082087469746711</v>
      </c>
      <c r="K35" s="129">
        <f t="shared" si="9"/>
        <v>6.9</v>
      </c>
      <c r="L35" s="19">
        <f t="shared" si="10"/>
        <v>9.9444234729520211</v>
      </c>
      <c r="M35" s="4">
        <f t="shared" si="4"/>
        <v>1.4412207931814522</v>
      </c>
      <c r="N35" s="119">
        <f t="shared" si="0"/>
        <v>0.40526025778326935</v>
      </c>
      <c r="AB35" s="431">
        <f t="shared" si="11"/>
        <v>2.3000000000000007</v>
      </c>
      <c r="AC35" s="436">
        <f t="shared" si="12"/>
        <v>0.10025884372280366</v>
      </c>
    </row>
    <row r="36" spans="1:29" x14ac:dyDescent="0.2">
      <c r="A36" s="49">
        <f t="shared" si="5"/>
        <v>2044</v>
      </c>
      <c r="B36" s="128">
        <f t="shared" si="6"/>
        <v>1.2</v>
      </c>
      <c r="C36" s="5">
        <f>((1-$N36)*(C35/$L35)+$N36*(B36/$K36))*'global path'!$C31</f>
        <v>1.6000675941237334</v>
      </c>
      <c r="D36" s="4">
        <f t="shared" si="1"/>
        <v>1.333389661769778</v>
      </c>
      <c r="E36" s="128">
        <f t="shared" si="7"/>
        <v>4</v>
      </c>
      <c r="F36" s="5">
        <f>((1-$N36)*(F35/$L35)+$N36*(E36/$K36))*'global path'!$C31</f>
        <v>5.1815058361459823</v>
      </c>
      <c r="G36" s="4">
        <f t="shared" si="2"/>
        <v>1.2953764590364956</v>
      </c>
      <c r="H36" s="128">
        <f t="shared" si="8"/>
        <v>1.7000000000000004</v>
      </c>
      <c r="I36" s="5">
        <f>((1-$N36)*(I35/$L35)+$N36*(H36/$K36))*'global path'!$C31</f>
        <v>2.1808833499793852</v>
      </c>
      <c r="J36" s="4">
        <f t="shared" si="3"/>
        <v>1.2828725588114027</v>
      </c>
      <c r="K36" s="129">
        <f t="shared" si="9"/>
        <v>6.9</v>
      </c>
      <c r="L36" s="19">
        <f t="shared" si="10"/>
        <v>8.9624567802491022</v>
      </c>
      <c r="M36" s="4">
        <f t="shared" si="4"/>
        <v>1.2989067797462466</v>
      </c>
      <c r="N36" s="119">
        <f t="shared" si="0"/>
        <v>0.4610754661591272</v>
      </c>
      <c r="AB36" s="431">
        <f t="shared" si="11"/>
        <v>2.4000000000000008</v>
      </c>
      <c r="AC36" s="436">
        <f t="shared" si="12"/>
        <v>9.0717953289412429E-2</v>
      </c>
    </row>
    <row r="37" spans="1:29" x14ac:dyDescent="0.2">
      <c r="A37" s="49">
        <f t="shared" si="5"/>
        <v>2045</v>
      </c>
      <c r="B37" s="128">
        <f t="shared" si="6"/>
        <v>1.2</v>
      </c>
      <c r="C37" s="5">
        <f>((1-$N37)*(C36/$L36)+$N37*(B37/$K37))*'global path'!$C32</f>
        <v>1.4173261744396426</v>
      </c>
      <c r="D37" s="4">
        <f t="shared" si="1"/>
        <v>1.1811051453663688</v>
      </c>
      <c r="E37" s="128">
        <f t="shared" si="7"/>
        <v>4</v>
      </c>
      <c r="F37" s="5">
        <f>((1-$N37)*(F36/$L36)+$N37*(E37/$K37))*'global path'!$C32</f>
        <v>4.6595067408658686</v>
      </c>
      <c r="G37" s="4">
        <f t="shared" si="2"/>
        <v>1.1648766852164671</v>
      </c>
      <c r="H37" s="128">
        <f t="shared" si="8"/>
        <v>1.7000000000000004</v>
      </c>
      <c r="I37" s="5">
        <f>((1-$N37)*(I36/$L36)+$N37*(H37/$K37))*'global path'!$C32</f>
        <v>1.9712155604768318</v>
      </c>
      <c r="J37" s="4">
        <f t="shared" si="3"/>
        <v>1.1595385649863714</v>
      </c>
      <c r="K37" s="129">
        <f t="shared" si="9"/>
        <v>6.9</v>
      </c>
      <c r="L37" s="19">
        <f t="shared" si="10"/>
        <v>8.0480484757823429</v>
      </c>
      <c r="M37" s="4">
        <f t="shared" si="4"/>
        <v>1.1663838370699047</v>
      </c>
      <c r="N37" s="119">
        <f t="shared" si="0"/>
        <v>0.52457792593999841</v>
      </c>
      <c r="AB37" s="431">
        <f t="shared" ref="AB37:AB60" si="13">AB36+0.1</f>
        <v>2.5000000000000009</v>
      </c>
      <c r="AC37" s="436">
        <f t="shared" si="12"/>
        <v>8.2084998623898717E-2</v>
      </c>
    </row>
    <row r="38" spans="1:29" x14ac:dyDescent="0.2">
      <c r="A38" s="49">
        <f t="shared" si="5"/>
        <v>2046</v>
      </c>
      <c r="B38" s="128">
        <f t="shared" si="6"/>
        <v>1.2</v>
      </c>
      <c r="C38" s="5">
        <f>((1-$N38)*(C37/$L37)+$N38*(B38/$K38))*'global path'!$C33</f>
        <v>1.2586379881321219</v>
      </c>
      <c r="D38" s="4">
        <f t="shared" si="1"/>
        <v>1.0488649901101017</v>
      </c>
      <c r="E38" s="128">
        <f t="shared" si="7"/>
        <v>4</v>
      </c>
      <c r="F38" s="5">
        <f>((1-$N38)*(F37/$L37)+$N38*(E38/$K38))*'global path'!$C33</f>
        <v>4.1720444747160421</v>
      </c>
      <c r="G38" s="4">
        <f t="shared" si="2"/>
        <v>1.0430111186790105</v>
      </c>
      <c r="H38" s="128">
        <f t="shared" si="8"/>
        <v>1.7000000000000004</v>
      </c>
      <c r="I38" s="5">
        <f>((1-$N38)*(I37/$L37)+$N38*(H38/$K38))*'global path'!$C33</f>
        <v>1.7698454711467635</v>
      </c>
      <c r="J38" s="4">
        <f t="shared" si="3"/>
        <v>1.0410855712628018</v>
      </c>
      <c r="K38" s="129">
        <f t="shared" si="9"/>
        <v>6.9</v>
      </c>
      <c r="L38" s="19">
        <f t="shared" si="10"/>
        <v>7.2005279339949277</v>
      </c>
      <c r="M38" s="4">
        <f t="shared" si="4"/>
        <v>1.043554773042743</v>
      </c>
      <c r="N38" s="119">
        <f t="shared" si="0"/>
        <v>0.59682637785056003</v>
      </c>
      <c r="AB38" s="431">
        <f t="shared" si="13"/>
        <v>2.600000000000001</v>
      </c>
      <c r="AC38" s="436">
        <f t="shared" si="12"/>
        <v>7.4273578214333807E-2</v>
      </c>
    </row>
    <row r="39" spans="1:29" x14ac:dyDescent="0.2">
      <c r="A39" s="49">
        <f t="shared" si="5"/>
        <v>2047</v>
      </c>
      <c r="B39" s="128">
        <f t="shared" si="6"/>
        <v>1.2</v>
      </c>
      <c r="C39" s="5">
        <f>((1-$N39)*(C38/$L38)+$N39*(B39/$K39))*'global path'!$C34</f>
        <v>1.1181071229117585</v>
      </c>
      <c r="D39" s="4">
        <f t="shared" si="1"/>
        <v>0.93175593575979876</v>
      </c>
      <c r="E39" s="128">
        <f t="shared" si="7"/>
        <v>4</v>
      </c>
      <c r="F39" s="5">
        <f>((1-$N39)*(F38/$L38)+$N39*(E39/$K39))*'global path'!$C34</f>
        <v>3.7203240943995604</v>
      </c>
      <c r="G39" s="4">
        <f t="shared" si="2"/>
        <v>0.93008102359989009</v>
      </c>
      <c r="H39" s="128">
        <f t="shared" si="8"/>
        <v>1.7000000000000004</v>
      </c>
      <c r="I39" s="5">
        <f>((1-$N39)*(I38/$L38)+$N39*(H39/$K39))*'global path'!$C34</f>
        <v>1.5802011447753903</v>
      </c>
      <c r="J39" s="4">
        <f t="shared" si="3"/>
        <v>0.92953008516199409</v>
      </c>
      <c r="K39" s="129">
        <f t="shared" si="9"/>
        <v>6.9</v>
      </c>
      <c r="L39" s="19">
        <f t="shared" si="10"/>
        <v>6.4186323620867087</v>
      </c>
      <c r="M39" s="4">
        <f t="shared" si="4"/>
        <v>0.93023657421546502</v>
      </c>
      <c r="N39" s="119">
        <f t="shared" si="0"/>
        <v>0.67902537961340381</v>
      </c>
      <c r="AB39" s="431">
        <f t="shared" si="13"/>
        <v>2.7000000000000011</v>
      </c>
      <c r="AC39" s="436">
        <f t="shared" si="12"/>
        <v>6.7205512739749687E-2</v>
      </c>
    </row>
    <row r="40" spans="1:29" x14ac:dyDescent="0.2">
      <c r="A40" s="49">
        <f t="shared" si="5"/>
        <v>2048</v>
      </c>
      <c r="B40" s="128">
        <f t="shared" si="6"/>
        <v>1.2</v>
      </c>
      <c r="C40" s="5">
        <f>((1-$N40)*(C39/$L39)+$N40*(B40/$K40))*'global path'!$C35</f>
        <v>0.99177384886649067</v>
      </c>
      <c r="D40" s="4">
        <f t="shared" si="1"/>
        <v>0.82647820738874223</v>
      </c>
      <c r="E40" s="128">
        <f t="shared" si="7"/>
        <v>4</v>
      </c>
      <c r="F40" s="5">
        <f>((1-$N40)*(F39/$L39)+$N40*(E40/$K40))*'global path'!$C35</f>
        <v>3.3045594380175491</v>
      </c>
      <c r="G40" s="4">
        <f t="shared" si="2"/>
        <v>0.82613985950438729</v>
      </c>
      <c r="H40" s="128">
        <f t="shared" si="8"/>
        <v>1.7000000000000004</v>
      </c>
      <c r="I40" s="5">
        <f>((1-$N40)*(I39/$L39)+$N40*(H40/$K40))*'global path'!$C35</f>
        <v>1.4042485601588228</v>
      </c>
      <c r="J40" s="4">
        <f t="shared" si="3"/>
        <v>0.82602856479930731</v>
      </c>
      <c r="K40" s="129">
        <f t="shared" si="9"/>
        <v>6.9</v>
      </c>
      <c r="L40" s="19">
        <f t="shared" si="10"/>
        <v>5.7005818470428622</v>
      </c>
      <c r="M40" s="4">
        <f t="shared" si="4"/>
        <v>0.82617128218012492</v>
      </c>
      <c r="N40" s="119">
        <f t="shared" si="0"/>
        <v>0.77254538886110746</v>
      </c>
      <c r="AB40" s="431">
        <f t="shared" si="13"/>
        <v>2.8000000000000012</v>
      </c>
      <c r="AC40" s="436">
        <f t="shared" si="12"/>
        <v>6.0810062625217896E-2</v>
      </c>
    </row>
    <row r="41" spans="1:29" x14ac:dyDescent="0.2">
      <c r="A41" s="49">
        <f t="shared" si="5"/>
        <v>2049</v>
      </c>
      <c r="B41" s="128">
        <f t="shared" si="6"/>
        <v>1.2</v>
      </c>
      <c r="C41" s="5">
        <f>((1-$N41)*(C40/$L40)+$N41*(B41/$K41))*'global path'!$C36</f>
        <v>0.87728388205238705</v>
      </c>
      <c r="D41" s="4">
        <f t="shared" si="1"/>
        <v>0.7310699017103226</v>
      </c>
      <c r="E41" s="128">
        <f t="shared" si="7"/>
        <v>4</v>
      </c>
      <c r="F41" s="5">
        <f>((1-$N41)*(F40/$L40)+$N41*(E41/$K41))*'global path'!$C36</f>
        <v>2.9241346384659423</v>
      </c>
      <c r="G41" s="4">
        <f t="shared" si="2"/>
        <v>0.73103365961648559</v>
      </c>
      <c r="H41" s="128">
        <f t="shared" si="8"/>
        <v>1.7000000000000004</v>
      </c>
      <c r="I41" s="5">
        <f>((1-$N41)*(I40/$L40)+$N41*(H41/$K41))*'global path'!$C36</f>
        <v>1.24273695510531</v>
      </c>
      <c r="J41" s="4">
        <f t="shared" si="3"/>
        <v>0.73102173829724104</v>
      </c>
      <c r="K41" s="129">
        <f t="shared" si="9"/>
        <v>6.9</v>
      </c>
      <c r="L41" s="19">
        <f t="shared" si="10"/>
        <v>5.0441554756236391</v>
      </c>
      <c r="M41" s="4">
        <f t="shared" si="4"/>
        <v>0.73103702545270133</v>
      </c>
      <c r="N41" s="119">
        <f t="shared" si="0"/>
        <v>0.87894561200401233</v>
      </c>
      <c r="AB41" s="431">
        <f t="shared" si="13"/>
        <v>2.9000000000000012</v>
      </c>
      <c r="AC41" s="436">
        <f t="shared" si="12"/>
        <v>5.5023220056407161E-2</v>
      </c>
    </row>
    <row r="42" spans="1:29" ht="13.5" thickBot="1" x14ac:dyDescent="0.25">
      <c r="A42" s="49">
        <f t="shared" si="5"/>
        <v>2050</v>
      </c>
      <c r="B42" s="139">
        <f>RF!B40</f>
        <v>1.2</v>
      </c>
      <c r="C42" s="5">
        <f>((1-$N42)*(C41/$L41)+$N42*(B42/$K42))*'global path'!$C37</f>
        <v>0.77335076918943702</v>
      </c>
      <c r="D42" s="140">
        <f t="shared" si="1"/>
        <v>0.64445897432453092</v>
      </c>
      <c r="E42" s="141">
        <f>RF!E40</f>
        <v>4</v>
      </c>
      <c r="F42" s="5">
        <f>((1-$N42)*(F41/$L41)+$N42*(E42/$K42))*'global path'!$C37</f>
        <v>2.5778358972981237</v>
      </c>
      <c r="G42" s="140">
        <f t="shared" si="2"/>
        <v>0.64445897432453092</v>
      </c>
      <c r="H42" s="149">
        <f>K42-E42-B42</f>
        <v>1.7000000000000004</v>
      </c>
      <c r="I42" s="5">
        <f>((1-$N42)*(I41/$L41)+$N42*(H42/$K42))*'global path'!$C37</f>
        <v>1.0955802563517028</v>
      </c>
      <c r="J42" s="140">
        <f t="shared" si="3"/>
        <v>0.64445897432453092</v>
      </c>
      <c r="K42" s="141">
        <f>RF!K40</f>
        <v>6.9</v>
      </c>
      <c r="L42" s="19">
        <f t="shared" si="10"/>
        <v>4.4467669228392639</v>
      </c>
      <c r="M42" s="4">
        <f t="shared" si="4"/>
        <v>0.64445897432453092</v>
      </c>
      <c r="N42" s="134">
        <f t="shared" si="0"/>
        <v>1</v>
      </c>
      <c r="AB42" s="431">
        <f t="shared" si="13"/>
        <v>3.0000000000000013</v>
      </c>
      <c r="AC42" s="436">
        <f t="shared" si="12"/>
        <v>4.9787068367863875E-2</v>
      </c>
    </row>
    <row r="43" spans="1:29" ht="13.5" thickBot="1" x14ac:dyDescent="0.25">
      <c r="A43" s="143" t="s">
        <v>1</v>
      </c>
      <c r="B43" s="144"/>
      <c r="C43" s="145">
        <f>SUM(C12:C42)</f>
        <v>242.40443501673587</v>
      </c>
      <c r="D43" s="146"/>
      <c r="E43" s="144"/>
      <c r="F43" s="145">
        <f>SUM(F12:F42)</f>
        <v>336.98784881382898</v>
      </c>
      <c r="G43" s="146"/>
      <c r="H43" s="144"/>
      <c r="I43" s="145">
        <f>SUM(I12:I42)</f>
        <v>77.371362527278393</v>
      </c>
      <c r="J43" s="146"/>
      <c r="K43" s="144"/>
      <c r="L43" s="147">
        <f>SUM(L12:L42)</f>
        <v>656.76364635784307</v>
      </c>
      <c r="M43" s="148"/>
      <c r="N43" s="138"/>
      <c r="AB43" s="431">
        <f t="shared" si="13"/>
        <v>3.1000000000000014</v>
      </c>
      <c r="AC43" s="436">
        <f t="shared" si="12"/>
        <v>4.5049202393557745E-2</v>
      </c>
    </row>
    <row r="44" spans="1:29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AB44" s="431">
        <f t="shared" si="13"/>
        <v>3.2000000000000015</v>
      </c>
      <c r="AC44" s="436">
        <f t="shared" si="12"/>
        <v>4.0762203978366156E-2</v>
      </c>
    </row>
    <row r="45" spans="1:29" x14ac:dyDescent="0.2">
      <c r="A45" s="7"/>
      <c r="B45" s="7"/>
      <c r="C45" s="7"/>
      <c r="D45" s="7"/>
      <c r="E45" s="7"/>
      <c r="F45" s="7"/>
      <c r="H45" s="7"/>
      <c r="J45" s="687" t="s">
        <v>41</v>
      </c>
      <c r="K45" s="688"/>
      <c r="L45" s="689">
        <f>'global path'!C89</f>
        <v>656.76364635784296</v>
      </c>
      <c r="M45" s="7"/>
      <c r="N45" s="7"/>
      <c r="AB45" s="431">
        <f t="shared" si="13"/>
        <v>3.3000000000000016</v>
      </c>
      <c r="AC45" s="436">
        <f t="shared" si="12"/>
        <v>3.6883167401239945E-2</v>
      </c>
    </row>
    <row r="46" spans="1:29" x14ac:dyDescent="0.2">
      <c r="A46" s="7"/>
      <c r="B46" s="7"/>
      <c r="C46" s="7"/>
      <c r="D46" s="7"/>
      <c r="E46" s="7"/>
      <c r="F46" s="7"/>
      <c r="G46" s="7"/>
      <c r="H46" s="7"/>
      <c r="I46" s="7"/>
      <c r="J46" s="690" t="s">
        <v>215</v>
      </c>
      <c r="K46" s="691"/>
      <c r="L46" s="692">
        <f>L43-L45</f>
        <v>0</v>
      </c>
      <c r="M46" s="7"/>
      <c r="N46" s="7"/>
      <c r="AB46" s="431">
        <f t="shared" si="13"/>
        <v>3.4000000000000017</v>
      </c>
      <c r="AC46" s="436">
        <f t="shared" si="12"/>
        <v>3.3373269960326024E-2</v>
      </c>
    </row>
    <row r="47" spans="1:29" ht="13.5" thickBot="1" x14ac:dyDescent="0.25">
      <c r="AB47" s="431">
        <f t="shared" si="13"/>
        <v>3.5000000000000018</v>
      </c>
      <c r="AC47" s="436">
        <f t="shared" si="12"/>
        <v>3.0197383422318449E-2</v>
      </c>
    </row>
    <row r="48" spans="1:29" x14ac:dyDescent="0.2">
      <c r="A48" s="539">
        <f>A42+1</f>
        <v>2051</v>
      </c>
      <c r="B48" s="569">
        <f>B42</f>
        <v>1.2</v>
      </c>
      <c r="C48" s="540">
        <f>B48/$K48*$L48</f>
        <v>0.67922401305673408</v>
      </c>
      <c r="D48" s="543">
        <f>C48/B48</f>
        <v>0.56602001088061171</v>
      </c>
      <c r="E48" s="570">
        <f>E42</f>
        <v>4</v>
      </c>
      <c r="F48" s="540">
        <f>E48/$K48*$L48</f>
        <v>2.2640800435224473</v>
      </c>
      <c r="G48" s="541">
        <f>F48/E48</f>
        <v>0.56602001088061182</v>
      </c>
      <c r="H48" s="571">
        <f>H42</f>
        <v>1.7000000000000004</v>
      </c>
      <c r="I48" s="540">
        <f>H48/$K48*$L48</f>
        <v>0.96223401849704016</v>
      </c>
      <c r="J48" s="543">
        <f>I48/H48</f>
        <v>0.56602001088061171</v>
      </c>
      <c r="K48" s="542">
        <f>B48+E48+H48</f>
        <v>6.9</v>
      </c>
      <c r="L48" s="540">
        <f>'global path'!C38</f>
        <v>3.9055380750762212</v>
      </c>
      <c r="M48" s="543">
        <f>L48/K48</f>
        <v>0.56602001088061171</v>
      </c>
      <c r="AB48" s="431">
        <f t="shared" si="13"/>
        <v>3.6000000000000019</v>
      </c>
      <c r="AC48" s="436">
        <f t="shared" si="12"/>
        <v>2.732372244729251E-2</v>
      </c>
    </row>
    <row r="49" spans="1:29" x14ac:dyDescent="0.2">
      <c r="A49" s="544">
        <f>A48+1</f>
        <v>2052</v>
      </c>
      <c r="B49" s="555">
        <f>B48</f>
        <v>1.2</v>
      </c>
      <c r="C49" s="546">
        <f t="shared" ref="C49:C97" si="14">B49/$K49*$L49</f>
        <v>0.59432512095118173</v>
      </c>
      <c r="D49" s="549">
        <f t="shared" ref="D49:D97" si="15">C49/B49</f>
        <v>0.49527093412598477</v>
      </c>
      <c r="E49" s="545">
        <f>E48</f>
        <v>4</v>
      </c>
      <c r="F49" s="546">
        <f t="shared" ref="F49:F97" si="16">E49/$K49*$L49</f>
        <v>1.9810837365039393</v>
      </c>
      <c r="G49" s="547">
        <f t="shared" ref="G49:G97" si="17">F49/E49</f>
        <v>0.49527093412598483</v>
      </c>
      <c r="H49" s="557">
        <f>H48</f>
        <v>1.7000000000000004</v>
      </c>
      <c r="I49" s="546">
        <f t="shared" ref="I49:I97" si="18">H49/$K49*$L49</f>
        <v>0.84196058801417428</v>
      </c>
      <c r="J49" s="549">
        <f t="shared" ref="J49:J97" si="19">I49/H49</f>
        <v>0.49527093412598477</v>
      </c>
      <c r="K49" s="548">
        <f t="shared" ref="K49:K97" si="20">B49+E49+H49</f>
        <v>6.9</v>
      </c>
      <c r="L49" s="546">
        <f>'global path'!C39</f>
        <v>3.4173694454692951</v>
      </c>
      <c r="M49" s="549">
        <f t="shared" ref="M49:M97" si="21">L49/K49</f>
        <v>0.49527093412598477</v>
      </c>
      <c r="AB49" s="431">
        <f t="shared" si="13"/>
        <v>3.700000000000002</v>
      </c>
      <c r="AC49" s="436">
        <f t="shared" si="12"/>
        <v>2.4723526470339343E-2</v>
      </c>
    </row>
    <row r="50" spans="1:29" x14ac:dyDescent="0.2">
      <c r="A50" s="544">
        <f t="shared" ref="A50:A97" si="22">A49+1</f>
        <v>2053</v>
      </c>
      <c r="B50" s="555">
        <f t="shared" ref="B50:B97" si="23">B49</f>
        <v>1.2</v>
      </c>
      <c r="C50" s="546">
        <f t="shared" si="14"/>
        <v>0.51808805976039229</v>
      </c>
      <c r="D50" s="549">
        <f t="shared" si="15"/>
        <v>0.43174004980032693</v>
      </c>
      <c r="E50" s="545">
        <f t="shared" ref="E50:E97" si="24">E49</f>
        <v>4</v>
      </c>
      <c r="F50" s="546">
        <f t="shared" si="16"/>
        <v>1.7269601992013077</v>
      </c>
      <c r="G50" s="547">
        <f t="shared" si="17"/>
        <v>0.43174004980032693</v>
      </c>
      <c r="H50" s="557">
        <f t="shared" ref="H50:H97" si="25">H49</f>
        <v>1.7000000000000004</v>
      </c>
      <c r="I50" s="546">
        <f t="shared" si="18"/>
        <v>0.73395808466055579</v>
      </c>
      <c r="J50" s="549">
        <f t="shared" si="19"/>
        <v>0.43174004980032682</v>
      </c>
      <c r="K50" s="548">
        <f t="shared" si="20"/>
        <v>6.9</v>
      </c>
      <c r="L50" s="546">
        <f>'global path'!C40</f>
        <v>2.9790063436222556</v>
      </c>
      <c r="M50" s="549">
        <f t="shared" si="21"/>
        <v>0.43174004980032687</v>
      </c>
      <c r="AB50" s="431">
        <f t="shared" si="13"/>
        <v>3.800000000000002</v>
      </c>
      <c r="AC50" s="436">
        <f t="shared" si="12"/>
        <v>2.2370771856165549E-2</v>
      </c>
    </row>
    <row r="51" spans="1:29" x14ac:dyDescent="0.2">
      <c r="A51" s="544">
        <f t="shared" si="22"/>
        <v>2054</v>
      </c>
      <c r="B51" s="555">
        <f t="shared" si="23"/>
        <v>1.2</v>
      </c>
      <c r="C51" s="546">
        <f t="shared" si="14"/>
        <v>0.44993042991229248</v>
      </c>
      <c r="D51" s="549">
        <f t="shared" si="15"/>
        <v>0.37494202492691042</v>
      </c>
      <c r="E51" s="545">
        <f t="shared" si="24"/>
        <v>4</v>
      </c>
      <c r="F51" s="546">
        <f t="shared" si="16"/>
        <v>1.4997680997076417</v>
      </c>
      <c r="G51" s="547">
        <f t="shared" si="17"/>
        <v>0.37494202492691042</v>
      </c>
      <c r="H51" s="557">
        <f t="shared" si="25"/>
        <v>1.7000000000000004</v>
      </c>
      <c r="I51" s="546">
        <f t="shared" si="18"/>
        <v>0.63740144237574781</v>
      </c>
      <c r="J51" s="549">
        <f t="shared" si="19"/>
        <v>0.37494202492691037</v>
      </c>
      <c r="K51" s="548">
        <f t="shared" si="20"/>
        <v>6.9</v>
      </c>
      <c r="L51" s="546">
        <f>'global path'!C41</f>
        <v>2.587099971995682</v>
      </c>
      <c r="M51" s="549">
        <f t="shared" si="21"/>
        <v>0.37494202492691042</v>
      </c>
      <c r="AB51" s="431">
        <f t="shared" si="13"/>
        <v>3.9000000000000021</v>
      </c>
      <c r="AC51" s="436">
        <f t="shared" si="12"/>
        <v>2.0241911445804346E-2</v>
      </c>
    </row>
    <row r="52" spans="1:29" x14ac:dyDescent="0.2">
      <c r="A52" s="544">
        <f t="shared" si="22"/>
        <v>2055</v>
      </c>
      <c r="B52" s="555">
        <f t="shared" si="23"/>
        <v>1.2</v>
      </c>
      <c r="C52" s="546">
        <f t="shared" si="14"/>
        <v>0.3892631009381311</v>
      </c>
      <c r="D52" s="549">
        <f t="shared" si="15"/>
        <v>0.32438591744844258</v>
      </c>
      <c r="E52" s="545">
        <f t="shared" si="24"/>
        <v>4</v>
      </c>
      <c r="F52" s="546">
        <f t="shared" si="16"/>
        <v>1.2975436697937706</v>
      </c>
      <c r="G52" s="547">
        <f t="shared" si="17"/>
        <v>0.32438591744844264</v>
      </c>
      <c r="H52" s="557">
        <f t="shared" si="25"/>
        <v>1.7000000000000004</v>
      </c>
      <c r="I52" s="546">
        <f t="shared" si="18"/>
        <v>0.55145605966235256</v>
      </c>
      <c r="J52" s="549">
        <f t="shared" si="19"/>
        <v>0.32438591744844258</v>
      </c>
      <c r="K52" s="548">
        <f t="shared" si="20"/>
        <v>6.9</v>
      </c>
      <c r="L52" s="546">
        <f>'global path'!C42</f>
        <v>2.238262830394254</v>
      </c>
      <c r="M52" s="549">
        <f t="shared" si="21"/>
        <v>0.32438591744844258</v>
      </c>
      <c r="AB52" s="431">
        <f t="shared" si="13"/>
        <v>4.0000000000000018</v>
      </c>
      <c r="AC52" s="436">
        <f t="shared" si="12"/>
        <v>1.8315638888734147E-2</v>
      </c>
    </row>
    <row r="53" spans="1:29" x14ac:dyDescent="0.2">
      <c r="A53" s="544">
        <f t="shared" si="22"/>
        <v>2056</v>
      </c>
      <c r="B53" s="555">
        <f t="shared" si="23"/>
        <v>1.2</v>
      </c>
      <c r="C53" s="546">
        <f t="shared" si="14"/>
        <v>0.33549878468568733</v>
      </c>
      <c r="D53" s="549">
        <f t="shared" si="15"/>
        <v>0.27958232057140614</v>
      </c>
      <c r="E53" s="545">
        <f t="shared" si="24"/>
        <v>4</v>
      </c>
      <c r="F53" s="546">
        <f t="shared" si="16"/>
        <v>1.1183292822856246</v>
      </c>
      <c r="G53" s="547">
        <f t="shared" si="17"/>
        <v>0.27958232057140614</v>
      </c>
      <c r="H53" s="557">
        <f t="shared" si="25"/>
        <v>1.7000000000000004</v>
      </c>
      <c r="I53" s="546">
        <f t="shared" si="18"/>
        <v>0.47528994497139049</v>
      </c>
      <c r="J53" s="549">
        <f t="shared" si="19"/>
        <v>0.27958232057140608</v>
      </c>
      <c r="K53" s="548">
        <f t="shared" si="20"/>
        <v>6.9</v>
      </c>
      <c r="L53" s="546">
        <f>'global path'!C43</f>
        <v>1.9291180119427023</v>
      </c>
      <c r="M53" s="549">
        <f t="shared" si="21"/>
        <v>0.27958232057140608</v>
      </c>
      <c r="AB53" s="431">
        <f t="shared" si="13"/>
        <v>4.1000000000000014</v>
      </c>
      <c r="AC53" s="436">
        <f t="shared" si="12"/>
        <v>1.6572675401761224E-2</v>
      </c>
    </row>
    <row r="54" spans="1:29" x14ac:dyDescent="0.2">
      <c r="A54" s="544">
        <f t="shared" si="22"/>
        <v>2057</v>
      </c>
      <c r="B54" s="555">
        <f t="shared" si="23"/>
        <v>1.2</v>
      </c>
      <c r="C54" s="546">
        <f t="shared" si="14"/>
        <v>0.28805950670893604</v>
      </c>
      <c r="D54" s="549">
        <f t="shared" si="15"/>
        <v>0.24004958892411338</v>
      </c>
      <c r="E54" s="545">
        <f t="shared" si="24"/>
        <v>4</v>
      </c>
      <c r="F54" s="546">
        <f t="shared" si="16"/>
        <v>0.96019835569645351</v>
      </c>
      <c r="G54" s="547">
        <f t="shared" si="17"/>
        <v>0.24004958892411338</v>
      </c>
      <c r="H54" s="557">
        <f t="shared" si="25"/>
        <v>1.7000000000000004</v>
      </c>
      <c r="I54" s="546">
        <f t="shared" si="18"/>
        <v>0.40808430117099276</v>
      </c>
      <c r="J54" s="549">
        <f t="shared" si="19"/>
        <v>0.24004958892411332</v>
      </c>
      <c r="K54" s="548">
        <f t="shared" si="20"/>
        <v>6.9</v>
      </c>
      <c r="L54" s="546">
        <f>'global path'!C44</f>
        <v>1.6563421635763822</v>
      </c>
      <c r="M54" s="549">
        <f t="shared" si="21"/>
        <v>0.24004958892411335</v>
      </c>
      <c r="AB54" s="431">
        <f t="shared" si="13"/>
        <v>4.2000000000000011</v>
      </c>
      <c r="AC54" s="436">
        <f t="shared" si="12"/>
        <v>1.4995576820477691E-2</v>
      </c>
    </row>
    <row r="55" spans="1:29" x14ac:dyDescent="0.2">
      <c r="A55" s="544">
        <f t="shared" si="22"/>
        <v>2058</v>
      </c>
      <c r="B55" s="555">
        <f t="shared" si="23"/>
        <v>1.2</v>
      </c>
      <c r="C55" s="546">
        <f t="shared" si="14"/>
        <v>0.24638296647093647</v>
      </c>
      <c r="D55" s="549">
        <f t="shared" si="15"/>
        <v>0.20531913872578039</v>
      </c>
      <c r="E55" s="545">
        <f t="shared" si="24"/>
        <v>4</v>
      </c>
      <c r="F55" s="546">
        <f t="shared" si="16"/>
        <v>0.82127655490312168</v>
      </c>
      <c r="G55" s="547">
        <f t="shared" si="17"/>
        <v>0.20531913872578042</v>
      </c>
      <c r="H55" s="557">
        <f t="shared" si="25"/>
        <v>1.7000000000000004</v>
      </c>
      <c r="I55" s="546">
        <f t="shared" si="18"/>
        <v>0.34904253583382672</v>
      </c>
      <c r="J55" s="549">
        <f t="shared" si="19"/>
        <v>0.20531913872578036</v>
      </c>
      <c r="K55" s="548">
        <f t="shared" si="20"/>
        <v>6.9</v>
      </c>
      <c r="L55" s="546">
        <f>'global path'!C45</f>
        <v>1.4167020572078848</v>
      </c>
      <c r="M55" s="549">
        <f t="shared" si="21"/>
        <v>0.20531913872578039</v>
      </c>
      <c r="AB55" s="431">
        <f t="shared" si="13"/>
        <v>4.3000000000000007</v>
      </c>
      <c r="AC55" s="436">
        <f t="shared" si="12"/>
        <v>1.3568559012200922E-2</v>
      </c>
    </row>
    <row r="56" spans="1:29" x14ac:dyDescent="0.2">
      <c r="A56" s="544">
        <f t="shared" si="22"/>
        <v>2059</v>
      </c>
      <c r="B56" s="555">
        <f t="shared" si="23"/>
        <v>1.2</v>
      </c>
      <c r="C56" s="546">
        <f t="shared" si="14"/>
        <v>0.2099278036881618</v>
      </c>
      <c r="D56" s="549">
        <f t="shared" si="15"/>
        <v>0.1749398364068015</v>
      </c>
      <c r="E56" s="545">
        <f t="shared" si="24"/>
        <v>4</v>
      </c>
      <c r="F56" s="546">
        <f t="shared" si="16"/>
        <v>0.6997593456272061</v>
      </c>
      <c r="G56" s="547">
        <f t="shared" si="17"/>
        <v>0.17493983640680152</v>
      </c>
      <c r="H56" s="557">
        <f t="shared" si="25"/>
        <v>1.7000000000000004</v>
      </c>
      <c r="I56" s="546">
        <f t="shared" si="18"/>
        <v>0.29739772189156261</v>
      </c>
      <c r="J56" s="549">
        <f t="shared" si="19"/>
        <v>0.1749398364068015</v>
      </c>
      <c r="K56" s="548">
        <f t="shared" si="20"/>
        <v>6.9</v>
      </c>
      <c r="L56" s="546">
        <f>'global path'!C46</f>
        <v>1.2070848712069304</v>
      </c>
      <c r="M56" s="549">
        <f t="shared" si="21"/>
        <v>0.1749398364068015</v>
      </c>
      <c r="AB56" s="431">
        <f t="shared" si="13"/>
        <v>4.4000000000000004</v>
      </c>
      <c r="AC56" s="436">
        <f t="shared" si="12"/>
        <v>1.2277339903068436E-2</v>
      </c>
    </row>
    <row r="57" spans="1:29" x14ac:dyDescent="0.2">
      <c r="A57" s="544">
        <f t="shared" si="22"/>
        <v>2060</v>
      </c>
      <c r="B57" s="555">
        <f t="shared" si="23"/>
        <v>1.2</v>
      </c>
      <c r="C57" s="546">
        <f t="shared" si="14"/>
        <v>0.17817781104482394</v>
      </c>
      <c r="D57" s="549">
        <f t="shared" si="15"/>
        <v>0.14848150920401995</v>
      </c>
      <c r="E57" s="545">
        <f t="shared" si="24"/>
        <v>4</v>
      </c>
      <c r="F57" s="546">
        <f t="shared" si="16"/>
        <v>0.59392603681607992</v>
      </c>
      <c r="G57" s="547">
        <f t="shared" si="17"/>
        <v>0.14848150920401998</v>
      </c>
      <c r="H57" s="557">
        <f t="shared" si="25"/>
        <v>1.7000000000000004</v>
      </c>
      <c r="I57" s="546">
        <f t="shared" si="18"/>
        <v>0.25241856564683396</v>
      </c>
      <c r="J57" s="549">
        <f t="shared" si="19"/>
        <v>0.14848150920401995</v>
      </c>
      <c r="K57" s="548">
        <f t="shared" si="20"/>
        <v>6.9</v>
      </c>
      <c r="L57" s="546">
        <f>'global path'!C47</f>
        <v>1.0245224135077378</v>
      </c>
      <c r="M57" s="549">
        <f t="shared" si="21"/>
        <v>0.14848150920401995</v>
      </c>
      <c r="AB57" s="431">
        <f t="shared" si="13"/>
        <v>4.5</v>
      </c>
      <c r="AC57" s="436">
        <f t="shared" si="12"/>
        <v>1.1108996538242306E-2</v>
      </c>
    </row>
    <row r="58" spans="1:29" x14ac:dyDescent="0.2">
      <c r="A58" s="544">
        <f t="shared" si="22"/>
        <v>2061</v>
      </c>
      <c r="B58" s="555">
        <f t="shared" si="23"/>
        <v>1.2</v>
      </c>
      <c r="C58" s="546">
        <f t="shared" si="14"/>
        <v>0.15064515241260856</v>
      </c>
      <c r="D58" s="549">
        <f t="shared" si="15"/>
        <v>0.12553762701050714</v>
      </c>
      <c r="E58" s="545">
        <f t="shared" si="24"/>
        <v>4</v>
      </c>
      <c r="F58" s="546">
        <f t="shared" si="16"/>
        <v>0.50215050804202865</v>
      </c>
      <c r="G58" s="547">
        <f t="shared" si="17"/>
        <v>0.12553762701050716</v>
      </c>
      <c r="H58" s="557">
        <f t="shared" si="25"/>
        <v>1.7000000000000004</v>
      </c>
      <c r="I58" s="546">
        <f t="shared" si="18"/>
        <v>0.21341396591786219</v>
      </c>
      <c r="J58" s="549">
        <f t="shared" si="19"/>
        <v>0.12553762701050714</v>
      </c>
      <c r="K58" s="548">
        <f t="shared" si="20"/>
        <v>6.9</v>
      </c>
      <c r="L58" s="546">
        <f>'global path'!C48</f>
        <v>0.86620962637249932</v>
      </c>
      <c r="M58" s="549">
        <f t="shared" si="21"/>
        <v>0.12553762701050714</v>
      </c>
      <c r="AB58" s="431">
        <f t="shared" si="13"/>
        <v>4.5999999999999996</v>
      </c>
      <c r="AC58" s="436">
        <f t="shared" si="12"/>
        <v>1.0051835744633586E-2</v>
      </c>
    </row>
    <row r="59" spans="1:29" x14ac:dyDescent="0.2">
      <c r="A59" s="544">
        <f t="shared" si="22"/>
        <v>2062</v>
      </c>
      <c r="B59" s="555">
        <f t="shared" si="23"/>
        <v>1.2</v>
      </c>
      <c r="C59" s="546">
        <f t="shared" si="14"/>
        <v>0.12687266057856594</v>
      </c>
      <c r="D59" s="549">
        <f t="shared" si="15"/>
        <v>0.10572721714880495</v>
      </c>
      <c r="E59" s="545">
        <f t="shared" si="24"/>
        <v>4</v>
      </c>
      <c r="F59" s="546">
        <f t="shared" si="16"/>
        <v>0.42290886859521987</v>
      </c>
      <c r="G59" s="547">
        <f t="shared" si="17"/>
        <v>0.10572721714880497</v>
      </c>
      <c r="H59" s="557">
        <f t="shared" si="25"/>
        <v>1.7000000000000004</v>
      </c>
      <c r="I59" s="546">
        <f t="shared" si="18"/>
        <v>0.17973626915296848</v>
      </c>
      <c r="J59" s="549">
        <f t="shared" si="19"/>
        <v>0.10572721714880497</v>
      </c>
      <c r="K59" s="548">
        <f t="shared" si="20"/>
        <v>6.9</v>
      </c>
      <c r="L59" s="546">
        <f>'global path'!C49</f>
        <v>0.72951779832675423</v>
      </c>
      <c r="M59" s="549">
        <f t="shared" si="21"/>
        <v>0.10572721714880495</v>
      </c>
      <c r="AB59" s="431">
        <f t="shared" si="13"/>
        <v>4.6999999999999993</v>
      </c>
      <c r="AC59" s="436">
        <f t="shared" si="12"/>
        <v>9.0952771016958242E-3</v>
      </c>
    </row>
    <row r="60" spans="1:29" x14ac:dyDescent="0.2">
      <c r="A60" s="544">
        <f t="shared" si="22"/>
        <v>2063</v>
      </c>
      <c r="B60" s="555">
        <f t="shared" si="23"/>
        <v>1.2</v>
      </c>
      <c r="C60" s="546">
        <f t="shared" si="14"/>
        <v>0.10643529940410673</v>
      </c>
      <c r="D60" s="549">
        <f t="shared" si="15"/>
        <v>8.8696082836755619E-2</v>
      </c>
      <c r="E60" s="545">
        <f t="shared" si="24"/>
        <v>4</v>
      </c>
      <c r="F60" s="546">
        <f t="shared" si="16"/>
        <v>0.35478433134702247</v>
      </c>
      <c r="G60" s="547">
        <f t="shared" si="17"/>
        <v>8.8696082836755619E-2</v>
      </c>
      <c r="H60" s="557">
        <f t="shared" si="25"/>
        <v>1.7000000000000004</v>
      </c>
      <c r="I60" s="546">
        <f t="shared" si="18"/>
        <v>0.15078334082248457</v>
      </c>
      <c r="J60" s="549">
        <f t="shared" si="19"/>
        <v>8.8696082836755605E-2</v>
      </c>
      <c r="K60" s="548">
        <f t="shared" si="20"/>
        <v>6.9</v>
      </c>
      <c r="L60" s="546">
        <f>'global path'!C50</f>
        <v>0.61200297157361372</v>
      </c>
      <c r="M60" s="549">
        <f t="shared" si="21"/>
        <v>8.8696082836755605E-2</v>
      </c>
      <c r="AB60" s="431">
        <f t="shared" si="13"/>
        <v>4.7999999999999989</v>
      </c>
      <c r="AC60" s="436">
        <f t="shared" si="12"/>
        <v>8.2297470490200371E-3</v>
      </c>
    </row>
    <row r="61" spans="1:29" x14ac:dyDescent="0.2">
      <c r="A61" s="544">
        <f t="shared" si="22"/>
        <v>2064</v>
      </c>
      <c r="B61" s="555">
        <f t="shared" si="23"/>
        <v>1.2</v>
      </c>
      <c r="C61" s="546">
        <f t="shared" si="14"/>
        <v>8.8940882520877326E-2</v>
      </c>
      <c r="D61" s="549">
        <f t="shared" si="15"/>
        <v>7.4117402100731103E-2</v>
      </c>
      <c r="E61" s="545">
        <f t="shared" si="24"/>
        <v>4</v>
      </c>
      <c r="F61" s="546">
        <f t="shared" si="16"/>
        <v>0.29646960840292441</v>
      </c>
      <c r="G61" s="547">
        <f t="shared" si="17"/>
        <v>7.4117402100731103E-2</v>
      </c>
      <c r="H61" s="557">
        <f t="shared" si="25"/>
        <v>1.7000000000000004</v>
      </c>
      <c r="I61" s="546">
        <f t="shared" si="18"/>
        <v>0.12599958357124288</v>
      </c>
      <c r="J61" s="549">
        <f t="shared" si="19"/>
        <v>7.4117402100731089E-2</v>
      </c>
      <c r="K61" s="548">
        <f t="shared" si="20"/>
        <v>6.9</v>
      </c>
      <c r="L61" s="546">
        <f>'global path'!C51</f>
        <v>0.51141007449504461</v>
      </c>
      <c r="M61" s="549">
        <f t="shared" si="21"/>
        <v>7.4117402100731103E-2</v>
      </c>
      <c r="AB61" s="431">
        <f t="shared" ref="AB61:AB80" si="26">AB60+0.1</f>
        <v>4.8999999999999986</v>
      </c>
      <c r="AC61" s="436">
        <f t="shared" si="12"/>
        <v>7.4465830709243511E-3</v>
      </c>
    </row>
    <row r="62" spans="1:29" x14ac:dyDescent="0.2">
      <c r="A62" s="544">
        <f t="shared" si="22"/>
        <v>2065</v>
      </c>
      <c r="B62" s="555">
        <f t="shared" si="23"/>
        <v>1.2</v>
      </c>
      <c r="C62" s="546">
        <f t="shared" si="14"/>
        <v>7.4030144418831711E-2</v>
      </c>
      <c r="D62" s="549">
        <f t="shared" si="15"/>
        <v>6.1691787015693098E-2</v>
      </c>
      <c r="E62" s="545">
        <f t="shared" si="24"/>
        <v>4</v>
      </c>
      <c r="F62" s="546">
        <f t="shared" si="16"/>
        <v>0.24676714806277239</v>
      </c>
      <c r="G62" s="547">
        <f t="shared" si="17"/>
        <v>6.1691787015693098E-2</v>
      </c>
      <c r="H62" s="557">
        <f t="shared" si="25"/>
        <v>1.7000000000000004</v>
      </c>
      <c r="I62" s="546">
        <f t="shared" si="18"/>
        <v>0.10487603792667828</v>
      </c>
      <c r="J62" s="549">
        <f t="shared" si="19"/>
        <v>6.1691787015693091E-2</v>
      </c>
      <c r="K62" s="548">
        <f t="shared" si="20"/>
        <v>6.9</v>
      </c>
      <c r="L62" s="546">
        <f>'global path'!C52</f>
        <v>0.42567333040828237</v>
      </c>
      <c r="M62" s="549">
        <f t="shared" si="21"/>
        <v>6.1691787015693091E-2</v>
      </c>
      <c r="AB62" s="431">
        <f t="shared" si="26"/>
        <v>4.9999999999999982</v>
      </c>
      <c r="AC62" s="436">
        <f t="shared" si="12"/>
        <v>6.7379469990854791E-3</v>
      </c>
    </row>
    <row r="63" spans="1:29" x14ac:dyDescent="0.2">
      <c r="A63" s="544">
        <f t="shared" si="22"/>
        <v>2066</v>
      </c>
      <c r="B63" s="555">
        <f t="shared" si="23"/>
        <v>1.2</v>
      </c>
      <c r="C63" s="546">
        <f t="shared" si="14"/>
        <v>6.1376260472816184E-2</v>
      </c>
      <c r="D63" s="549">
        <f t="shared" si="15"/>
        <v>5.1146883727346819E-2</v>
      </c>
      <c r="E63" s="545">
        <f t="shared" si="24"/>
        <v>4</v>
      </c>
      <c r="F63" s="546">
        <f t="shared" si="16"/>
        <v>0.2045875349093873</v>
      </c>
      <c r="G63" s="547">
        <f t="shared" si="17"/>
        <v>5.1146883727346826E-2</v>
      </c>
      <c r="H63" s="557">
        <f t="shared" si="25"/>
        <v>1.7000000000000004</v>
      </c>
      <c r="I63" s="546">
        <f t="shared" si="18"/>
        <v>8.6949702336489618E-2</v>
      </c>
      <c r="J63" s="549">
        <f t="shared" si="19"/>
        <v>5.1146883727346819E-2</v>
      </c>
      <c r="K63" s="548">
        <f t="shared" si="20"/>
        <v>6.9</v>
      </c>
      <c r="L63" s="546">
        <f>'global path'!C53</f>
        <v>0.35291349771869307</v>
      </c>
      <c r="M63" s="549">
        <f t="shared" si="21"/>
        <v>5.1146883727346819E-2</v>
      </c>
      <c r="AB63" s="431">
        <f t="shared" si="26"/>
        <v>5.0999999999999979</v>
      </c>
      <c r="AC63" s="436">
        <f t="shared" si="12"/>
        <v>6.0967465655156492E-3</v>
      </c>
    </row>
    <row r="64" spans="1:29" x14ac:dyDescent="0.2">
      <c r="A64" s="544">
        <f t="shared" si="22"/>
        <v>2067</v>
      </c>
      <c r="B64" s="555">
        <f t="shared" si="23"/>
        <v>1.2</v>
      </c>
      <c r="C64" s="546">
        <f t="shared" si="14"/>
        <v>5.0683910508547897E-2</v>
      </c>
      <c r="D64" s="549">
        <f t="shared" si="15"/>
        <v>4.2236592090456583E-2</v>
      </c>
      <c r="E64" s="545">
        <f t="shared" si="24"/>
        <v>4</v>
      </c>
      <c r="F64" s="546">
        <f t="shared" si="16"/>
        <v>0.16894636836182633</v>
      </c>
      <c r="G64" s="547">
        <f t="shared" si="17"/>
        <v>4.2236592090456583E-2</v>
      </c>
      <c r="H64" s="557">
        <f t="shared" si="25"/>
        <v>1.7000000000000004</v>
      </c>
      <c r="I64" s="546">
        <f t="shared" si="18"/>
        <v>7.1802206553776199E-2</v>
      </c>
      <c r="J64" s="549">
        <f t="shared" si="19"/>
        <v>4.2236592090456576E-2</v>
      </c>
      <c r="K64" s="548">
        <f t="shared" si="20"/>
        <v>6.9</v>
      </c>
      <c r="L64" s="546">
        <f>'global path'!C54</f>
        <v>0.2914324854241504</v>
      </c>
      <c r="M64" s="549">
        <f t="shared" si="21"/>
        <v>4.2236592090456576E-2</v>
      </c>
      <c r="AB64" s="431">
        <f t="shared" si="26"/>
        <v>5.1999999999999975</v>
      </c>
      <c r="AC64" s="436">
        <f t="shared" si="12"/>
        <v>5.5165644207607863E-3</v>
      </c>
    </row>
    <row r="65" spans="1:29" x14ac:dyDescent="0.2">
      <c r="A65" s="544">
        <f t="shared" si="22"/>
        <v>2068</v>
      </c>
      <c r="B65" s="555">
        <f t="shared" si="23"/>
        <v>1.2</v>
      </c>
      <c r="C65" s="546">
        <f t="shared" si="14"/>
        <v>4.1687976374534287E-2</v>
      </c>
      <c r="D65" s="549">
        <f t="shared" si="15"/>
        <v>3.4739980312111909E-2</v>
      </c>
      <c r="E65" s="545">
        <f t="shared" si="24"/>
        <v>4</v>
      </c>
      <c r="F65" s="546">
        <f t="shared" si="16"/>
        <v>0.13895992124844764</v>
      </c>
      <c r="G65" s="547">
        <f t="shared" si="17"/>
        <v>3.4739980312111909E-2</v>
      </c>
      <c r="H65" s="557">
        <f t="shared" si="25"/>
        <v>1.7000000000000004</v>
      </c>
      <c r="I65" s="546">
        <f t="shared" si="18"/>
        <v>5.9057966530590256E-2</v>
      </c>
      <c r="J65" s="549">
        <f t="shared" si="19"/>
        <v>3.4739980312111909E-2</v>
      </c>
      <c r="K65" s="548">
        <f t="shared" si="20"/>
        <v>6.9</v>
      </c>
      <c r="L65" s="546">
        <f>'global path'!C55</f>
        <v>0.23970586415357217</v>
      </c>
      <c r="M65" s="549">
        <f t="shared" si="21"/>
        <v>3.4739980312111909E-2</v>
      </c>
      <c r="AB65" s="431">
        <f t="shared" si="26"/>
        <v>5.2999999999999972</v>
      </c>
      <c r="AC65" s="436">
        <f t="shared" si="12"/>
        <v>4.99159390691023E-3</v>
      </c>
    </row>
    <row r="66" spans="1:29" x14ac:dyDescent="0.2">
      <c r="A66" s="544">
        <f t="shared" si="22"/>
        <v>2069</v>
      </c>
      <c r="B66" s="555">
        <f t="shared" si="23"/>
        <v>1.2</v>
      </c>
      <c r="C66" s="546">
        <f t="shared" si="14"/>
        <v>3.4151958116388603E-2</v>
      </c>
      <c r="D66" s="549">
        <f t="shared" si="15"/>
        <v>2.8459965096990503E-2</v>
      </c>
      <c r="E66" s="545">
        <f t="shared" si="24"/>
        <v>4</v>
      </c>
      <c r="F66" s="546">
        <f t="shared" si="16"/>
        <v>0.11383986038796201</v>
      </c>
      <c r="G66" s="547">
        <f t="shared" si="17"/>
        <v>2.8459965096990503E-2</v>
      </c>
      <c r="H66" s="557">
        <f t="shared" si="25"/>
        <v>1.7000000000000004</v>
      </c>
      <c r="I66" s="546">
        <f t="shared" si="18"/>
        <v>4.8381940664883862E-2</v>
      </c>
      <c r="J66" s="549">
        <f t="shared" si="19"/>
        <v>2.8459965096990499E-2</v>
      </c>
      <c r="K66" s="548">
        <f t="shared" si="20"/>
        <v>6.9</v>
      </c>
      <c r="L66" s="546">
        <f>'global path'!C56</f>
        <v>0.19637375916923447</v>
      </c>
      <c r="M66" s="549">
        <f t="shared" si="21"/>
        <v>2.8459965096990503E-2</v>
      </c>
      <c r="AB66" s="431">
        <f t="shared" si="26"/>
        <v>5.3999999999999968</v>
      </c>
      <c r="AC66" s="436">
        <f t="shared" si="12"/>
        <v>4.5165809426126824E-3</v>
      </c>
    </row>
    <row r="67" spans="1:29" x14ac:dyDescent="0.2">
      <c r="A67" s="544">
        <f t="shared" si="22"/>
        <v>2070</v>
      </c>
      <c r="B67" s="555">
        <f t="shared" si="23"/>
        <v>1.2</v>
      </c>
      <c r="C67" s="546">
        <f t="shared" si="14"/>
        <v>2.7866186185702961E-2</v>
      </c>
      <c r="D67" s="549">
        <f t="shared" si="15"/>
        <v>2.3221821821419134E-2</v>
      </c>
      <c r="E67" s="545">
        <f t="shared" si="24"/>
        <v>4</v>
      </c>
      <c r="F67" s="546">
        <f t="shared" si="16"/>
        <v>9.2887287285676537E-2</v>
      </c>
      <c r="G67" s="547">
        <f t="shared" si="17"/>
        <v>2.3221821821419134E-2</v>
      </c>
      <c r="H67" s="557">
        <f t="shared" si="25"/>
        <v>1.7000000000000004</v>
      </c>
      <c r="I67" s="546">
        <f t="shared" si="18"/>
        <v>3.9477097096412533E-2</v>
      </c>
      <c r="J67" s="549">
        <f t="shared" si="19"/>
        <v>2.3221821821419131E-2</v>
      </c>
      <c r="K67" s="548">
        <f t="shared" si="20"/>
        <v>6.9</v>
      </c>
      <c r="L67" s="546">
        <f>'global path'!C57</f>
        <v>0.16023057056779202</v>
      </c>
      <c r="M67" s="549">
        <f t="shared" si="21"/>
        <v>2.3221821821419134E-2</v>
      </c>
      <c r="AB67" s="431">
        <f t="shared" si="26"/>
        <v>5.4999999999999964</v>
      </c>
      <c r="AC67" s="436">
        <f t="shared" si="12"/>
        <v>4.0867714384640813E-3</v>
      </c>
    </row>
    <row r="68" spans="1:29" x14ac:dyDescent="0.2">
      <c r="A68" s="544">
        <f t="shared" si="22"/>
        <v>2071</v>
      </c>
      <c r="B68" s="555">
        <f t="shared" si="23"/>
        <v>1.2</v>
      </c>
      <c r="C68" s="546">
        <f t="shared" si="14"/>
        <v>2.2645899072934614E-2</v>
      </c>
      <c r="D68" s="549">
        <f t="shared" si="15"/>
        <v>1.8871582560778845E-2</v>
      </c>
      <c r="E68" s="545">
        <f t="shared" si="24"/>
        <v>4</v>
      </c>
      <c r="F68" s="546">
        <f t="shared" si="16"/>
        <v>7.5486330243115393E-2</v>
      </c>
      <c r="G68" s="547">
        <f t="shared" si="17"/>
        <v>1.8871582560778848E-2</v>
      </c>
      <c r="H68" s="557">
        <f t="shared" si="25"/>
        <v>1.7000000000000004</v>
      </c>
      <c r="I68" s="546">
        <f t="shared" si="18"/>
        <v>3.2081690353324047E-2</v>
      </c>
      <c r="J68" s="549">
        <f t="shared" si="19"/>
        <v>1.8871582560778845E-2</v>
      </c>
      <c r="K68" s="548">
        <f t="shared" si="20"/>
        <v>6.9</v>
      </c>
      <c r="L68" s="546">
        <f>'global path'!C58</f>
        <v>0.13021391966937404</v>
      </c>
      <c r="M68" s="549">
        <f t="shared" si="21"/>
        <v>1.8871582560778845E-2</v>
      </c>
      <c r="AB68" s="431">
        <f t="shared" si="26"/>
        <v>5.5999999999999961</v>
      </c>
      <c r="AC68" s="436">
        <f t="shared" si="12"/>
        <v>3.6978637164829455E-3</v>
      </c>
    </row>
    <row r="69" spans="1:29" x14ac:dyDescent="0.2">
      <c r="A69" s="544">
        <f t="shared" si="22"/>
        <v>2072</v>
      </c>
      <c r="B69" s="555">
        <f t="shared" si="23"/>
        <v>1.2</v>
      </c>
      <c r="C69" s="546">
        <f t="shared" si="14"/>
        <v>1.8329247211639352E-2</v>
      </c>
      <c r="D69" s="549">
        <f t="shared" si="15"/>
        <v>1.5274372676366128E-2</v>
      </c>
      <c r="E69" s="545">
        <f t="shared" si="24"/>
        <v>4</v>
      </c>
      <c r="F69" s="546">
        <f t="shared" si="16"/>
        <v>6.1097490705464517E-2</v>
      </c>
      <c r="G69" s="547">
        <f t="shared" si="17"/>
        <v>1.5274372676366129E-2</v>
      </c>
      <c r="H69" s="557">
        <f t="shared" si="25"/>
        <v>1.7000000000000004</v>
      </c>
      <c r="I69" s="546">
        <f t="shared" si="18"/>
        <v>2.5966433549822421E-2</v>
      </c>
      <c r="J69" s="549">
        <f t="shared" si="19"/>
        <v>1.5274372676366126E-2</v>
      </c>
      <c r="K69" s="548">
        <f t="shared" si="20"/>
        <v>6.9</v>
      </c>
      <c r="L69" s="546">
        <f>'global path'!C59</f>
        <v>0.10539317146692628</v>
      </c>
      <c r="M69" s="549">
        <f t="shared" si="21"/>
        <v>1.5274372676366128E-2</v>
      </c>
      <c r="AB69" s="431">
        <f t="shared" si="26"/>
        <v>5.6999999999999957</v>
      </c>
      <c r="AC69" s="436">
        <f t="shared" si="12"/>
        <v>3.3459654574712872E-3</v>
      </c>
    </row>
    <row r="70" spans="1:29" x14ac:dyDescent="0.2">
      <c r="A70" s="544">
        <f t="shared" si="22"/>
        <v>2073</v>
      </c>
      <c r="B70" s="555">
        <f t="shared" si="23"/>
        <v>1.2</v>
      </c>
      <c r="C70" s="546">
        <f t="shared" si="14"/>
        <v>1.4775275294181562E-2</v>
      </c>
      <c r="D70" s="549">
        <f t="shared" si="15"/>
        <v>1.2312729411817968E-2</v>
      </c>
      <c r="E70" s="545">
        <f t="shared" si="24"/>
        <v>4</v>
      </c>
      <c r="F70" s="546">
        <f t="shared" si="16"/>
        <v>4.9250917647271873E-2</v>
      </c>
      <c r="G70" s="547">
        <f t="shared" si="17"/>
        <v>1.2312729411817968E-2</v>
      </c>
      <c r="H70" s="557">
        <f t="shared" si="25"/>
        <v>1.7000000000000004</v>
      </c>
      <c r="I70" s="546">
        <f t="shared" si="18"/>
        <v>2.093164000009055E-2</v>
      </c>
      <c r="J70" s="549">
        <f t="shared" si="19"/>
        <v>1.2312729411817968E-2</v>
      </c>
      <c r="K70" s="548">
        <f t="shared" si="20"/>
        <v>6.9</v>
      </c>
      <c r="L70" s="546">
        <f>'global path'!C60</f>
        <v>8.4957832941543979E-2</v>
      </c>
      <c r="M70" s="549">
        <f t="shared" si="21"/>
        <v>1.2312729411817967E-2</v>
      </c>
      <c r="AB70" s="431">
        <f t="shared" si="26"/>
        <v>5.7999999999999954</v>
      </c>
      <c r="AC70" s="436">
        <f t="shared" si="12"/>
        <v>3.0275547453758288E-3</v>
      </c>
    </row>
    <row r="71" spans="1:29" x14ac:dyDescent="0.2">
      <c r="A71" s="544">
        <f t="shared" si="22"/>
        <v>2074</v>
      </c>
      <c r="B71" s="555">
        <f t="shared" si="23"/>
        <v>1.2</v>
      </c>
      <c r="C71" s="546">
        <f t="shared" si="14"/>
        <v>1.1221303376723769E-2</v>
      </c>
      <c r="D71" s="549">
        <f t="shared" si="15"/>
        <v>9.3510861472698072E-3</v>
      </c>
      <c r="E71" s="545">
        <f t="shared" si="24"/>
        <v>4</v>
      </c>
      <c r="F71" s="546">
        <f t="shared" si="16"/>
        <v>3.7404344589079236E-2</v>
      </c>
      <c r="G71" s="547">
        <f t="shared" si="17"/>
        <v>9.351086147269809E-3</v>
      </c>
      <c r="H71" s="557">
        <f t="shared" si="25"/>
        <v>1.7000000000000004</v>
      </c>
      <c r="I71" s="546">
        <f t="shared" si="18"/>
        <v>1.5896846450358677E-2</v>
      </c>
      <c r="J71" s="549">
        <f t="shared" si="19"/>
        <v>9.3510861472698072E-3</v>
      </c>
      <c r="K71" s="548">
        <f t="shared" si="20"/>
        <v>6.9</v>
      </c>
      <c r="L71" s="546">
        <f>'global path'!C61</f>
        <v>6.4522494416161674E-2</v>
      </c>
      <c r="M71" s="549">
        <f t="shared" si="21"/>
        <v>9.3510861472698072E-3</v>
      </c>
      <c r="AB71" s="431">
        <f t="shared" si="26"/>
        <v>5.899999999999995</v>
      </c>
      <c r="AC71" s="436">
        <f t="shared" si="12"/>
        <v>2.7394448187683827E-3</v>
      </c>
    </row>
    <row r="72" spans="1:29" x14ac:dyDescent="0.2">
      <c r="A72" s="544">
        <f t="shared" si="22"/>
        <v>2075</v>
      </c>
      <c r="B72" s="555">
        <f t="shared" si="23"/>
        <v>1.2</v>
      </c>
      <c r="C72" s="546">
        <f t="shared" si="14"/>
        <v>7.6673314592659771E-3</v>
      </c>
      <c r="D72" s="549">
        <f t="shared" si="15"/>
        <v>6.3894428827216479E-3</v>
      </c>
      <c r="E72" s="545">
        <f t="shared" si="24"/>
        <v>4</v>
      </c>
      <c r="F72" s="546">
        <f t="shared" si="16"/>
        <v>2.5557771530886592E-2</v>
      </c>
      <c r="G72" s="547">
        <f t="shared" si="17"/>
        <v>6.3894428827216479E-3</v>
      </c>
      <c r="H72" s="557">
        <f t="shared" si="25"/>
        <v>1.7000000000000004</v>
      </c>
      <c r="I72" s="546">
        <f t="shared" si="18"/>
        <v>1.0862052900626803E-2</v>
      </c>
      <c r="J72" s="549">
        <f t="shared" si="19"/>
        <v>6.389442882721647E-3</v>
      </c>
      <c r="K72" s="548">
        <f t="shared" si="20"/>
        <v>6.9</v>
      </c>
      <c r="L72" s="546">
        <f>'global path'!C62</f>
        <v>4.408715589077937E-2</v>
      </c>
      <c r="M72" s="549">
        <f t="shared" si="21"/>
        <v>6.3894428827216479E-3</v>
      </c>
      <c r="AB72" s="431">
        <f t="shared" si="26"/>
        <v>5.9999999999999947</v>
      </c>
      <c r="AC72" s="436">
        <f t="shared" si="12"/>
        <v>2.4787521766663715E-3</v>
      </c>
    </row>
    <row r="73" spans="1:29" x14ac:dyDescent="0.2">
      <c r="A73" s="544">
        <f t="shared" si="22"/>
        <v>2076</v>
      </c>
      <c r="B73" s="555">
        <f t="shared" si="23"/>
        <v>1.2</v>
      </c>
      <c r="C73" s="546">
        <f t="shared" si="14"/>
        <v>4.1133595418081856E-3</v>
      </c>
      <c r="D73" s="549">
        <f t="shared" si="15"/>
        <v>3.4277996181734881E-3</v>
      </c>
      <c r="E73" s="545">
        <f t="shared" si="24"/>
        <v>4</v>
      </c>
      <c r="F73" s="546">
        <f t="shared" si="16"/>
        <v>1.3711198472693951E-2</v>
      </c>
      <c r="G73" s="547">
        <f t="shared" si="17"/>
        <v>3.4277996181734877E-3</v>
      </c>
      <c r="H73" s="557">
        <f t="shared" si="25"/>
        <v>1.7000000000000004</v>
      </c>
      <c r="I73" s="546">
        <f t="shared" si="18"/>
        <v>5.8272593508949299E-3</v>
      </c>
      <c r="J73" s="549">
        <f t="shared" si="19"/>
        <v>3.4277996181734873E-3</v>
      </c>
      <c r="K73" s="548">
        <f t="shared" si="20"/>
        <v>6.9</v>
      </c>
      <c r="L73" s="546">
        <f>'global path'!C63</f>
        <v>2.3651817365397065E-2</v>
      </c>
      <c r="M73" s="549">
        <f t="shared" si="21"/>
        <v>3.4277996181734877E-3</v>
      </c>
      <c r="AB73" s="431">
        <f t="shared" si="26"/>
        <v>6.0999999999999943</v>
      </c>
      <c r="AC73" s="436">
        <f t="shared" si="12"/>
        <v>2.2428677194858151E-3</v>
      </c>
    </row>
    <row r="74" spans="1:29" x14ac:dyDescent="0.2">
      <c r="A74" s="544">
        <f t="shared" si="22"/>
        <v>2077</v>
      </c>
      <c r="B74" s="555">
        <f t="shared" si="23"/>
        <v>1.2</v>
      </c>
      <c r="C74" s="546">
        <f t="shared" si="14"/>
        <v>5.5938762435039317E-4</v>
      </c>
      <c r="D74" s="549">
        <f t="shared" si="15"/>
        <v>4.6615635362532766E-4</v>
      </c>
      <c r="E74" s="545">
        <f t="shared" si="24"/>
        <v>4</v>
      </c>
      <c r="F74" s="546">
        <f t="shared" si="16"/>
        <v>1.8646254145013108E-3</v>
      </c>
      <c r="G74" s="547">
        <f t="shared" si="17"/>
        <v>4.6615635362532771E-4</v>
      </c>
      <c r="H74" s="557">
        <f t="shared" si="25"/>
        <v>1.7000000000000004</v>
      </c>
      <c r="I74" s="546">
        <f t="shared" si="18"/>
        <v>7.9246580116305713E-4</v>
      </c>
      <c r="J74" s="549">
        <f t="shared" si="19"/>
        <v>4.661563536253276E-4</v>
      </c>
      <c r="K74" s="548">
        <f t="shared" si="20"/>
        <v>6.9</v>
      </c>
      <c r="L74" s="546">
        <f>'global path'!C64</f>
        <v>3.2164788400147609E-3</v>
      </c>
      <c r="M74" s="549">
        <f t="shared" si="21"/>
        <v>4.6615635362532766E-4</v>
      </c>
      <c r="AB74" s="431">
        <f t="shared" si="26"/>
        <v>6.199999999999994</v>
      </c>
      <c r="AC74" s="436">
        <f t="shared" si="12"/>
        <v>2.0294306362957466E-3</v>
      </c>
    </row>
    <row r="75" spans="1:29" x14ac:dyDescent="0.2">
      <c r="A75" s="544">
        <f t="shared" si="22"/>
        <v>2078</v>
      </c>
      <c r="B75" s="555">
        <f t="shared" si="23"/>
        <v>1.2</v>
      </c>
      <c r="C75" s="546">
        <f t="shared" si="14"/>
        <v>0</v>
      </c>
      <c r="D75" s="549">
        <f t="shared" si="15"/>
        <v>0</v>
      </c>
      <c r="E75" s="545">
        <f t="shared" si="24"/>
        <v>4</v>
      </c>
      <c r="F75" s="546">
        <f t="shared" si="16"/>
        <v>0</v>
      </c>
      <c r="G75" s="547">
        <f t="shared" si="17"/>
        <v>0</v>
      </c>
      <c r="H75" s="557">
        <f t="shared" si="25"/>
        <v>1.7000000000000004</v>
      </c>
      <c r="I75" s="546">
        <f t="shared" si="18"/>
        <v>0</v>
      </c>
      <c r="J75" s="549">
        <f t="shared" si="19"/>
        <v>0</v>
      </c>
      <c r="K75" s="548">
        <f t="shared" si="20"/>
        <v>6.9</v>
      </c>
      <c r="L75" s="546">
        <f>'global path'!C65</f>
        <v>0</v>
      </c>
      <c r="M75" s="549">
        <f t="shared" si="21"/>
        <v>0</v>
      </c>
      <c r="AB75" s="431">
        <f t="shared" si="26"/>
        <v>6.2999999999999936</v>
      </c>
      <c r="AC75" s="436">
        <f t="shared" si="12"/>
        <v>1.8363047770289186E-3</v>
      </c>
    </row>
    <row r="76" spans="1:29" x14ac:dyDescent="0.2">
      <c r="A76" s="544">
        <f t="shared" si="22"/>
        <v>2079</v>
      </c>
      <c r="B76" s="555">
        <f t="shared" si="23"/>
        <v>1.2</v>
      </c>
      <c r="C76" s="546">
        <f t="shared" si="14"/>
        <v>0</v>
      </c>
      <c r="D76" s="549">
        <f t="shared" si="15"/>
        <v>0</v>
      </c>
      <c r="E76" s="545">
        <f t="shared" si="24"/>
        <v>4</v>
      </c>
      <c r="F76" s="546">
        <f t="shared" si="16"/>
        <v>0</v>
      </c>
      <c r="G76" s="547">
        <f t="shared" si="17"/>
        <v>0</v>
      </c>
      <c r="H76" s="557">
        <f t="shared" si="25"/>
        <v>1.7000000000000004</v>
      </c>
      <c r="I76" s="546">
        <f t="shared" si="18"/>
        <v>0</v>
      </c>
      <c r="J76" s="549">
        <f t="shared" si="19"/>
        <v>0</v>
      </c>
      <c r="K76" s="548">
        <f t="shared" si="20"/>
        <v>6.9</v>
      </c>
      <c r="L76" s="546">
        <f>'global path'!C66</f>
        <v>0</v>
      </c>
      <c r="M76" s="549">
        <f t="shared" si="21"/>
        <v>0</v>
      </c>
      <c r="AB76" s="431">
        <f t="shared" si="26"/>
        <v>6.3999999999999932</v>
      </c>
      <c r="AC76" s="436">
        <f t="shared" si="12"/>
        <v>1.6615572731739456E-3</v>
      </c>
    </row>
    <row r="77" spans="1:29" x14ac:dyDescent="0.2">
      <c r="A77" s="544">
        <f t="shared" si="22"/>
        <v>2080</v>
      </c>
      <c r="B77" s="555">
        <f t="shared" si="23"/>
        <v>1.2</v>
      </c>
      <c r="C77" s="546">
        <f t="shared" si="14"/>
        <v>0</v>
      </c>
      <c r="D77" s="549">
        <f t="shared" si="15"/>
        <v>0</v>
      </c>
      <c r="E77" s="545">
        <f t="shared" si="24"/>
        <v>4</v>
      </c>
      <c r="F77" s="546">
        <f t="shared" si="16"/>
        <v>0</v>
      </c>
      <c r="G77" s="547">
        <f t="shared" si="17"/>
        <v>0</v>
      </c>
      <c r="H77" s="557">
        <f t="shared" si="25"/>
        <v>1.7000000000000004</v>
      </c>
      <c r="I77" s="546">
        <f t="shared" si="18"/>
        <v>0</v>
      </c>
      <c r="J77" s="549">
        <f t="shared" si="19"/>
        <v>0</v>
      </c>
      <c r="K77" s="548">
        <f t="shared" si="20"/>
        <v>6.9</v>
      </c>
      <c r="L77" s="546">
        <f>'global path'!C67</f>
        <v>0</v>
      </c>
      <c r="M77" s="549">
        <f t="shared" si="21"/>
        <v>0</v>
      </c>
      <c r="AB77" s="431">
        <f t="shared" si="26"/>
        <v>6.4999999999999929</v>
      </c>
      <c r="AC77" s="436">
        <f t="shared" si="12"/>
        <v>1.5034391929775832E-3</v>
      </c>
    </row>
    <row r="78" spans="1:29" x14ac:dyDescent="0.2">
      <c r="A78" s="544">
        <f t="shared" si="22"/>
        <v>2081</v>
      </c>
      <c r="B78" s="555">
        <f t="shared" si="23"/>
        <v>1.2</v>
      </c>
      <c r="C78" s="546">
        <f t="shared" si="14"/>
        <v>0</v>
      </c>
      <c r="D78" s="549">
        <f t="shared" si="15"/>
        <v>0</v>
      </c>
      <c r="E78" s="545">
        <f t="shared" si="24"/>
        <v>4</v>
      </c>
      <c r="F78" s="546">
        <f t="shared" si="16"/>
        <v>0</v>
      </c>
      <c r="G78" s="547">
        <f t="shared" si="17"/>
        <v>0</v>
      </c>
      <c r="H78" s="557">
        <f t="shared" si="25"/>
        <v>1.7000000000000004</v>
      </c>
      <c r="I78" s="546">
        <f t="shared" si="18"/>
        <v>0</v>
      </c>
      <c r="J78" s="549">
        <f t="shared" si="19"/>
        <v>0</v>
      </c>
      <c r="K78" s="548">
        <f t="shared" si="20"/>
        <v>6.9</v>
      </c>
      <c r="L78" s="546">
        <f>'global path'!C68</f>
        <v>0</v>
      </c>
      <c r="M78" s="549">
        <f t="shared" si="21"/>
        <v>0</v>
      </c>
      <c r="AB78" s="431">
        <f t="shared" si="26"/>
        <v>6.5999999999999925</v>
      </c>
      <c r="AC78" s="436">
        <f>EXP(-AB78)</f>
        <v>1.3603680375479036E-3</v>
      </c>
    </row>
    <row r="79" spans="1:29" x14ac:dyDescent="0.2">
      <c r="A79" s="544">
        <f t="shared" si="22"/>
        <v>2082</v>
      </c>
      <c r="B79" s="555">
        <f t="shared" si="23"/>
        <v>1.2</v>
      </c>
      <c r="C79" s="546">
        <f t="shared" si="14"/>
        <v>0</v>
      </c>
      <c r="D79" s="549">
        <f t="shared" si="15"/>
        <v>0</v>
      </c>
      <c r="E79" s="545">
        <f t="shared" si="24"/>
        <v>4</v>
      </c>
      <c r="F79" s="546">
        <f t="shared" si="16"/>
        <v>0</v>
      </c>
      <c r="G79" s="547">
        <f t="shared" si="17"/>
        <v>0</v>
      </c>
      <c r="H79" s="557">
        <f t="shared" si="25"/>
        <v>1.7000000000000004</v>
      </c>
      <c r="I79" s="546">
        <f t="shared" si="18"/>
        <v>0</v>
      </c>
      <c r="J79" s="549">
        <f t="shared" si="19"/>
        <v>0</v>
      </c>
      <c r="K79" s="548">
        <f t="shared" si="20"/>
        <v>6.9</v>
      </c>
      <c r="L79" s="546">
        <f>'global path'!C69</f>
        <v>0</v>
      </c>
      <c r="M79" s="549">
        <f t="shared" si="21"/>
        <v>0</v>
      </c>
      <c r="AB79" s="431">
        <f t="shared" si="26"/>
        <v>6.6999999999999922</v>
      </c>
      <c r="AC79" s="436">
        <f>EXP(-AB79)</f>
        <v>1.2309119026734908E-3</v>
      </c>
    </row>
    <row r="80" spans="1:29" x14ac:dyDescent="0.2">
      <c r="A80" s="544">
        <f t="shared" si="22"/>
        <v>2083</v>
      </c>
      <c r="B80" s="555">
        <f t="shared" si="23"/>
        <v>1.2</v>
      </c>
      <c r="C80" s="546">
        <f t="shared" si="14"/>
        <v>0</v>
      </c>
      <c r="D80" s="549">
        <f t="shared" si="15"/>
        <v>0</v>
      </c>
      <c r="E80" s="545">
        <f t="shared" si="24"/>
        <v>4</v>
      </c>
      <c r="F80" s="546">
        <f t="shared" si="16"/>
        <v>0</v>
      </c>
      <c r="G80" s="547">
        <f t="shared" si="17"/>
        <v>0</v>
      </c>
      <c r="H80" s="557">
        <f t="shared" si="25"/>
        <v>1.7000000000000004</v>
      </c>
      <c r="I80" s="546">
        <f t="shared" si="18"/>
        <v>0</v>
      </c>
      <c r="J80" s="549">
        <f t="shared" si="19"/>
        <v>0</v>
      </c>
      <c r="K80" s="548">
        <f t="shared" si="20"/>
        <v>6.9</v>
      </c>
      <c r="L80" s="546">
        <f>'global path'!C70</f>
        <v>0</v>
      </c>
      <c r="M80" s="549">
        <f t="shared" si="21"/>
        <v>0</v>
      </c>
      <c r="AB80" s="432">
        <f t="shared" si="26"/>
        <v>6.7999999999999918</v>
      </c>
      <c r="AC80" s="437">
        <f>EXP(-AB80)</f>
        <v>1.1137751478448121E-3</v>
      </c>
    </row>
    <row r="81" spans="1:13" x14ac:dyDescent="0.2">
      <c r="A81" s="544">
        <f t="shared" si="22"/>
        <v>2084</v>
      </c>
      <c r="B81" s="555">
        <f t="shared" si="23"/>
        <v>1.2</v>
      </c>
      <c r="C81" s="546">
        <f t="shared" si="14"/>
        <v>0</v>
      </c>
      <c r="D81" s="549">
        <f t="shared" si="15"/>
        <v>0</v>
      </c>
      <c r="E81" s="545">
        <f t="shared" si="24"/>
        <v>4</v>
      </c>
      <c r="F81" s="546">
        <f t="shared" si="16"/>
        <v>0</v>
      </c>
      <c r="G81" s="547">
        <f t="shared" si="17"/>
        <v>0</v>
      </c>
      <c r="H81" s="557">
        <f t="shared" si="25"/>
        <v>1.7000000000000004</v>
      </c>
      <c r="I81" s="546">
        <f t="shared" si="18"/>
        <v>0</v>
      </c>
      <c r="J81" s="549">
        <f t="shared" si="19"/>
        <v>0</v>
      </c>
      <c r="K81" s="548">
        <f t="shared" si="20"/>
        <v>6.9</v>
      </c>
      <c r="L81" s="546">
        <f>'global path'!C71</f>
        <v>0</v>
      </c>
      <c r="M81" s="549">
        <f t="shared" si="21"/>
        <v>0</v>
      </c>
    </row>
    <row r="82" spans="1:13" x14ac:dyDescent="0.2">
      <c r="A82" s="544">
        <f t="shared" si="22"/>
        <v>2085</v>
      </c>
      <c r="B82" s="555">
        <f t="shared" si="23"/>
        <v>1.2</v>
      </c>
      <c r="C82" s="546">
        <f t="shared" si="14"/>
        <v>0</v>
      </c>
      <c r="D82" s="549">
        <f t="shared" si="15"/>
        <v>0</v>
      </c>
      <c r="E82" s="545">
        <f t="shared" si="24"/>
        <v>4</v>
      </c>
      <c r="F82" s="546">
        <f t="shared" si="16"/>
        <v>0</v>
      </c>
      <c r="G82" s="547">
        <f t="shared" si="17"/>
        <v>0</v>
      </c>
      <c r="H82" s="557">
        <f t="shared" si="25"/>
        <v>1.7000000000000004</v>
      </c>
      <c r="I82" s="546">
        <f t="shared" si="18"/>
        <v>0</v>
      </c>
      <c r="J82" s="549">
        <f t="shared" si="19"/>
        <v>0</v>
      </c>
      <c r="K82" s="548">
        <f t="shared" si="20"/>
        <v>6.9</v>
      </c>
      <c r="L82" s="546">
        <f>'global path'!C72</f>
        <v>0</v>
      </c>
      <c r="M82" s="549">
        <f t="shared" si="21"/>
        <v>0</v>
      </c>
    </row>
    <row r="83" spans="1:13" x14ac:dyDescent="0.2">
      <c r="A83" s="544">
        <f t="shared" si="22"/>
        <v>2086</v>
      </c>
      <c r="B83" s="555">
        <f t="shared" si="23"/>
        <v>1.2</v>
      </c>
      <c r="C83" s="546">
        <f t="shared" si="14"/>
        <v>0</v>
      </c>
      <c r="D83" s="549">
        <f t="shared" si="15"/>
        <v>0</v>
      </c>
      <c r="E83" s="545">
        <f t="shared" si="24"/>
        <v>4</v>
      </c>
      <c r="F83" s="546">
        <f t="shared" si="16"/>
        <v>0</v>
      </c>
      <c r="G83" s="547">
        <f t="shared" si="17"/>
        <v>0</v>
      </c>
      <c r="H83" s="557">
        <f t="shared" si="25"/>
        <v>1.7000000000000004</v>
      </c>
      <c r="I83" s="546">
        <f t="shared" si="18"/>
        <v>0</v>
      </c>
      <c r="J83" s="549">
        <f t="shared" si="19"/>
        <v>0</v>
      </c>
      <c r="K83" s="548">
        <f t="shared" si="20"/>
        <v>6.9</v>
      </c>
      <c r="L83" s="546">
        <f>'global path'!C73</f>
        <v>0</v>
      </c>
      <c r="M83" s="549">
        <f t="shared" si="21"/>
        <v>0</v>
      </c>
    </row>
    <row r="84" spans="1:13" x14ac:dyDescent="0.2">
      <c r="A84" s="544">
        <f t="shared" si="22"/>
        <v>2087</v>
      </c>
      <c r="B84" s="555">
        <f t="shared" si="23"/>
        <v>1.2</v>
      </c>
      <c r="C84" s="546">
        <f t="shared" si="14"/>
        <v>0</v>
      </c>
      <c r="D84" s="549">
        <f t="shared" si="15"/>
        <v>0</v>
      </c>
      <c r="E84" s="545">
        <f t="shared" si="24"/>
        <v>4</v>
      </c>
      <c r="F84" s="546">
        <f t="shared" si="16"/>
        <v>0</v>
      </c>
      <c r="G84" s="547">
        <f t="shared" si="17"/>
        <v>0</v>
      </c>
      <c r="H84" s="557">
        <f t="shared" si="25"/>
        <v>1.7000000000000004</v>
      </c>
      <c r="I84" s="546">
        <f t="shared" si="18"/>
        <v>0</v>
      </c>
      <c r="J84" s="549">
        <f t="shared" si="19"/>
        <v>0</v>
      </c>
      <c r="K84" s="548">
        <f t="shared" si="20"/>
        <v>6.9</v>
      </c>
      <c r="L84" s="546">
        <f>'global path'!C74</f>
        <v>0</v>
      </c>
      <c r="M84" s="549">
        <f t="shared" si="21"/>
        <v>0</v>
      </c>
    </row>
    <row r="85" spans="1:13" x14ac:dyDescent="0.2">
      <c r="A85" s="544">
        <f t="shared" si="22"/>
        <v>2088</v>
      </c>
      <c r="B85" s="555">
        <f t="shared" si="23"/>
        <v>1.2</v>
      </c>
      <c r="C85" s="546">
        <f t="shared" si="14"/>
        <v>0</v>
      </c>
      <c r="D85" s="549">
        <f t="shared" si="15"/>
        <v>0</v>
      </c>
      <c r="E85" s="545">
        <f t="shared" si="24"/>
        <v>4</v>
      </c>
      <c r="F85" s="546">
        <f t="shared" si="16"/>
        <v>0</v>
      </c>
      <c r="G85" s="547">
        <f t="shared" si="17"/>
        <v>0</v>
      </c>
      <c r="H85" s="557">
        <f t="shared" si="25"/>
        <v>1.7000000000000004</v>
      </c>
      <c r="I85" s="546">
        <f t="shared" si="18"/>
        <v>0</v>
      </c>
      <c r="J85" s="549">
        <f t="shared" si="19"/>
        <v>0</v>
      </c>
      <c r="K85" s="548">
        <f t="shared" si="20"/>
        <v>6.9</v>
      </c>
      <c r="L85" s="546">
        <f>'global path'!C75</f>
        <v>0</v>
      </c>
      <c r="M85" s="549">
        <f t="shared" si="21"/>
        <v>0</v>
      </c>
    </row>
    <row r="86" spans="1:13" x14ac:dyDescent="0.2">
      <c r="A86" s="544">
        <f t="shared" si="22"/>
        <v>2089</v>
      </c>
      <c r="B86" s="555">
        <f t="shared" si="23"/>
        <v>1.2</v>
      </c>
      <c r="C86" s="546">
        <f t="shared" si="14"/>
        <v>0</v>
      </c>
      <c r="D86" s="549">
        <f t="shared" si="15"/>
        <v>0</v>
      </c>
      <c r="E86" s="545">
        <f t="shared" si="24"/>
        <v>4</v>
      </c>
      <c r="F86" s="546">
        <f t="shared" si="16"/>
        <v>0</v>
      </c>
      <c r="G86" s="547">
        <f t="shared" si="17"/>
        <v>0</v>
      </c>
      <c r="H86" s="557">
        <f t="shared" si="25"/>
        <v>1.7000000000000004</v>
      </c>
      <c r="I86" s="546">
        <f t="shared" si="18"/>
        <v>0</v>
      </c>
      <c r="J86" s="549">
        <f t="shared" si="19"/>
        <v>0</v>
      </c>
      <c r="K86" s="548">
        <f t="shared" si="20"/>
        <v>6.9</v>
      </c>
      <c r="L86" s="546">
        <f>'global path'!C76</f>
        <v>0</v>
      </c>
      <c r="M86" s="549">
        <f t="shared" si="21"/>
        <v>0</v>
      </c>
    </row>
    <row r="87" spans="1:13" x14ac:dyDescent="0.2">
      <c r="A87" s="544">
        <f t="shared" si="22"/>
        <v>2090</v>
      </c>
      <c r="B87" s="555">
        <f t="shared" si="23"/>
        <v>1.2</v>
      </c>
      <c r="C87" s="546">
        <f t="shared" si="14"/>
        <v>0</v>
      </c>
      <c r="D87" s="549">
        <f t="shared" si="15"/>
        <v>0</v>
      </c>
      <c r="E87" s="545">
        <f t="shared" si="24"/>
        <v>4</v>
      </c>
      <c r="F87" s="546">
        <f t="shared" si="16"/>
        <v>0</v>
      </c>
      <c r="G87" s="547">
        <f t="shared" si="17"/>
        <v>0</v>
      </c>
      <c r="H87" s="557">
        <f t="shared" si="25"/>
        <v>1.7000000000000004</v>
      </c>
      <c r="I87" s="546">
        <f t="shared" si="18"/>
        <v>0</v>
      </c>
      <c r="J87" s="549">
        <f t="shared" si="19"/>
        <v>0</v>
      </c>
      <c r="K87" s="548">
        <f t="shared" si="20"/>
        <v>6.9</v>
      </c>
      <c r="L87" s="546">
        <f>'global path'!C77</f>
        <v>0</v>
      </c>
      <c r="M87" s="549">
        <f t="shared" si="21"/>
        <v>0</v>
      </c>
    </row>
    <row r="88" spans="1:13" x14ac:dyDescent="0.2">
      <c r="A88" s="544">
        <f t="shared" si="22"/>
        <v>2091</v>
      </c>
      <c r="B88" s="555">
        <f t="shared" si="23"/>
        <v>1.2</v>
      </c>
      <c r="C88" s="546">
        <f t="shared" si="14"/>
        <v>0</v>
      </c>
      <c r="D88" s="549">
        <f t="shared" si="15"/>
        <v>0</v>
      </c>
      <c r="E88" s="545">
        <f t="shared" si="24"/>
        <v>4</v>
      </c>
      <c r="F88" s="546">
        <f t="shared" si="16"/>
        <v>0</v>
      </c>
      <c r="G88" s="547">
        <f t="shared" si="17"/>
        <v>0</v>
      </c>
      <c r="H88" s="557">
        <f t="shared" si="25"/>
        <v>1.7000000000000004</v>
      </c>
      <c r="I88" s="546">
        <f t="shared" si="18"/>
        <v>0</v>
      </c>
      <c r="J88" s="549">
        <f t="shared" si="19"/>
        <v>0</v>
      </c>
      <c r="K88" s="548">
        <f t="shared" si="20"/>
        <v>6.9</v>
      </c>
      <c r="L88" s="546">
        <f>'global path'!C78</f>
        <v>0</v>
      </c>
      <c r="M88" s="549">
        <f t="shared" si="21"/>
        <v>0</v>
      </c>
    </row>
    <row r="89" spans="1:13" x14ac:dyDescent="0.2">
      <c r="A89" s="544">
        <f t="shared" si="22"/>
        <v>2092</v>
      </c>
      <c r="B89" s="555">
        <f t="shared" si="23"/>
        <v>1.2</v>
      </c>
      <c r="C89" s="546">
        <f t="shared" si="14"/>
        <v>0</v>
      </c>
      <c r="D89" s="549">
        <f t="shared" si="15"/>
        <v>0</v>
      </c>
      <c r="E89" s="545">
        <f t="shared" si="24"/>
        <v>4</v>
      </c>
      <c r="F89" s="546">
        <f t="shared" si="16"/>
        <v>0</v>
      </c>
      <c r="G89" s="547">
        <f t="shared" si="17"/>
        <v>0</v>
      </c>
      <c r="H89" s="557">
        <f t="shared" si="25"/>
        <v>1.7000000000000004</v>
      </c>
      <c r="I89" s="546">
        <f t="shared" si="18"/>
        <v>0</v>
      </c>
      <c r="J89" s="549">
        <f t="shared" si="19"/>
        <v>0</v>
      </c>
      <c r="K89" s="548">
        <f t="shared" si="20"/>
        <v>6.9</v>
      </c>
      <c r="L89" s="546">
        <f>'global path'!C79</f>
        <v>0</v>
      </c>
      <c r="M89" s="549">
        <f t="shared" si="21"/>
        <v>0</v>
      </c>
    </row>
    <row r="90" spans="1:13" x14ac:dyDescent="0.2">
      <c r="A90" s="544">
        <f t="shared" si="22"/>
        <v>2093</v>
      </c>
      <c r="B90" s="555">
        <f t="shared" si="23"/>
        <v>1.2</v>
      </c>
      <c r="C90" s="546">
        <f t="shared" si="14"/>
        <v>0</v>
      </c>
      <c r="D90" s="549">
        <f t="shared" si="15"/>
        <v>0</v>
      </c>
      <c r="E90" s="545">
        <f t="shared" si="24"/>
        <v>4</v>
      </c>
      <c r="F90" s="546">
        <f t="shared" si="16"/>
        <v>0</v>
      </c>
      <c r="G90" s="547">
        <f t="shared" si="17"/>
        <v>0</v>
      </c>
      <c r="H90" s="557">
        <f t="shared" si="25"/>
        <v>1.7000000000000004</v>
      </c>
      <c r="I90" s="546">
        <f t="shared" si="18"/>
        <v>0</v>
      </c>
      <c r="J90" s="549">
        <f t="shared" si="19"/>
        <v>0</v>
      </c>
      <c r="K90" s="548">
        <f t="shared" si="20"/>
        <v>6.9</v>
      </c>
      <c r="L90" s="546">
        <f>'global path'!C80</f>
        <v>0</v>
      </c>
      <c r="M90" s="549">
        <f t="shared" si="21"/>
        <v>0</v>
      </c>
    </row>
    <row r="91" spans="1:13" x14ac:dyDescent="0.2">
      <c r="A91" s="544">
        <f t="shared" si="22"/>
        <v>2094</v>
      </c>
      <c r="B91" s="555">
        <f t="shared" si="23"/>
        <v>1.2</v>
      </c>
      <c r="C91" s="546">
        <f t="shared" si="14"/>
        <v>0</v>
      </c>
      <c r="D91" s="549">
        <f t="shared" si="15"/>
        <v>0</v>
      </c>
      <c r="E91" s="545">
        <f t="shared" si="24"/>
        <v>4</v>
      </c>
      <c r="F91" s="546">
        <f t="shared" si="16"/>
        <v>0</v>
      </c>
      <c r="G91" s="547">
        <f t="shared" si="17"/>
        <v>0</v>
      </c>
      <c r="H91" s="557">
        <f t="shared" si="25"/>
        <v>1.7000000000000004</v>
      </c>
      <c r="I91" s="546">
        <f t="shared" si="18"/>
        <v>0</v>
      </c>
      <c r="J91" s="549">
        <f t="shared" si="19"/>
        <v>0</v>
      </c>
      <c r="K91" s="548">
        <f t="shared" si="20"/>
        <v>6.9</v>
      </c>
      <c r="L91" s="546">
        <f>'global path'!C81</f>
        <v>0</v>
      </c>
      <c r="M91" s="549">
        <f t="shared" si="21"/>
        <v>0</v>
      </c>
    </row>
    <row r="92" spans="1:13" x14ac:dyDescent="0.2">
      <c r="A92" s="544">
        <f t="shared" si="22"/>
        <v>2095</v>
      </c>
      <c r="B92" s="555">
        <f t="shared" si="23"/>
        <v>1.2</v>
      </c>
      <c r="C92" s="546">
        <f t="shared" si="14"/>
        <v>0</v>
      </c>
      <c r="D92" s="549">
        <f t="shared" si="15"/>
        <v>0</v>
      </c>
      <c r="E92" s="545">
        <f t="shared" si="24"/>
        <v>4</v>
      </c>
      <c r="F92" s="546">
        <f t="shared" si="16"/>
        <v>0</v>
      </c>
      <c r="G92" s="547">
        <f t="shared" si="17"/>
        <v>0</v>
      </c>
      <c r="H92" s="557">
        <f t="shared" si="25"/>
        <v>1.7000000000000004</v>
      </c>
      <c r="I92" s="546">
        <f t="shared" si="18"/>
        <v>0</v>
      </c>
      <c r="J92" s="549">
        <f t="shared" si="19"/>
        <v>0</v>
      </c>
      <c r="K92" s="548">
        <f t="shared" si="20"/>
        <v>6.9</v>
      </c>
      <c r="L92" s="546">
        <f>'global path'!C82</f>
        <v>0</v>
      </c>
      <c r="M92" s="549">
        <f t="shared" si="21"/>
        <v>0</v>
      </c>
    </row>
    <row r="93" spans="1:13" x14ac:dyDescent="0.2">
      <c r="A93" s="544">
        <f t="shared" si="22"/>
        <v>2096</v>
      </c>
      <c r="B93" s="555">
        <f t="shared" si="23"/>
        <v>1.2</v>
      </c>
      <c r="C93" s="546">
        <f t="shared" si="14"/>
        <v>0</v>
      </c>
      <c r="D93" s="549">
        <f t="shared" si="15"/>
        <v>0</v>
      </c>
      <c r="E93" s="545">
        <f t="shared" si="24"/>
        <v>4</v>
      </c>
      <c r="F93" s="546">
        <f t="shared" si="16"/>
        <v>0</v>
      </c>
      <c r="G93" s="547">
        <f t="shared" si="17"/>
        <v>0</v>
      </c>
      <c r="H93" s="557">
        <f t="shared" si="25"/>
        <v>1.7000000000000004</v>
      </c>
      <c r="I93" s="546">
        <f t="shared" si="18"/>
        <v>0</v>
      </c>
      <c r="J93" s="549">
        <f t="shared" si="19"/>
        <v>0</v>
      </c>
      <c r="K93" s="548">
        <f t="shared" si="20"/>
        <v>6.9</v>
      </c>
      <c r="L93" s="546">
        <f>'global path'!C83</f>
        <v>0</v>
      </c>
      <c r="M93" s="549">
        <f t="shared" si="21"/>
        <v>0</v>
      </c>
    </row>
    <row r="94" spans="1:13" x14ac:dyDescent="0.2">
      <c r="A94" s="544">
        <f t="shared" si="22"/>
        <v>2097</v>
      </c>
      <c r="B94" s="555">
        <f t="shared" si="23"/>
        <v>1.2</v>
      </c>
      <c r="C94" s="546">
        <f t="shared" si="14"/>
        <v>0</v>
      </c>
      <c r="D94" s="549">
        <f t="shared" si="15"/>
        <v>0</v>
      </c>
      <c r="E94" s="545">
        <f t="shared" si="24"/>
        <v>4</v>
      </c>
      <c r="F94" s="546">
        <f t="shared" si="16"/>
        <v>0</v>
      </c>
      <c r="G94" s="547">
        <f t="shared" si="17"/>
        <v>0</v>
      </c>
      <c r="H94" s="557">
        <f t="shared" si="25"/>
        <v>1.7000000000000004</v>
      </c>
      <c r="I94" s="546">
        <f t="shared" si="18"/>
        <v>0</v>
      </c>
      <c r="J94" s="549">
        <f t="shared" si="19"/>
        <v>0</v>
      </c>
      <c r="K94" s="548">
        <f t="shared" si="20"/>
        <v>6.9</v>
      </c>
      <c r="L94" s="546">
        <f>'global path'!C84</f>
        <v>0</v>
      </c>
      <c r="M94" s="549">
        <f t="shared" si="21"/>
        <v>0</v>
      </c>
    </row>
    <row r="95" spans="1:13" x14ac:dyDescent="0.2">
      <c r="A95" s="544">
        <f t="shared" si="22"/>
        <v>2098</v>
      </c>
      <c r="B95" s="555">
        <f t="shared" si="23"/>
        <v>1.2</v>
      </c>
      <c r="C95" s="546">
        <f t="shared" si="14"/>
        <v>0</v>
      </c>
      <c r="D95" s="549">
        <f t="shared" si="15"/>
        <v>0</v>
      </c>
      <c r="E95" s="545">
        <f t="shared" si="24"/>
        <v>4</v>
      </c>
      <c r="F95" s="546">
        <f t="shared" si="16"/>
        <v>0</v>
      </c>
      <c r="G95" s="547">
        <f t="shared" si="17"/>
        <v>0</v>
      </c>
      <c r="H95" s="557">
        <f t="shared" si="25"/>
        <v>1.7000000000000004</v>
      </c>
      <c r="I95" s="546">
        <f t="shared" si="18"/>
        <v>0</v>
      </c>
      <c r="J95" s="549">
        <f t="shared" si="19"/>
        <v>0</v>
      </c>
      <c r="K95" s="548">
        <f t="shared" si="20"/>
        <v>6.9</v>
      </c>
      <c r="L95" s="546">
        <f>'global path'!C85</f>
        <v>0</v>
      </c>
      <c r="M95" s="549">
        <f t="shared" si="21"/>
        <v>0</v>
      </c>
    </row>
    <row r="96" spans="1:13" x14ac:dyDescent="0.2">
      <c r="A96" s="544">
        <f t="shared" si="22"/>
        <v>2099</v>
      </c>
      <c r="B96" s="555">
        <f t="shared" si="23"/>
        <v>1.2</v>
      </c>
      <c r="C96" s="546">
        <f t="shared" si="14"/>
        <v>0</v>
      </c>
      <c r="D96" s="549">
        <f t="shared" si="15"/>
        <v>0</v>
      </c>
      <c r="E96" s="545">
        <f t="shared" si="24"/>
        <v>4</v>
      </c>
      <c r="F96" s="546">
        <f t="shared" si="16"/>
        <v>0</v>
      </c>
      <c r="G96" s="547">
        <f t="shared" si="17"/>
        <v>0</v>
      </c>
      <c r="H96" s="557">
        <f t="shared" si="25"/>
        <v>1.7000000000000004</v>
      </c>
      <c r="I96" s="546">
        <f t="shared" si="18"/>
        <v>0</v>
      </c>
      <c r="J96" s="549">
        <f t="shared" si="19"/>
        <v>0</v>
      </c>
      <c r="K96" s="548">
        <f t="shared" si="20"/>
        <v>6.9</v>
      </c>
      <c r="L96" s="546">
        <f>'global path'!C86</f>
        <v>0</v>
      </c>
      <c r="M96" s="549">
        <f t="shared" si="21"/>
        <v>0</v>
      </c>
    </row>
    <row r="97" spans="1:53" ht="13.5" thickBot="1" x14ac:dyDescent="0.25">
      <c r="A97" s="339">
        <f t="shared" si="22"/>
        <v>2100</v>
      </c>
      <c r="B97" s="556">
        <f t="shared" si="23"/>
        <v>1.2</v>
      </c>
      <c r="C97" s="551">
        <f t="shared" si="14"/>
        <v>0</v>
      </c>
      <c r="D97" s="554">
        <f t="shared" si="15"/>
        <v>0</v>
      </c>
      <c r="E97" s="550">
        <f t="shared" si="24"/>
        <v>4</v>
      </c>
      <c r="F97" s="551">
        <f t="shared" si="16"/>
        <v>0</v>
      </c>
      <c r="G97" s="552">
        <f t="shared" si="17"/>
        <v>0</v>
      </c>
      <c r="H97" s="558">
        <f t="shared" si="25"/>
        <v>1.7000000000000004</v>
      </c>
      <c r="I97" s="551">
        <f t="shared" si="18"/>
        <v>0</v>
      </c>
      <c r="J97" s="554">
        <f t="shared" si="19"/>
        <v>0</v>
      </c>
      <c r="K97" s="553">
        <f t="shared" si="20"/>
        <v>6.9</v>
      </c>
      <c r="L97" s="551">
        <f>'global path'!C87</f>
        <v>0</v>
      </c>
      <c r="M97" s="554">
        <f t="shared" si="21"/>
        <v>0</v>
      </c>
    </row>
    <row r="98" spans="1:53" ht="13.5" thickBot="1" x14ac:dyDescent="0.25">
      <c r="A98" s="143" t="s">
        <v>1</v>
      </c>
      <c r="B98" s="120"/>
      <c r="C98" s="121">
        <f>SUM(C48:C97)</f>
        <v>4.730879831791162</v>
      </c>
      <c r="D98" s="122"/>
      <c r="E98" s="120"/>
      <c r="F98" s="121">
        <f>SUM(F48:F97)</f>
        <v>15.769599439303878</v>
      </c>
      <c r="G98" s="122"/>
      <c r="H98" s="120"/>
      <c r="I98" s="121">
        <f>SUM(I48:I97)</f>
        <v>6.7020797617041437</v>
      </c>
      <c r="J98" s="122"/>
      <c r="K98" s="120"/>
      <c r="L98" s="121">
        <f>SUM(L48:L97)</f>
        <v>27.202559032799176</v>
      </c>
      <c r="M98" s="124"/>
    </row>
    <row r="99" spans="1:53" ht="13.5" thickBot="1" x14ac:dyDescent="0.25"/>
    <row r="100" spans="1:53" ht="13.5" thickBot="1" x14ac:dyDescent="0.25">
      <c r="A100" s="143" t="s">
        <v>1</v>
      </c>
      <c r="B100" s="144"/>
      <c r="C100" s="145">
        <f>C98+C43</f>
        <v>247.13531484852703</v>
      </c>
      <c r="D100" s="146"/>
      <c r="E100" s="144"/>
      <c r="F100" s="145">
        <f>F98+F43</f>
        <v>352.75744825313285</v>
      </c>
      <c r="G100" s="146"/>
      <c r="H100" s="144"/>
      <c r="I100" s="145">
        <f>I98+I43</f>
        <v>84.073442288982534</v>
      </c>
      <c r="J100" s="146"/>
      <c r="K100" s="144"/>
      <c r="L100" s="145">
        <f>L98+L43</f>
        <v>683.96620539064224</v>
      </c>
      <c r="M100" s="148"/>
    </row>
    <row r="102" spans="1:53" x14ac:dyDescent="0.2">
      <c r="J102" s="687" t="s">
        <v>41</v>
      </c>
      <c r="K102" s="688"/>
      <c r="L102" s="689">
        <f>'global path'!C88</f>
        <v>683.96620539064213</v>
      </c>
    </row>
    <row r="103" spans="1:53" x14ac:dyDescent="0.2">
      <c r="J103" s="690" t="s">
        <v>215</v>
      </c>
      <c r="K103" s="691"/>
      <c r="L103" s="692">
        <f>L100-L102</f>
        <v>0</v>
      </c>
    </row>
    <row r="104" spans="1:53" x14ac:dyDescent="0.2">
      <c r="A104" s="617" t="s">
        <v>41</v>
      </c>
      <c r="B104" s="634"/>
      <c r="C104" s="636">
        <f>'global path'!C2</f>
        <v>3</v>
      </c>
    </row>
    <row r="105" spans="1:53" x14ac:dyDescent="0.2">
      <c r="A105" s="655">
        <v>2</v>
      </c>
      <c r="B105" s="618"/>
      <c r="C105" s="684">
        <v>255.22874577056143</v>
      </c>
      <c r="D105" s="619"/>
      <c r="E105" s="619"/>
      <c r="F105" s="684">
        <v>349.81525521751695</v>
      </c>
      <c r="G105" s="619"/>
      <c r="H105" s="619"/>
      <c r="I105" s="684">
        <v>78.640222233110137</v>
      </c>
      <c r="J105" s="619"/>
      <c r="K105" s="619"/>
      <c r="L105" s="648">
        <f>SUM(C105:I105)</f>
        <v>683.6842232211884</v>
      </c>
      <c r="M105" s="617" t="s">
        <v>216</v>
      </c>
      <c r="N105" s="634"/>
    </row>
    <row r="106" spans="1:53" x14ac:dyDescent="0.2">
      <c r="A106" s="656">
        <v>1</v>
      </c>
      <c r="B106" s="11"/>
      <c r="C106" s="685">
        <v>229.76727745111626</v>
      </c>
      <c r="D106" s="621"/>
      <c r="E106" s="621"/>
      <c r="F106" s="685">
        <v>358.72783377581874</v>
      </c>
      <c r="G106" s="621"/>
      <c r="H106" s="621"/>
      <c r="I106" s="685">
        <v>95.538873369499271</v>
      </c>
      <c r="J106" s="621"/>
      <c r="K106" s="621"/>
      <c r="L106" s="649">
        <f>SUM(C106:I106)</f>
        <v>684.03398459643427</v>
      </c>
      <c r="M106" s="462" t="s">
        <v>216</v>
      </c>
      <c r="N106" s="97"/>
    </row>
    <row r="107" spans="1:53" x14ac:dyDescent="0.2">
      <c r="A107" s="656">
        <v>3</v>
      </c>
      <c r="B107" s="11"/>
      <c r="C107" s="685">
        <v>247.13531484852703</v>
      </c>
      <c r="D107" s="621"/>
      <c r="E107" s="621"/>
      <c r="F107" s="685">
        <v>352.75744825313285</v>
      </c>
      <c r="G107" s="621"/>
      <c r="H107" s="621"/>
      <c r="I107" s="685">
        <v>84.073442288982534</v>
      </c>
      <c r="J107" s="621"/>
      <c r="K107" s="621"/>
      <c r="L107" s="649">
        <f>SUM(C107:I107)</f>
        <v>683.96620539064236</v>
      </c>
      <c r="M107" s="462" t="s">
        <v>216</v>
      </c>
      <c r="N107" s="97"/>
    </row>
    <row r="108" spans="1:53" x14ac:dyDescent="0.2">
      <c r="A108" s="657">
        <v>6</v>
      </c>
      <c r="B108" s="35"/>
      <c r="C108" s="686">
        <v>247.22172582296673</v>
      </c>
      <c r="D108" s="624"/>
      <c r="E108" s="624"/>
      <c r="F108" s="686">
        <v>352.63723292884146</v>
      </c>
      <c r="G108" s="624"/>
      <c r="H108" s="624"/>
      <c r="I108" s="686">
        <v>83.965278106403829</v>
      </c>
      <c r="J108" s="624"/>
      <c r="K108" s="624"/>
      <c r="L108" s="695">
        <f>SUM(C108:I108)</f>
        <v>683.82423685821198</v>
      </c>
      <c r="M108" s="623" t="s">
        <v>216</v>
      </c>
      <c r="N108" s="60"/>
    </row>
    <row r="109" spans="1:53" ht="11.25" x14ac:dyDescent="0.2">
      <c r="A109" s="656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U109" s="3"/>
      <c r="AV109" s="3"/>
      <c r="AW109" s="3"/>
      <c r="AX109" s="3"/>
      <c r="AY109" s="3"/>
      <c r="AZ109" s="3"/>
      <c r="BA109" s="3"/>
    </row>
    <row r="110" spans="1:53" x14ac:dyDescent="0.2">
      <c r="A110" s="655">
        <v>2</v>
      </c>
      <c r="B110" s="618"/>
      <c r="C110" s="619">
        <f>$L110*'input data'!$C$11*$L$100+(1-$L110)*'input data'!$C$10*$L$100</f>
        <v>255.32123806618557</v>
      </c>
      <c r="D110" s="625"/>
      <c r="E110" s="618"/>
      <c r="F110" s="619">
        <f>$L110*'input data'!$D$11*$L$100+(1-$L110)*'input data'!$D$10*$L$100</f>
        <v>349.9638946048799</v>
      </c>
      <c r="G110" s="625"/>
      <c r="H110" s="618"/>
      <c r="I110" s="619">
        <f>$L110*'input data'!$E$11*$L$100+(1-$L110)*'input data'!$E$10*$L$100</f>
        <v>78.681072719576704</v>
      </c>
      <c r="J110" s="618"/>
      <c r="K110" s="618"/>
      <c r="L110" s="650">
        <v>0.39461872279080773</v>
      </c>
      <c r="M110" s="617" t="s">
        <v>200</v>
      </c>
      <c r="N110" s="634"/>
      <c r="O110" s="677" t="s">
        <v>170</v>
      </c>
      <c r="Q110" s="116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U110" s="3"/>
      <c r="AV110" s="3"/>
      <c r="AW110" s="3"/>
      <c r="AX110" s="3"/>
      <c r="AY110" s="3"/>
      <c r="AZ110" s="3"/>
      <c r="BA110" s="3"/>
    </row>
    <row r="111" spans="1:53" x14ac:dyDescent="0.2">
      <c r="A111" s="656">
        <v>1</v>
      </c>
      <c r="B111" s="11"/>
      <c r="C111" s="621">
        <f>$L111*'input data'!$C$11*$L$100+(1-$L111)*'input data'!$C$10*$L$100</f>
        <v>229.74451038992731</v>
      </c>
      <c r="D111" s="519"/>
      <c r="E111" s="11"/>
      <c r="F111" s="621">
        <f>$L111*'input data'!$D$11*$L$100+(1-$L111)*'input data'!$D$10*$L$100</f>
        <v>358.69228833770262</v>
      </c>
      <c r="G111" s="519"/>
      <c r="H111" s="11"/>
      <c r="I111" s="621">
        <f>$L111*'input data'!$E$11*$L$100+(1-$L111)*'input data'!$E$10*$L$100</f>
        <v>95.529406663012338</v>
      </c>
      <c r="J111" s="11"/>
      <c r="K111" s="11"/>
      <c r="L111" s="696">
        <v>0.50815985840525313</v>
      </c>
      <c r="M111" s="462" t="s">
        <v>200</v>
      </c>
      <c r="N111" s="97"/>
      <c r="O111" s="681" t="s">
        <v>170</v>
      </c>
      <c r="Q111" s="116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U111" s="3"/>
      <c r="AV111" s="3"/>
      <c r="AW111" s="3"/>
      <c r="AX111" s="3"/>
      <c r="AY111" s="3"/>
      <c r="AZ111" s="3"/>
      <c r="BA111" s="3"/>
    </row>
    <row r="112" spans="1:53" x14ac:dyDescent="0.2">
      <c r="A112" s="656">
        <f>A107</f>
        <v>3</v>
      </c>
      <c r="B112" s="11"/>
      <c r="C112" s="621">
        <f>$L112*'input data'!$C$11*$L$100+(1-$L112)*'input data'!$C$10*$L$100</f>
        <v>247.11038842685213</v>
      </c>
      <c r="D112" s="519"/>
      <c r="E112" s="11"/>
      <c r="F112" s="621">
        <f>$L112*'input data'!$D$11*$L$100+(1-$L112)*'input data'!$D$10*$L$100</f>
        <v>352.76595472141446</v>
      </c>
      <c r="G112" s="519"/>
      <c r="H112" s="11"/>
      <c r="I112" s="621">
        <f>$L112*'input data'!$E$11*$L$100+(1-$L112)*'input data'!$E$10*$L$100</f>
        <v>84.089862242375688</v>
      </c>
      <c r="J112" s="11"/>
      <c r="K112" s="11"/>
      <c r="L112" s="696">
        <v>0.43106862381840344</v>
      </c>
      <c r="M112" s="462" t="s">
        <v>200</v>
      </c>
      <c r="N112" s="97"/>
      <c r="O112" s="681" t="s">
        <v>170</v>
      </c>
      <c r="Q112" s="116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U112" s="3"/>
      <c r="AV112" s="3"/>
      <c r="AW112" s="3"/>
      <c r="AX112" s="3"/>
      <c r="AY112" s="3"/>
      <c r="AZ112" s="3"/>
      <c r="BA112" s="3"/>
    </row>
    <row r="113" spans="1:53" x14ac:dyDescent="0.2">
      <c r="A113" s="657">
        <f>A108</f>
        <v>6</v>
      </c>
      <c r="B113" s="35"/>
      <c r="C113" s="624">
        <f>$L113*'input data'!$C$11*$L$100+(1-$L113)*'input data'!$C$10*$L$100</f>
        <v>247.27305144687446</v>
      </c>
      <c r="D113" s="627"/>
      <c r="E113" s="35"/>
      <c r="F113" s="624">
        <f>$L113*'input data'!$D$11*$L$100+(1-$L113)*'input data'!$D$10*$L$100</f>
        <v>352.71044383266837</v>
      </c>
      <c r="G113" s="627"/>
      <c r="H113" s="35"/>
      <c r="I113" s="624">
        <f>$L113*'input data'!$E$11*$L$100+(1-$L113)*'input data'!$E$10*$L$100</f>
        <v>83.982710111099394</v>
      </c>
      <c r="J113" s="35"/>
      <c r="K113" s="35"/>
      <c r="L113" s="651">
        <v>0.43034652425001507</v>
      </c>
      <c r="M113" s="623" t="s">
        <v>200</v>
      </c>
      <c r="N113" s="60"/>
      <c r="O113" s="678" t="s">
        <v>170</v>
      </c>
      <c r="Q113" s="116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U113" s="3"/>
      <c r="AV113" s="3"/>
      <c r="AW113" s="3"/>
      <c r="AX113" s="3"/>
      <c r="AY113" s="3"/>
      <c r="AZ113" s="3"/>
      <c r="BA113" s="3"/>
    </row>
    <row r="114" spans="1:53" ht="11.25" x14ac:dyDescent="0.2">
      <c r="A114" s="656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U114" s="3"/>
      <c r="AV114" s="3"/>
      <c r="AW114" s="3"/>
      <c r="AX114" s="3"/>
      <c r="AY114" s="3"/>
      <c r="AZ114" s="3"/>
      <c r="BA114" s="3"/>
    </row>
    <row r="115" spans="1:53" ht="11.25" x14ac:dyDescent="0.2">
      <c r="A115" s="655">
        <v>2</v>
      </c>
      <c r="B115" s="618"/>
      <c r="C115" s="629">
        <f>(C105-C110)^2/C105^2</f>
        <v>1.313263713755029E-7</v>
      </c>
      <c r="D115" s="618"/>
      <c r="E115" s="618"/>
      <c r="F115" s="629">
        <f>(F105-F110)^2/F105^2</f>
        <v>1.8054701957019677E-7</v>
      </c>
      <c r="G115" s="618"/>
      <c r="H115" s="618"/>
      <c r="I115" s="629">
        <f>(I105-I110)^2/I105^2</f>
        <v>2.6983917545966801E-7</v>
      </c>
      <c r="J115" s="618"/>
      <c r="K115" s="618"/>
      <c r="L115" s="653">
        <f>C115+F115+I115</f>
        <v>5.8171256640536766E-7</v>
      </c>
      <c r="M115" s="617" t="s">
        <v>184</v>
      </c>
      <c r="N115" s="634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U115" s="3"/>
      <c r="AV115" s="3"/>
      <c r="AW115" s="3"/>
      <c r="AX115" s="3"/>
      <c r="AY115" s="3"/>
      <c r="AZ115" s="3"/>
      <c r="BA115" s="3"/>
    </row>
    <row r="116" spans="1:53" ht="11.25" x14ac:dyDescent="0.2">
      <c r="A116" s="656">
        <v>1</v>
      </c>
      <c r="B116" s="11"/>
      <c r="C116" s="682">
        <f>(C106-C111)^2/C106^2</f>
        <v>9.8183292791245551E-9</v>
      </c>
      <c r="D116" s="11"/>
      <c r="E116" s="11"/>
      <c r="F116" s="682">
        <f>(F106-F111)^2/F106^2</f>
        <v>9.8183292791148887E-9</v>
      </c>
      <c r="G116" s="11"/>
      <c r="H116" s="11"/>
      <c r="I116" s="682">
        <f>(I106-I111)^2/I106^2</f>
        <v>9.818329279171668E-9</v>
      </c>
      <c r="J116" s="11"/>
      <c r="K116" s="11"/>
      <c r="L116" s="697">
        <f>C116+F116+I116</f>
        <v>2.945498783741111E-8</v>
      </c>
      <c r="M116" s="462" t="s">
        <v>184</v>
      </c>
      <c r="N116" s="97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U116" s="3"/>
      <c r="AV116" s="3"/>
      <c r="AW116" s="3"/>
      <c r="AX116" s="3"/>
      <c r="AY116" s="3"/>
      <c r="AZ116" s="3"/>
      <c r="BA116" s="3"/>
    </row>
    <row r="117" spans="1:53" ht="11.25" x14ac:dyDescent="0.2">
      <c r="A117" s="656">
        <f>A107</f>
        <v>3</v>
      </c>
      <c r="B117" s="11"/>
      <c r="C117" s="682">
        <f>(C107-C112)^2/C107^2</f>
        <v>1.0173028401025335E-8</v>
      </c>
      <c r="D117" s="11"/>
      <c r="E117" s="11"/>
      <c r="F117" s="682">
        <f>(F107-F112)^2/F107^2</f>
        <v>5.8149527368122311E-10</v>
      </c>
      <c r="G117" s="11"/>
      <c r="H117" s="11"/>
      <c r="I117" s="682">
        <f>(I107-I112)^2/I107^2</f>
        <v>3.8143995388546979E-8</v>
      </c>
      <c r="J117" s="11"/>
      <c r="K117" s="11"/>
      <c r="L117" s="697">
        <f>C117+F117+I117</f>
        <v>4.8898519063253537E-8</v>
      </c>
      <c r="M117" s="462" t="s">
        <v>184</v>
      </c>
      <c r="N117" s="97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U117" s="3"/>
      <c r="AV117" s="3"/>
      <c r="AW117" s="3"/>
      <c r="AX117" s="3"/>
      <c r="AY117" s="3"/>
      <c r="AZ117" s="3"/>
      <c r="BA117" s="3"/>
    </row>
    <row r="118" spans="1:53" ht="11.25" x14ac:dyDescent="0.2">
      <c r="A118" s="657">
        <f>A108</f>
        <v>6</v>
      </c>
      <c r="B118" s="35"/>
      <c r="C118" s="631">
        <f>(C108-C113)^2/C108^2</f>
        <v>4.3101780104030946E-8</v>
      </c>
      <c r="D118" s="35"/>
      <c r="E118" s="35"/>
      <c r="F118" s="631">
        <f>(F108-F113)^2/F108^2</f>
        <v>4.3101780103945243E-8</v>
      </c>
      <c r="G118" s="35"/>
      <c r="H118" s="35"/>
      <c r="I118" s="631">
        <f>(I108-I113)^2/I108^2</f>
        <v>4.3101780103916484E-8</v>
      </c>
      <c r="J118" s="35"/>
      <c r="K118" s="35"/>
      <c r="L118" s="654">
        <f>C118+F118+I118</f>
        <v>1.2930534031189269E-7</v>
      </c>
      <c r="M118" s="623" t="s">
        <v>184</v>
      </c>
      <c r="N118" s="60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U118" s="3"/>
      <c r="AV118" s="3"/>
      <c r="AW118" s="3"/>
      <c r="AX118" s="3"/>
      <c r="AY118" s="3"/>
      <c r="AZ118" s="3"/>
      <c r="BA118" s="3"/>
    </row>
  </sheetData>
  <sheetProtection selectLockedCells="1"/>
  <mergeCells count="5">
    <mergeCell ref="B7:D7"/>
    <mergeCell ref="E7:G7"/>
    <mergeCell ref="H7:J7"/>
    <mergeCell ref="K7:N7"/>
    <mergeCell ref="H1:K1"/>
  </mergeCells>
  <conditionalFormatting sqref="L46">
    <cfRule type="cellIs" dxfId="76" priority="3" stopIfTrue="1" operator="equal">
      <formula>0</formula>
    </cfRule>
  </conditionalFormatting>
  <conditionalFormatting sqref="N11:N42">
    <cfRule type="expression" dxfId="75" priority="4" stopIfTrue="1">
      <formula>AND(N11=-100,N12=-100)</formula>
    </cfRule>
  </conditionalFormatting>
  <conditionalFormatting sqref="L103">
    <cfRule type="cellIs" dxfId="74" priority="2" stopIfTrue="1" operator="equal">
      <formula>0</formula>
    </cfRule>
  </conditionalFormatting>
  <conditionalFormatting sqref="L115:L118">
    <cfRule type="cellIs" dxfId="73" priority="1" operator="between">
      <formula>-0.001</formula>
      <formula>0.001</formula>
    </cfRule>
  </conditionalFormatting>
  <dataValidations count="1">
    <dataValidation type="decimal" operator="greaterThanOrEqual" allowBlank="1" showInputMessage="1" showErrorMessage="1" error="value &gt; 0" sqref="E5">
      <formula1>0</formula1>
    </dataValidation>
  </dataValidations>
  <hyperlinks>
    <hyperlink ref="H1:K1" r:id="rId1" display="www.gci.org.uk"/>
  </hyperlink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2"/>
  <headerFooter>
    <oddHeader>&amp;LRegensburger Modell</oddHeader>
    <oddFooter>&amp;LSargl/Wolfsteiner/Wittmann&amp;R&amp;18Anlage 1.3.1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>
    <tabColor rgb="FF00B0F0"/>
    <pageSetUpPr fitToPage="1"/>
  </sheetPr>
  <dimension ref="A1:AX115"/>
  <sheetViews>
    <sheetView zoomScaleNormal="10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4.42578125" style="3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5.28515625" style="3" customWidth="1"/>
    <col min="10" max="10" width="4.42578125" style="3" customWidth="1"/>
    <col min="11" max="11" width="5.28515625" style="3" bestFit="1" customWidth="1"/>
    <col min="12" max="13" width="4.42578125" style="3" bestFit="1" customWidth="1"/>
    <col min="14" max="14" width="7.28515625" style="3" bestFit="1" customWidth="1"/>
    <col min="15" max="15" width="4.42578125" style="3" customWidth="1"/>
    <col min="16" max="16" width="5.28515625" style="3" bestFit="1" customWidth="1"/>
    <col min="17" max="18" width="4.42578125" style="3" bestFit="1" customWidth="1"/>
    <col min="19" max="19" width="5.42578125" style="3" bestFit="1" customWidth="1"/>
    <col min="20" max="20" width="4.42578125" style="3" customWidth="1"/>
    <col min="21" max="21" width="4.85546875" style="3" bestFit="1" customWidth="1"/>
    <col min="22" max="22" width="4.42578125" style="3" bestFit="1" customWidth="1"/>
    <col min="23" max="23" width="4.28515625" style="3" customWidth="1"/>
    <col min="24" max="24" width="5.42578125" style="3" customWidth="1"/>
    <col min="25" max="25" width="7.28515625" style="3" bestFit="1" customWidth="1"/>
    <col min="26" max="26" width="6.42578125" style="3" customWidth="1"/>
    <col min="27" max="27" width="6.28515625" style="3" customWidth="1"/>
    <col min="28" max="30" width="30.28515625" style="1" bestFit="1" customWidth="1"/>
    <col min="31" max="31" width="22.42578125" style="1" bestFit="1" customWidth="1"/>
    <col min="32" max="32" width="23.28515625" style="1" customWidth="1"/>
    <col min="33" max="33" width="23.42578125" style="1" customWidth="1"/>
    <col min="34" max="34" width="20.42578125" style="1" bestFit="1" customWidth="1"/>
    <col min="35" max="35" width="21.42578125" style="1" bestFit="1" customWidth="1"/>
    <col min="36" max="36" width="21.7109375" style="1" customWidth="1"/>
    <col min="37" max="42" width="8.42578125" style="1" bestFit="1" customWidth="1"/>
    <col min="43" max="43" width="8.42578125" style="3" bestFit="1" customWidth="1"/>
    <col min="44" max="50" width="8.42578125" style="1" bestFit="1" customWidth="1"/>
    <col min="51" max="51" width="8.42578125" style="3" bestFit="1" customWidth="1"/>
    <col min="52" max="16384" width="11.7109375" style="3"/>
  </cols>
  <sheetData>
    <row r="1" spans="1:50" ht="15.75" x14ac:dyDescent="0.25">
      <c r="A1" s="51" t="s">
        <v>33</v>
      </c>
      <c r="F1" s="1" t="s">
        <v>35</v>
      </c>
      <c r="G1" s="763" t="s">
        <v>37</v>
      </c>
      <c r="H1" s="763"/>
      <c r="I1" s="763"/>
      <c r="J1" s="763"/>
      <c r="K1" s="7" t="s">
        <v>111</v>
      </c>
    </row>
    <row r="2" spans="1:50" x14ac:dyDescent="0.2">
      <c r="A2" s="1" t="s">
        <v>161</v>
      </c>
    </row>
    <row r="3" spans="1:50" s="43" customFormat="1" ht="13.5" thickBot="1" x14ac:dyDescent="0.3">
      <c r="A3" s="101"/>
      <c r="B3" s="101"/>
      <c r="C3" s="101"/>
      <c r="D3" s="101"/>
      <c r="E3" s="101"/>
      <c r="F3" s="102"/>
      <c r="G3" s="102"/>
      <c r="H3" s="102"/>
      <c r="I3" s="107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R3" s="10"/>
      <c r="AS3" s="10"/>
      <c r="AT3" s="10"/>
      <c r="AU3" s="10"/>
      <c r="AV3" s="10"/>
      <c r="AW3" s="10"/>
      <c r="AX3" s="10"/>
    </row>
    <row r="4" spans="1:50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R4" s="10"/>
      <c r="AS4" s="10"/>
      <c r="AT4" s="10"/>
      <c r="AU4" s="10"/>
      <c r="AV4" s="10"/>
      <c r="AW4" s="10"/>
      <c r="AX4" s="10"/>
    </row>
    <row r="5" spans="1:50" ht="13.5" thickBot="1" x14ac:dyDescent="0.25">
      <c r="A5" s="44"/>
      <c r="B5" s="87"/>
      <c r="C5" s="88"/>
      <c r="D5" s="90"/>
      <c r="E5" s="87"/>
      <c r="F5" s="88"/>
      <c r="G5" s="90"/>
      <c r="H5" s="87"/>
      <c r="I5" s="88"/>
      <c r="J5" s="90"/>
      <c r="K5" s="87"/>
      <c r="L5" s="89"/>
      <c r="M5" s="90"/>
      <c r="N5" s="125"/>
    </row>
    <row r="6" spans="1:50" s="43" customFormat="1" ht="46.5" x14ac:dyDescent="0.25">
      <c r="A6" s="46" t="s">
        <v>10</v>
      </c>
      <c r="B6" s="126" t="s">
        <v>13</v>
      </c>
      <c r="C6" s="20" t="s">
        <v>12</v>
      </c>
      <c r="D6" s="14" t="s">
        <v>11</v>
      </c>
      <c r="E6" s="13" t="s">
        <v>13</v>
      </c>
      <c r="F6" s="20" t="s">
        <v>12</v>
      </c>
      <c r="G6" s="14" t="s">
        <v>11</v>
      </c>
      <c r="H6" s="13" t="s">
        <v>13</v>
      </c>
      <c r="I6" s="20" t="s">
        <v>12</v>
      </c>
      <c r="J6" s="14" t="s">
        <v>11</v>
      </c>
      <c r="K6" s="13" t="s">
        <v>22</v>
      </c>
      <c r="L6" s="20" t="s">
        <v>23</v>
      </c>
      <c r="M6" s="14" t="s">
        <v>11</v>
      </c>
      <c r="N6" s="91" t="s">
        <v>30</v>
      </c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R6" s="10"/>
      <c r="AS6" s="10"/>
      <c r="AT6" s="10"/>
      <c r="AU6" s="10"/>
      <c r="AV6" s="10"/>
      <c r="AW6" s="10"/>
      <c r="AX6" s="10"/>
    </row>
    <row r="7" spans="1:50" s="43" customFormat="1" x14ac:dyDescent="0.2">
      <c r="A7" s="47"/>
      <c r="B7" s="127" t="s">
        <v>6</v>
      </c>
      <c r="C7" s="108" t="s">
        <v>21</v>
      </c>
      <c r="D7" s="30" t="s">
        <v>0</v>
      </c>
      <c r="E7" s="109" t="s">
        <v>6</v>
      </c>
      <c r="F7" s="108" t="s">
        <v>21</v>
      </c>
      <c r="G7" s="30" t="s">
        <v>0</v>
      </c>
      <c r="H7" s="109" t="s">
        <v>6</v>
      </c>
      <c r="I7" s="108" t="s">
        <v>21</v>
      </c>
      <c r="J7" s="30" t="s">
        <v>0</v>
      </c>
      <c r="K7" s="29" t="s">
        <v>6</v>
      </c>
      <c r="L7" s="108" t="s">
        <v>21</v>
      </c>
      <c r="M7" s="30" t="s">
        <v>0</v>
      </c>
      <c r="N7" s="33"/>
      <c r="O7" s="3"/>
      <c r="P7" s="3"/>
      <c r="Q7" s="3"/>
      <c r="R7" s="3"/>
      <c r="S7" s="3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R7" s="10"/>
      <c r="AS7" s="10"/>
      <c r="AT7" s="10"/>
      <c r="AU7" s="10"/>
      <c r="AV7" s="10"/>
      <c r="AW7" s="10"/>
      <c r="AX7" s="10"/>
    </row>
    <row r="8" spans="1:50" s="43" customFormat="1" x14ac:dyDescent="0.2">
      <c r="A8" s="48">
        <v>2019</v>
      </c>
      <c r="B8" s="131">
        <f>RF!B9</f>
        <v>1.2</v>
      </c>
      <c r="C8" s="132">
        <f>RF!C9</f>
        <v>21</v>
      </c>
      <c r="D8" s="130">
        <f>C8/B8</f>
        <v>17.5</v>
      </c>
      <c r="E8" s="133">
        <f>RF!E9</f>
        <v>4</v>
      </c>
      <c r="F8" s="132">
        <f>RF!F9</f>
        <v>19.5</v>
      </c>
      <c r="G8" s="130">
        <f>F8/E8</f>
        <v>4.875</v>
      </c>
      <c r="H8" s="137">
        <f>K8-E8-B8</f>
        <v>1.7000000000000004</v>
      </c>
      <c r="I8" s="117">
        <f>'global path'!$C$6-C8-F8</f>
        <v>1.2277171013052595</v>
      </c>
      <c r="J8" s="130">
        <f>I8/H8</f>
        <v>0.72218653017956425</v>
      </c>
      <c r="K8" s="133">
        <f>RF!K9</f>
        <v>6.9</v>
      </c>
      <c r="L8" s="32">
        <f>I8+F8+C8</f>
        <v>41.727717101305259</v>
      </c>
      <c r="M8" s="31">
        <f>L8/K8</f>
        <v>6.047495232073226</v>
      </c>
      <c r="N8" s="118">
        <f>(A8-2019)/(2050-2019)</f>
        <v>0</v>
      </c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R8" s="10"/>
      <c r="AS8" s="10"/>
      <c r="AT8" s="10"/>
      <c r="AU8" s="10"/>
      <c r="AV8" s="10"/>
      <c r="AW8" s="10"/>
      <c r="AX8" s="10"/>
    </row>
    <row r="9" spans="1:50" x14ac:dyDescent="0.2">
      <c r="A9" s="49">
        <f>A8+1</f>
        <v>2020</v>
      </c>
      <c r="B9" s="128">
        <f>B$8*(B$39/B$8)^(($A9-2019)/31)</f>
        <v>1.2</v>
      </c>
      <c r="C9" s="5">
        <f>((1-$N9)*(C8/$L8)+$N9*(B9/$K9))*'global path'!$C7</f>
        <v>20.145543690094133</v>
      </c>
      <c r="D9" s="4">
        <f t="shared" ref="D9:D39" si="0">C9/B9</f>
        <v>16.787953075078445</v>
      </c>
      <c r="E9" s="128">
        <f>E$8*(E$39/E$8)^(($A9-2019)/31)</f>
        <v>4</v>
      </c>
      <c r="F9" s="5">
        <f>((1-$N9)*(F8/$L8)+$N9*(E9/$K9))*'global path'!$C7</f>
        <v>19.258263913217</v>
      </c>
      <c r="G9" s="4">
        <f t="shared" ref="G9:G39" si="1">F9/E9</f>
        <v>4.81456597830425</v>
      </c>
      <c r="H9" s="128">
        <f>H$8*(H$39/H$8)^(($A9-2019)/31)</f>
        <v>1.7000000000000004</v>
      </c>
      <c r="I9" s="5">
        <f>((1-$N9)*(I8/$L8)+$N9*(H9/$K9))*'global path'!$C7</f>
        <v>1.48935515596802</v>
      </c>
      <c r="J9" s="4">
        <f t="shared" ref="J9:J39" si="2">I9/H9</f>
        <v>0.8760912682164822</v>
      </c>
      <c r="K9" s="129">
        <f>B9+E9+H9</f>
        <v>6.9</v>
      </c>
      <c r="L9" s="19">
        <f>I9+F9+C9</f>
        <v>40.89316275927915</v>
      </c>
      <c r="M9" s="4">
        <f t="shared" ref="M9:M39" si="3">L9/K9</f>
        <v>5.9265453274317608</v>
      </c>
      <c r="N9" s="118">
        <f>(A9-2019)/(2050-2019)</f>
        <v>3.2258064516129031E-2</v>
      </c>
    </row>
    <row r="10" spans="1:50" x14ac:dyDescent="0.2">
      <c r="A10" s="49">
        <f t="shared" ref="A10:A39" si="4">A9+1</f>
        <v>2021</v>
      </c>
      <c r="B10" s="128">
        <f t="shared" ref="B10:B38" si="5">B$8*(B$39/B$8)^(($A10-2019)/31)</f>
        <v>1.2</v>
      </c>
      <c r="C10" s="5">
        <f>((1-$N10)*(C9/$L9)+$N10*(B10/$K10))*'global path'!$C8</f>
        <v>18.855227532125213</v>
      </c>
      <c r="D10" s="4">
        <f t="shared" si="0"/>
        <v>15.712689610104345</v>
      </c>
      <c r="E10" s="128">
        <f t="shared" ref="E10:E38" si="6">E$8*(E$39/E$8)^(($A10-2019)/31)</f>
        <v>4</v>
      </c>
      <c r="F10" s="5">
        <f>((1-$N10)*(F9/$L9)+$N10*(E10/$K10))*'global path'!$C8</f>
        <v>19.090192720963646</v>
      </c>
      <c r="G10" s="4">
        <f t="shared" si="1"/>
        <v>4.7725481802409115</v>
      </c>
      <c r="H10" s="128">
        <f t="shared" ref="H10:H38" si="7">H$8*(H$39/H$8)^(($A10-2019)/31)</f>
        <v>1.7000000000000004</v>
      </c>
      <c r="I10" s="5">
        <f>((1-$N10)*(I9/$L9)+$N10*(H10/$K10))*'global path'!$C8</f>
        <v>1.9957062924807036</v>
      </c>
      <c r="J10" s="4">
        <f t="shared" si="2"/>
        <v>1.1739448779298254</v>
      </c>
      <c r="K10" s="129">
        <f t="shared" ref="K10:K38" si="8">B10+E10+H10</f>
        <v>6.9</v>
      </c>
      <c r="L10" s="19">
        <f t="shared" ref="L10:L39" si="9">I10+F10+C10</f>
        <v>39.94112654556956</v>
      </c>
      <c r="M10" s="4">
        <f t="shared" si="3"/>
        <v>5.7885690645752979</v>
      </c>
      <c r="N10" s="119">
        <f t="shared" ref="N10:N39" si="10">(A10-2019)/(2050-2019)</f>
        <v>6.4516129032258063E-2</v>
      </c>
    </row>
    <row r="11" spans="1:50" x14ac:dyDescent="0.2">
      <c r="A11" s="49">
        <f t="shared" si="4"/>
        <v>2022</v>
      </c>
      <c r="B11" s="128">
        <f t="shared" si="5"/>
        <v>1.2</v>
      </c>
      <c r="C11" s="5">
        <f>((1-$N11)*(C10/$L10)+$N11*(B11/$K11))*'global path'!$C9</f>
        <v>17.232526440604612</v>
      </c>
      <c r="D11" s="4">
        <f t="shared" si="0"/>
        <v>14.360438700503844</v>
      </c>
      <c r="E11" s="128">
        <f t="shared" si="6"/>
        <v>4</v>
      </c>
      <c r="F11" s="5">
        <f>((1-$N11)*(F10/$L10)+$N11*(E11/$K11))*'global path'!$C9</f>
        <v>18.965968262312259</v>
      </c>
      <c r="G11" s="4">
        <f t="shared" si="1"/>
        <v>4.7414920655780648</v>
      </c>
      <c r="H11" s="128">
        <f t="shared" si="7"/>
        <v>1.7000000000000004</v>
      </c>
      <c r="I11" s="5">
        <f>((1-$N11)*(I10/$L10)+$N11*(H11/$K11))*'global path'!$C9</f>
        <v>2.6817107723376541</v>
      </c>
      <c r="J11" s="4">
        <f t="shared" si="2"/>
        <v>1.577476924904502</v>
      </c>
      <c r="K11" s="129">
        <f t="shared" si="8"/>
        <v>6.9</v>
      </c>
      <c r="L11" s="19">
        <f t="shared" si="9"/>
        <v>38.880205475254527</v>
      </c>
      <c r="M11" s="4">
        <f t="shared" si="3"/>
        <v>5.6348123877180472</v>
      </c>
      <c r="N11" s="119">
        <f t="shared" si="10"/>
        <v>9.6774193548387094E-2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AB11" s="28"/>
      <c r="AC11" s="28"/>
      <c r="AD11" s="28"/>
      <c r="AE11" s="28"/>
      <c r="AF11" s="28"/>
      <c r="AG11" s="28"/>
      <c r="AH11" s="28"/>
      <c r="AI11" s="28"/>
      <c r="AJ11" s="28"/>
      <c r="AK11" s="58"/>
      <c r="AL11" s="28"/>
      <c r="AR11" s="28"/>
      <c r="AS11" s="28"/>
      <c r="AT11" s="28"/>
    </row>
    <row r="12" spans="1:50" s="7" customFormat="1" x14ac:dyDescent="0.2">
      <c r="A12" s="49">
        <f t="shared" si="4"/>
        <v>2023</v>
      </c>
      <c r="B12" s="128">
        <f t="shared" si="5"/>
        <v>1.2</v>
      </c>
      <c r="C12" s="5">
        <f>((1-$N12)*(C11/$L11)+$N12*(B12/$K12))*'global path'!$C10</f>
        <v>15.407508356214873</v>
      </c>
      <c r="D12" s="4">
        <f t="shared" si="0"/>
        <v>12.839590296845728</v>
      </c>
      <c r="E12" s="128">
        <f t="shared" si="6"/>
        <v>4</v>
      </c>
      <c r="F12" s="5">
        <f>((1-$N12)*(F11/$L11)+$N12*(E12/$K12))*'global path'!$C10</f>
        <v>18.847272205072766</v>
      </c>
      <c r="G12" s="4">
        <f t="shared" si="1"/>
        <v>4.7118180512681915</v>
      </c>
      <c r="H12" s="128">
        <f t="shared" si="7"/>
        <v>1.7000000000000004</v>
      </c>
      <c r="I12" s="5">
        <f>((1-$N12)*(I11/$L11)+$N12*(H12/$K12))*'global path'!$C10</f>
        <v>3.465115835368676</v>
      </c>
      <c r="J12" s="4">
        <f t="shared" si="2"/>
        <v>2.0383034325698088</v>
      </c>
      <c r="K12" s="129">
        <f t="shared" si="8"/>
        <v>6.9</v>
      </c>
      <c r="L12" s="19">
        <f t="shared" si="9"/>
        <v>37.71989639665631</v>
      </c>
      <c r="M12" s="4">
        <f t="shared" si="3"/>
        <v>5.46665165168932</v>
      </c>
      <c r="N12" s="119">
        <f t="shared" si="10"/>
        <v>0.12903225806451613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</row>
    <row r="13" spans="1:50" s="7" customFormat="1" x14ac:dyDescent="0.2">
      <c r="A13" s="49">
        <f t="shared" si="4"/>
        <v>2024</v>
      </c>
      <c r="B13" s="128">
        <f t="shared" si="5"/>
        <v>1.2</v>
      </c>
      <c r="C13" s="5">
        <f>((1-$N13)*(C12/$L12)+$N13*(B13/$K13))*'global path'!$C11</f>
        <v>13.517394882479739</v>
      </c>
      <c r="D13" s="4">
        <f t="shared" si="0"/>
        <v>11.264495735399782</v>
      </c>
      <c r="E13" s="128">
        <f t="shared" si="6"/>
        <v>4</v>
      </c>
      <c r="F13" s="5">
        <f>((1-$N13)*(F12/$L12)+$N13*(E13/$K13))*'global path'!$C11</f>
        <v>18.693828830703772</v>
      </c>
      <c r="G13" s="4">
        <f t="shared" si="1"/>
        <v>4.6734572076759431</v>
      </c>
      <c r="H13" s="128">
        <f t="shared" si="7"/>
        <v>1.7000000000000004</v>
      </c>
      <c r="I13" s="5">
        <f>((1-$N13)*(I12/$L12)+$N13*(H13/$K13))*'global path'!$C11</f>
        <v>4.2592296425411504</v>
      </c>
      <c r="J13" s="4">
        <f t="shared" si="2"/>
        <v>2.5054292014947936</v>
      </c>
      <c r="K13" s="129">
        <f t="shared" si="8"/>
        <v>6.9</v>
      </c>
      <c r="L13" s="19">
        <f t="shared" si="9"/>
        <v>36.470453355724658</v>
      </c>
      <c r="M13" s="4">
        <f t="shared" si="3"/>
        <v>5.2855729501050224</v>
      </c>
      <c r="N13" s="119">
        <f t="shared" si="10"/>
        <v>0.16129032258064516</v>
      </c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R13" s="1"/>
      <c r="AS13" s="1"/>
      <c r="AT13" s="1"/>
      <c r="AU13" s="1"/>
      <c r="AV13" s="1"/>
      <c r="AW13" s="1"/>
      <c r="AX13" s="1"/>
    </row>
    <row r="14" spans="1:50" s="7" customFormat="1" x14ac:dyDescent="0.2">
      <c r="A14" s="49">
        <f t="shared" si="4"/>
        <v>2025</v>
      </c>
      <c r="B14" s="128">
        <f t="shared" si="5"/>
        <v>1.2</v>
      </c>
      <c r="C14" s="5">
        <f>((1-$N14)*(C13/$L13)+$N14*(B14/$K14))*'global path'!$C12</f>
        <v>11.687191306623342</v>
      </c>
      <c r="D14" s="4">
        <f t="shared" si="0"/>
        <v>9.7393260888527848</v>
      </c>
      <c r="E14" s="128">
        <f t="shared" si="6"/>
        <v>4</v>
      </c>
      <c r="F14" s="5">
        <f>((1-$N14)*(F13/$L13)+$N14*(E14/$K14))*'global path'!$C12</f>
        <v>18.469918025570887</v>
      </c>
      <c r="G14" s="4">
        <f t="shared" si="1"/>
        <v>4.6174795063927219</v>
      </c>
      <c r="H14" s="128">
        <f t="shared" si="7"/>
        <v>1.7000000000000004</v>
      </c>
      <c r="I14" s="5">
        <f>((1-$N14)*(I13/$L13)+$N14*(H14/$K14))*'global path'!$C12</f>
        <v>4.9856260588803289</v>
      </c>
      <c r="J14" s="4">
        <f t="shared" si="2"/>
        <v>2.9327212111060752</v>
      </c>
      <c r="K14" s="129">
        <f t="shared" si="8"/>
        <v>6.9</v>
      </c>
      <c r="L14" s="19">
        <f t="shared" si="9"/>
        <v>35.142735391074559</v>
      </c>
      <c r="M14" s="4">
        <f t="shared" si="3"/>
        <v>5.0931500566774721</v>
      </c>
      <c r="N14" s="119">
        <f t="shared" si="10"/>
        <v>0.19354838709677419</v>
      </c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R14" s="1"/>
      <c r="AS14" s="1"/>
      <c r="AT14" s="1"/>
      <c r="AU14" s="1"/>
      <c r="AV14" s="1"/>
      <c r="AW14" s="1"/>
      <c r="AX14" s="1"/>
    </row>
    <row r="15" spans="1:50" s="7" customFormat="1" x14ac:dyDescent="0.2">
      <c r="A15" s="49">
        <f t="shared" si="4"/>
        <v>2026</v>
      </c>
      <c r="B15" s="128">
        <f t="shared" si="5"/>
        <v>1.2</v>
      </c>
      <c r="C15" s="5">
        <f>((1-$N15)*(C14/$L14)+$N15*(B15/$K15))*'global path'!$C13</f>
        <v>10.014369030652567</v>
      </c>
      <c r="D15" s="4">
        <f t="shared" si="0"/>
        <v>8.3453075255438058</v>
      </c>
      <c r="E15" s="128">
        <f t="shared" si="6"/>
        <v>4</v>
      </c>
      <c r="F15" s="5">
        <f>((1-$N15)*(F14/$L14)+$N15*(E15/$K15))*'global path'!$C13</f>
        <v>18.149501255848826</v>
      </c>
      <c r="G15" s="4">
        <f t="shared" si="1"/>
        <v>4.5373753139622064</v>
      </c>
      <c r="H15" s="128">
        <f t="shared" si="7"/>
        <v>1.7000000000000004</v>
      </c>
      <c r="I15" s="5">
        <f>((1-$N15)*(I14/$L14)+$N15*(H15/$K15))*'global path'!$C13</f>
        <v>5.5841776609268319</v>
      </c>
      <c r="J15" s="4">
        <f t="shared" si="2"/>
        <v>3.2848103887804885</v>
      </c>
      <c r="K15" s="129">
        <f t="shared" si="8"/>
        <v>6.9</v>
      </c>
      <c r="L15" s="19">
        <f t="shared" si="9"/>
        <v>33.748047947428226</v>
      </c>
      <c r="M15" s="4">
        <f t="shared" si="3"/>
        <v>4.8910214416562647</v>
      </c>
      <c r="N15" s="119">
        <f t="shared" si="10"/>
        <v>0.22580645161290322</v>
      </c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R15" s="1"/>
      <c r="AS15" s="1"/>
      <c r="AT15" s="1"/>
      <c r="AU15" s="1"/>
      <c r="AV15" s="1"/>
      <c r="AW15" s="1"/>
      <c r="AX15" s="1"/>
    </row>
    <row r="16" spans="1:50" s="7" customFormat="1" x14ac:dyDescent="0.2">
      <c r="A16" s="49">
        <f t="shared" si="4"/>
        <v>2027</v>
      </c>
      <c r="B16" s="128">
        <f t="shared" si="5"/>
        <v>1.2</v>
      </c>
      <c r="C16" s="5">
        <f>((1-$N16)*(C15/$L15)+$N16*(B16/$K16))*'global path'!$C14</f>
        <v>8.5603258401562119</v>
      </c>
      <c r="D16" s="4">
        <f t="shared" si="0"/>
        <v>7.1336048667968432</v>
      </c>
      <c r="E16" s="128">
        <f t="shared" si="6"/>
        <v>4</v>
      </c>
      <c r="F16" s="5">
        <f>((1-$N16)*(F15/$L15)+$N16*(E16/$K16))*'global path'!$C14</f>
        <v>17.719032528280632</v>
      </c>
      <c r="G16" s="4">
        <f t="shared" si="1"/>
        <v>4.429758132070158</v>
      </c>
      <c r="H16" s="128">
        <f t="shared" si="7"/>
        <v>1.7000000000000004</v>
      </c>
      <c r="I16" s="5">
        <f>((1-$N16)*(I15/$L15)+$N16*(H16/$K16))*'global path'!$C14</f>
        <v>6.0186228095873817</v>
      </c>
      <c r="J16" s="4">
        <f t="shared" si="2"/>
        <v>3.5403663585808118</v>
      </c>
      <c r="K16" s="129">
        <f t="shared" si="8"/>
        <v>6.9</v>
      </c>
      <c r="L16" s="19">
        <f t="shared" si="9"/>
        <v>32.297981178024223</v>
      </c>
      <c r="M16" s="4">
        <f t="shared" si="3"/>
        <v>4.6808668373948148</v>
      </c>
      <c r="N16" s="119">
        <f t="shared" si="10"/>
        <v>0.25806451612903225</v>
      </c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R16" s="1"/>
      <c r="AS16" s="1"/>
      <c r="AT16" s="1"/>
      <c r="AU16" s="1"/>
      <c r="AV16" s="1"/>
      <c r="AW16" s="1"/>
      <c r="AX16" s="1"/>
    </row>
    <row r="17" spans="1:14" x14ac:dyDescent="0.2">
      <c r="A17" s="49">
        <f t="shared" si="4"/>
        <v>2028</v>
      </c>
      <c r="B17" s="128">
        <f t="shared" si="5"/>
        <v>1.2</v>
      </c>
      <c r="C17" s="5">
        <f>((1-$N17)*(C16/$L16)+$N17*(B17/$K17))*'global path'!$C15</f>
        <v>7.3494408750296536</v>
      </c>
      <c r="D17" s="4">
        <f t="shared" si="0"/>
        <v>6.1245340625247113</v>
      </c>
      <c r="E17" s="128">
        <f t="shared" si="6"/>
        <v>4</v>
      </c>
      <c r="F17" s="5">
        <f>((1-$N17)*(F16/$L16)+$N17*(E17/$K17))*'global path'!$C15</f>
        <v>17.177677658260507</v>
      </c>
      <c r="G17" s="4">
        <f t="shared" si="1"/>
        <v>4.2944194145651267</v>
      </c>
      <c r="H17" s="128">
        <f t="shared" si="7"/>
        <v>1.7000000000000004</v>
      </c>
      <c r="I17" s="5">
        <f>((1-$N17)*(I16/$L16)+$N17*(H17/$K17))*'global path'!$C15</f>
        <v>6.2771298685772834</v>
      </c>
      <c r="J17" s="4">
        <f t="shared" si="2"/>
        <v>3.6924293344572248</v>
      </c>
      <c r="K17" s="129">
        <f t="shared" si="8"/>
        <v>6.9</v>
      </c>
      <c r="L17" s="19">
        <f t="shared" si="9"/>
        <v>30.804248401867444</v>
      </c>
      <c r="M17" s="4">
        <f t="shared" si="3"/>
        <v>4.4643838263575999</v>
      </c>
      <c r="N17" s="119">
        <f t="shared" si="10"/>
        <v>0.29032258064516131</v>
      </c>
    </row>
    <row r="18" spans="1:14" x14ac:dyDescent="0.2">
      <c r="A18" s="49">
        <f t="shared" si="4"/>
        <v>2029</v>
      </c>
      <c r="B18" s="128">
        <f t="shared" si="5"/>
        <v>1.2</v>
      </c>
      <c r="C18" s="5">
        <f>((1-$N18)*(C17/$L17)+$N18*(B18/$K18))*'global path'!$C16</f>
        <v>6.3746171963655991</v>
      </c>
      <c r="D18" s="4">
        <f t="shared" si="0"/>
        <v>5.3121809969713327</v>
      </c>
      <c r="E18" s="128">
        <f t="shared" si="6"/>
        <v>4</v>
      </c>
      <c r="F18" s="5">
        <f>((1-$N18)*(F17/$L17)+$N18*(E18/$K18))*'global path'!$C16</f>
        <v>16.535321688978975</v>
      </c>
      <c r="G18" s="4">
        <f t="shared" si="1"/>
        <v>4.1338304222447437</v>
      </c>
      <c r="H18" s="128">
        <f t="shared" si="7"/>
        <v>1.7000000000000004</v>
      </c>
      <c r="I18" s="5">
        <f>((1-$N18)*(I17/$L17)+$N18*(H18/$K18))*'global path'!$C16</f>
        <v>6.3685890060440338</v>
      </c>
      <c r="J18" s="4">
        <f t="shared" si="2"/>
        <v>3.746228827084725</v>
      </c>
      <c r="K18" s="129">
        <f t="shared" si="8"/>
        <v>6.9</v>
      </c>
      <c r="L18" s="19">
        <f t="shared" si="9"/>
        <v>29.278527891388606</v>
      </c>
      <c r="M18" s="4">
        <f t="shared" si="3"/>
        <v>4.2432649117954497</v>
      </c>
      <c r="N18" s="119">
        <f t="shared" si="10"/>
        <v>0.32258064516129031</v>
      </c>
    </row>
    <row r="19" spans="1:14" x14ac:dyDescent="0.2">
      <c r="A19" s="49">
        <f t="shared" si="4"/>
        <v>2030</v>
      </c>
      <c r="B19" s="128">
        <f t="shared" si="5"/>
        <v>1.2</v>
      </c>
      <c r="C19" s="5">
        <f>((1-$N19)*(C18/$L18)+$N19*(B19/$K19))*'global path'!$C17</f>
        <v>5.6068552339544651</v>
      </c>
      <c r="D19" s="4">
        <f t="shared" si="0"/>
        <v>4.672379361628721</v>
      </c>
      <c r="E19" s="128">
        <f t="shared" si="6"/>
        <v>4</v>
      </c>
      <c r="F19" s="5">
        <f>((1-$N19)*(F18/$L18)+$N19*(E19/$K19))*'global path'!$C17</f>
        <v>15.809204767965593</v>
      </c>
      <c r="G19" s="4">
        <f t="shared" si="1"/>
        <v>3.9523011919913982</v>
      </c>
      <c r="H19" s="128">
        <f t="shared" si="7"/>
        <v>1.7000000000000004</v>
      </c>
      <c r="I19" s="5">
        <f>((1-$N19)*(I18/$L18)+$N19*(H19/$K19))*'global path'!$C17</f>
        <v>6.3162509929018933</v>
      </c>
      <c r="J19" s="4">
        <f t="shared" si="2"/>
        <v>3.7154417605305246</v>
      </c>
      <c r="K19" s="129">
        <f t="shared" si="8"/>
        <v>6.9</v>
      </c>
      <c r="L19" s="19">
        <f t="shared" si="9"/>
        <v>27.732310994821951</v>
      </c>
      <c r="M19" s="4">
        <f t="shared" si="3"/>
        <v>4.0191755064959347</v>
      </c>
      <c r="N19" s="119">
        <f t="shared" si="10"/>
        <v>0.35483870967741937</v>
      </c>
    </row>
    <row r="20" spans="1:14" x14ac:dyDescent="0.2">
      <c r="A20" s="49">
        <f t="shared" si="4"/>
        <v>2031</v>
      </c>
      <c r="B20" s="128">
        <f t="shared" si="5"/>
        <v>1.2</v>
      </c>
      <c r="C20" s="5">
        <f>((1-$N20)*(C19/$L19)+$N20*(B20/$K20))*'global path'!$C18</f>
        <v>5.0059531766383136</v>
      </c>
      <c r="D20" s="4">
        <f t="shared" si="0"/>
        <v>4.1716276471985951</v>
      </c>
      <c r="E20" s="128">
        <f t="shared" si="6"/>
        <v>4</v>
      </c>
      <c r="F20" s="5">
        <f>((1-$N20)*(F19/$L19)+$N20*(E20/$K20))*'global path'!$C18</f>
        <v>15.020179251230354</v>
      </c>
      <c r="G20" s="4">
        <f t="shared" si="1"/>
        <v>3.7550448128075886</v>
      </c>
      <c r="H20" s="128">
        <f t="shared" si="7"/>
        <v>1.7000000000000004</v>
      </c>
      <c r="I20" s="5">
        <f>((1-$N20)*(I19/$L19)+$N20*(H20/$K20))*'global path'!$C18</f>
        <v>6.150626924733424</v>
      </c>
      <c r="J20" s="4">
        <f t="shared" si="2"/>
        <v>3.6180158380784837</v>
      </c>
      <c r="K20" s="129">
        <f t="shared" si="8"/>
        <v>6.9</v>
      </c>
      <c r="L20" s="19">
        <f t="shared" si="9"/>
        <v>26.176759352602094</v>
      </c>
      <c r="M20" s="4">
        <f t="shared" si="3"/>
        <v>3.7937332395075498</v>
      </c>
      <c r="N20" s="119">
        <f t="shared" si="10"/>
        <v>0.38709677419354838</v>
      </c>
    </row>
    <row r="21" spans="1:14" x14ac:dyDescent="0.2">
      <c r="A21" s="49">
        <f t="shared" si="4"/>
        <v>2032</v>
      </c>
      <c r="B21" s="128">
        <f t="shared" si="5"/>
        <v>1.2</v>
      </c>
      <c r="C21" s="5">
        <f>((1-$N21)*(C20/$L20)+$N21*(B21/$K21))*'global path'!$C19</f>
        <v>4.5298605343140244</v>
      </c>
      <c r="D21" s="4">
        <f t="shared" si="0"/>
        <v>3.7748837785950204</v>
      </c>
      <c r="E21" s="128">
        <f t="shared" si="6"/>
        <v>4</v>
      </c>
      <c r="F21" s="5">
        <f>((1-$N21)*(F20/$L20)+$N21*(E21/$K21))*'global path'!$C19</f>
        <v>14.189433807554249</v>
      </c>
      <c r="G21" s="4">
        <f t="shared" si="1"/>
        <v>3.5473584518885621</v>
      </c>
      <c r="H21" s="128">
        <f t="shared" si="7"/>
        <v>1.7000000000000004</v>
      </c>
      <c r="I21" s="5">
        <f>((1-$N21)*(I20/$L20)+$N21*(H21/$K21))*'global path'!$C19</f>
        <v>5.9032793158935508</v>
      </c>
      <c r="J21" s="4">
        <f t="shared" si="2"/>
        <v>3.4725172446432642</v>
      </c>
      <c r="K21" s="129">
        <f t="shared" si="8"/>
        <v>6.9</v>
      </c>
      <c r="L21" s="19">
        <f t="shared" si="9"/>
        <v>24.622573657761826</v>
      </c>
      <c r="M21" s="4">
        <f t="shared" si="3"/>
        <v>3.5684889359075109</v>
      </c>
      <c r="N21" s="119">
        <f t="shared" si="10"/>
        <v>0.41935483870967744</v>
      </c>
    </row>
    <row r="22" spans="1:14" x14ac:dyDescent="0.2">
      <c r="A22" s="49">
        <f t="shared" si="4"/>
        <v>2033</v>
      </c>
      <c r="B22" s="128">
        <f t="shared" si="5"/>
        <v>1.2</v>
      </c>
      <c r="C22" s="5">
        <f>((1-$N22)*(C21/$L21)+$N22*(B22/$K22))*'global path'!$C20</f>
        <v>4.141202900531578</v>
      </c>
      <c r="D22" s="4">
        <f t="shared" si="0"/>
        <v>3.4510024171096485</v>
      </c>
      <c r="E22" s="128">
        <f t="shared" si="6"/>
        <v>4</v>
      </c>
      <c r="F22" s="5">
        <f>((1-$N22)*(F21/$L21)+$N22*(E22/$K22))*'global path'!$C20</f>
        <v>13.336191599097296</v>
      </c>
      <c r="G22" s="4">
        <f t="shared" si="1"/>
        <v>3.3340478997743239</v>
      </c>
      <c r="H22" s="128">
        <f t="shared" si="7"/>
        <v>1.7000000000000004</v>
      </c>
      <c r="I22" s="5">
        <f>((1-$N22)*(I21/$L21)+$N22*(H22/$K22))*'global path'!$C20</f>
        <v>5.6024815483166268</v>
      </c>
      <c r="J22" s="4">
        <f t="shared" si="2"/>
        <v>3.2955773813627207</v>
      </c>
      <c r="K22" s="129">
        <f t="shared" si="8"/>
        <v>6.9</v>
      </c>
      <c r="L22" s="19">
        <f t="shared" si="9"/>
        <v>23.079876047945501</v>
      </c>
      <c r="M22" s="4">
        <f t="shared" si="3"/>
        <v>3.3449095721660145</v>
      </c>
      <c r="N22" s="119">
        <f t="shared" si="10"/>
        <v>0.45161290322580644</v>
      </c>
    </row>
    <row r="23" spans="1:14" x14ac:dyDescent="0.2">
      <c r="A23" s="49">
        <f t="shared" si="4"/>
        <v>2034</v>
      </c>
      <c r="B23" s="128">
        <f t="shared" si="5"/>
        <v>1.2</v>
      </c>
      <c r="C23" s="5">
        <f>((1-$N23)*(C22/$L22)+$N23*(B23/$K23))*'global path'!$C21</f>
        <v>3.8106127374506555</v>
      </c>
      <c r="D23" s="4">
        <f t="shared" si="0"/>
        <v>3.1755106145422132</v>
      </c>
      <c r="E23" s="128">
        <f t="shared" si="6"/>
        <v>4</v>
      </c>
      <c r="F23" s="5">
        <f>((1-$N23)*(F22/$L22)+$N23*(E23/$K23))*'global path'!$C21</f>
        <v>12.476508236895699</v>
      </c>
      <c r="G23" s="4">
        <f t="shared" si="1"/>
        <v>3.1191270592239246</v>
      </c>
      <c r="H23" s="128">
        <f t="shared" si="7"/>
        <v>1.7000000000000004</v>
      </c>
      <c r="I23" s="5">
        <f>((1-$N23)*(I22/$L22)+$N23*(H23/$K23))*'global path'!$C21</f>
        <v>5.2709868395239488</v>
      </c>
      <c r="J23" s="4">
        <f t="shared" si="2"/>
        <v>3.100580493837616</v>
      </c>
      <c r="K23" s="129">
        <f t="shared" si="8"/>
        <v>6.9</v>
      </c>
      <c r="L23" s="19">
        <f t="shared" si="9"/>
        <v>21.558107813870301</v>
      </c>
      <c r="M23" s="4">
        <f t="shared" si="3"/>
        <v>3.1243634512855505</v>
      </c>
      <c r="N23" s="119">
        <f t="shared" si="10"/>
        <v>0.4838709677419355</v>
      </c>
    </row>
    <row r="24" spans="1:14" x14ac:dyDescent="0.2">
      <c r="A24" s="49">
        <f t="shared" si="4"/>
        <v>2035</v>
      </c>
      <c r="B24" s="128">
        <f t="shared" si="5"/>
        <v>1.2</v>
      </c>
      <c r="C24" s="5">
        <f>((1-$N24)*(C23/$L23)+$N24*(B24/$K24))*'global path'!$C22</f>
        <v>3.5173720897661007</v>
      </c>
      <c r="D24" s="4">
        <f t="shared" si="0"/>
        <v>2.9311434081384173</v>
      </c>
      <c r="E24" s="128">
        <f t="shared" si="6"/>
        <v>4</v>
      </c>
      <c r="F24" s="5">
        <f>((1-$N24)*(F23/$L23)+$N24*(E24/$K24))*'global path'!$C22</f>
        <v>11.62299766608764</v>
      </c>
      <c r="G24" s="4">
        <f t="shared" si="1"/>
        <v>2.90574941652191</v>
      </c>
      <c r="H24" s="128">
        <f t="shared" si="7"/>
        <v>1.7000000000000004</v>
      </c>
      <c r="I24" s="5">
        <f>((1-$N24)*(I23/$L23)+$N24*(H24/$K24))*'global path'!$C22</f>
        <v>4.9255739235134808</v>
      </c>
      <c r="J24" s="4">
        <f t="shared" si="2"/>
        <v>2.8973964255961646</v>
      </c>
      <c r="K24" s="129">
        <f t="shared" si="8"/>
        <v>6.9</v>
      </c>
      <c r="L24" s="19">
        <f t="shared" si="9"/>
        <v>20.065943679367223</v>
      </c>
      <c r="M24" s="4">
        <f t="shared" si="3"/>
        <v>2.908107779618438</v>
      </c>
      <c r="N24" s="119">
        <f t="shared" si="10"/>
        <v>0.5161290322580645</v>
      </c>
    </row>
    <row r="25" spans="1:14" x14ac:dyDescent="0.2">
      <c r="A25" s="49">
        <f t="shared" si="4"/>
        <v>2036</v>
      </c>
      <c r="B25" s="128">
        <f t="shared" si="5"/>
        <v>1.2</v>
      </c>
      <c r="C25" s="5">
        <f>((1-$N25)*(C24/$L24)+$N25*(B25/$K25))*'global path'!$C23</f>
        <v>3.2483133006934102</v>
      </c>
      <c r="D25" s="4">
        <f t="shared" si="0"/>
        <v>2.706927750577842</v>
      </c>
      <c r="E25" s="128">
        <f t="shared" si="6"/>
        <v>4</v>
      </c>
      <c r="F25" s="5">
        <f>((1-$N25)*(F24/$L24)+$N25*(E25/$K25))*'global path'!$C23</f>
        <v>10.785163640165072</v>
      </c>
      <c r="G25" s="4">
        <f t="shared" si="1"/>
        <v>2.696290910041268</v>
      </c>
      <c r="H25" s="128">
        <f t="shared" si="7"/>
        <v>1.7000000000000004</v>
      </c>
      <c r="I25" s="5">
        <f>((1-$N25)*(I24/$L24)+$N25*(H25/$K25))*'global path'!$C23</f>
        <v>4.5777465245025324</v>
      </c>
      <c r="J25" s="4">
        <f t="shared" si="2"/>
        <v>2.6927920732367832</v>
      </c>
      <c r="K25" s="129">
        <f t="shared" si="8"/>
        <v>6.9</v>
      </c>
      <c r="L25" s="19">
        <f t="shared" si="9"/>
        <v>18.611223465361014</v>
      </c>
      <c r="M25" s="4">
        <f t="shared" si="3"/>
        <v>2.6972787630957988</v>
      </c>
      <c r="N25" s="119">
        <f t="shared" si="10"/>
        <v>0.54838709677419351</v>
      </c>
    </row>
    <row r="26" spans="1:14" x14ac:dyDescent="0.2">
      <c r="A26" s="49">
        <f t="shared" si="4"/>
        <v>2037</v>
      </c>
      <c r="B26" s="128">
        <f t="shared" si="5"/>
        <v>1.2</v>
      </c>
      <c r="C26" s="5">
        <f>((1-$N26)*(C25/$L25)+$N26*(B26/$K26))*'global path'!$C24</f>
        <v>2.9959488020215299</v>
      </c>
      <c r="D26" s="4">
        <f t="shared" si="0"/>
        <v>2.4966240016846082</v>
      </c>
      <c r="E26" s="128">
        <f t="shared" si="6"/>
        <v>4</v>
      </c>
      <c r="F26" s="5">
        <f>((1-$N26)*(F25/$L25)+$N26*(E26/$K26))*'global path'!$C24</f>
        <v>9.9700056297704798</v>
      </c>
      <c r="G26" s="4">
        <f t="shared" si="1"/>
        <v>2.4925014074426199</v>
      </c>
      <c r="H26" s="128">
        <f t="shared" si="7"/>
        <v>1.7000000000000004</v>
      </c>
      <c r="I26" s="5">
        <f>((1-$N26)*(I25/$L25)+$N26*(H26/$K26))*'global path'!$C24</f>
        <v>4.2349470761908421</v>
      </c>
      <c r="J26" s="4">
        <f t="shared" si="2"/>
        <v>2.4911453389357887</v>
      </c>
      <c r="K26" s="129">
        <f t="shared" si="8"/>
        <v>6.9</v>
      </c>
      <c r="L26" s="19">
        <f t="shared" si="9"/>
        <v>17.200901507982852</v>
      </c>
      <c r="M26" s="4">
        <f t="shared" si="3"/>
        <v>2.4928842765192538</v>
      </c>
      <c r="N26" s="119">
        <f t="shared" si="10"/>
        <v>0.58064516129032262</v>
      </c>
    </row>
    <row r="27" spans="1:14" x14ac:dyDescent="0.2">
      <c r="A27" s="49">
        <f t="shared" si="4"/>
        <v>2038</v>
      </c>
      <c r="B27" s="128">
        <f t="shared" si="5"/>
        <v>1.2</v>
      </c>
      <c r="C27" s="5">
        <f>((1-$N27)*(C26/$L26)+$N27*(B27/$K27))*'global path'!$C25</f>
        <v>2.7565587410996013</v>
      </c>
      <c r="D27" s="4">
        <f t="shared" si="0"/>
        <v>2.2971322842496678</v>
      </c>
      <c r="E27" s="128">
        <f t="shared" si="6"/>
        <v>4</v>
      </c>
      <c r="F27" s="5">
        <f>((1-$N27)*(F26/$L26)+$N27*(E27/$K27))*'global path'!$C25</f>
        <v>9.1826504288719253</v>
      </c>
      <c r="G27" s="4">
        <f t="shared" si="1"/>
        <v>2.2956626072179813</v>
      </c>
      <c r="H27" s="128">
        <f t="shared" si="7"/>
        <v>1.7000000000000004</v>
      </c>
      <c r="I27" s="5">
        <f>((1-$N27)*(I26/$L26)+$N27*(H27/$K27))*'global path'!$C25</f>
        <v>3.901804602506219</v>
      </c>
      <c r="J27" s="4">
        <f t="shared" si="2"/>
        <v>2.2951791779448341</v>
      </c>
      <c r="K27" s="129">
        <f t="shared" si="8"/>
        <v>6.9</v>
      </c>
      <c r="L27" s="19">
        <f t="shared" si="9"/>
        <v>15.841013772477746</v>
      </c>
      <c r="M27" s="4">
        <f t="shared" si="3"/>
        <v>2.2957990974605429</v>
      </c>
      <c r="N27" s="119">
        <f t="shared" si="10"/>
        <v>0.61290322580645162</v>
      </c>
    </row>
    <row r="28" spans="1:14" x14ac:dyDescent="0.2">
      <c r="A28" s="49">
        <f t="shared" si="4"/>
        <v>2039</v>
      </c>
      <c r="B28" s="128">
        <f t="shared" si="5"/>
        <v>1.2</v>
      </c>
      <c r="C28" s="5">
        <f>((1-$N28)*(C27/$L27)+$N28*(B28/$K28))*'global path'!$C26</f>
        <v>2.5286361022102137</v>
      </c>
      <c r="D28" s="4">
        <f t="shared" si="0"/>
        <v>2.1071967518418449</v>
      </c>
      <c r="E28" s="128">
        <f t="shared" si="6"/>
        <v>4</v>
      </c>
      <c r="F28" s="5">
        <f>((1-$N28)*(F27/$L27)+$N28*(E28/$K28))*'global path'!$C26</f>
        <v>8.4268727751705104</v>
      </c>
      <c r="G28" s="4">
        <f t="shared" si="1"/>
        <v>2.1067181937926276</v>
      </c>
      <c r="H28" s="128">
        <f t="shared" si="7"/>
        <v>1.7000000000000004</v>
      </c>
      <c r="I28" s="5">
        <f>((1-$N28)*(I27/$L27)+$N28*(H28/$K28))*'global path'!$C26</f>
        <v>3.5811533242251392</v>
      </c>
      <c r="J28" s="4">
        <f t="shared" si="2"/>
        <v>2.1065607789559637</v>
      </c>
      <c r="K28" s="129">
        <f t="shared" si="8"/>
        <v>6.9</v>
      </c>
      <c r="L28" s="19">
        <f t="shared" si="9"/>
        <v>14.536662201605864</v>
      </c>
      <c r="M28" s="4">
        <f t="shared" si="3"/>
        <v>2.1067626379138931</v>
      </c>
      <c r="N28" s="119">
        <f t="shared" si="10"/>
        <v>0.64516129032258063</v>
      </c>
    </row>
    <row r="29" spans="1:14" x14ac:dyDescent="0.2">
      <c r="A29" s="49">
        <f t="shared" si="4"/>
        <v>2040</v>
      </c>
      <c r="B29" s="128">
        <f t="shared" si="5"/>
        <v>1.2</v>
      </c>
      <c r="C29" s="5">
        <f>((1-$N29)*(C28/$L28)+$N29*(B29/$K29))*'global path'!$C27</f>
        <v>2.3118085203616379</v>
      </c>
      <c r="D29" s="4">
        <f t="shared" si="0"/>
        <v>1.926507100301365</v>
      </c>
      <c r="E29" s="128">
        <f t="shared" si="6"/>
        <v>4</v>
      </c>
      <c r="F29" s="5">
        <f>((1-$N29)*(F28/$L28)+$N29*(E29/$K29))*'global path'!$C27</f>
        <v>7.7054637775591388</v>
      </c>
      <c r="G29" s="4">
        <f t="shared" si="1"/>
        <v>1.9263659443897847</v>
      </c>
      <c r="H29" s="128">
        <f t="shared" si="7"/>
        <v>1.7000000000000004</v>
      </c>
      <c r="I29" s="5">
        <f>((1-$N29)*(I28/$L28)+$N29*(H29/$K29))*'global path'!$C27</f>
        <v>3.2747431723861498</v>
      </c>
      <c r="J29" s="4">
        <f t="shared" si="2"/>
        <v>1.9263195131683228</v>
      </c>
      <c r="K29" s="129">
        <f t="shared" si="8"/>
        <v>6.9</v>
      </c>
      <c r="L29" s="19">
        <f t="shared" si="9"/>
        <v>13.292015470306925</v>
      </c>
      <c r="M29" s="4">
        <f t="shared" si="3"/>
        <v>1.9263790536676701</v>
      </c>
      <c r="N29" s="119">
        <f t="shared" si="10"/>
        <v>0.67741935483870963</v>
      </c>
    </row>
    <row r="30" spans="1:14" x14ac:dyDescent="0.2">
      <c r="A30" s="49">
        <f t="shared" si="4"/>
        <v>2041</v>
      </c>
      <c r="B30" s="128">
        <f t="shared" si="5"/>
        <v>1.2</v>
      </c>
      <c r="C30" s="5">
        <f>((1-$N30)*(C29/$L29)+$N30*(B30/$K30))*'global path'!$C28</f>
        <v>2.1061841214819217</v>
      </c>
      <c r="D30" s="4">
        <f t="shared" si="0"/>
        <v>1.7551534345682682</v>
      </c>
      <c r="E30" s="128">
        <f t="shared" si="6"/>
        <v>4</v>
      </c>
      <c r="F30" s="5">
        <f>((1-$N30)*(F29/$L29)+$N30*(E30/$K30))*'global path'!$C28</f>
        <v>7.0204643884068121</v>
      </c>
      <c r="G30" s="4">
        <f t="shared" si="1"/>
        <v>1.755116097101703</v>
      </c>
      <c r="H30" s="128">
        <f t="shared" si="7"/>
        <v>1.7000000000000004</v>
      </c>
      <c r="I30" s="5">
        <f>((1-$N30)*(I29/$L29)+$N30*(H30/$K30))*'global path'!$C28</f>
        <v>2.9836764863079113</v>
      </c>
      <c r="J30" s="4">
        <f t="shared" si="2"/>
        <v>1.7551038154752414</v>
      </c>
      <c r="K30" s="129">
        <f t="shared" si="8"/>
        <v>6.9</v>
      </c>
      <c r="L30" s="19">
        <f t="shared" si="9"/>
        <v>12.110324996196645</v>
      </c>
      <c r="M30" s="4">
        <f t="shared" si="3"/>
        <v>1.7551195646661804</v>
      </c>
      <c r="N30" s="119">
        <f t="shared" si="10"/>
        <v>0.70967741935483875</v>
      </c>
    </row>
    <row r="31" spans="1:14" x14ac:dyDescent="0.2">
      <c r="A31" s="49">
        <f t="shared" si="4"/>
        <v>2042</v>
      </c>
      <c r="B31" s="128">
        <f t="shared" si="5"/>
        <v>1.2</v>
      </c>
      <c r="C31" s="5">
        <f>((1-$N31)*(C30/$L30)+$N31*(B31/$K31))*'global path'!$C29</f>
        <v>1.9120016583268571</v>
      </c>
      <c r="D31" s="4">
        <f t="shared" si="0"/>
        <v>1.5933347152723809</v>
      </c>
      <c r="E31" s="128">
        <f t="shared" si="6"/>
        <v>4</v>
      </c>
      <c r="F31" s="5">
        <f>((1-$N31)*(F30/$L30)+$N31*(E31/$K31))*'global path'!$C29</f>
        <v>6.373303872109731</v>
      </c>
      <c r="G31" s="4">
        <f t="shared" si="1"/>
        <v>1.5933259680274328</v>
      </c>
      <c r="H31" s="128">
        <f t="shared" si="7"/>
        <v>1.7000000000000004</v>
      </c>
      <c r="I31" s="5">
        <f>((1-$N31)*(I30/$L30)+$N31*(H31/$K31))*'global path'!$C29</f>
        <v>2.7086492542683946</v>
      </c>
      <c r="J31" s="4">
        <f t="shared" si="2"/>
        <v>1.5933230907461142</v>
      </c>
      <c r="K31" s="129">
        <f t="shared" si="8"/>
        <v>6.9</v>
      </c>
      <c r="L31" s="19">
        <f t="shared" si="9"/>
        <v>10.993954784704982</v>
      </c>
      <c r="M31" s="4">
        <f t="shared" si="3"/>
        <v>1.5933267803920264</v>
      </c>
      <c r="N31" s="119">
        <f t="shared" si="10"/>
        <v>0.74193548387096775</v>
      </c>
    </row>
    <row r="32" spans="1:14" x14ac:dyDescent="0.2">
      <c r="A32" s="49">
        <f t="shared" si="4"/>
        <v>2043</v>
      </c>
      <c r="B32" s="128">
        <f t="shared" si="5"/>
        <v>1.2</v>
      </c>
      <c r="C32" s="5">
        <f>((1-$N32)*(C31/$L31)+$N32*(B32/$K32))*'global path'!$C30</f>
        <v>1.7294668966566693</v>
      </c>
      <c r="D32" s="4">
        <f t="shared" si="0"/>
        <v>1.4412224138805578</v>
      </c>
      <c r="E32" s="128">
        <f t="shared" si="6"/>
        <v>4</v>
      </c>
      <c r="F32" s="5">
        <f>((1-$N32)*(F31/$L31)+$N32*(E32/$K32))*'global path'!$C30</f>
        <v>5.7648825090240203</v>
      </c>
      <c r="G32" s="4">
        <f t="shared" si="1"/>
        <v>1.4412206272560051</v>
      </c>
      <c r="H32" s="128">
        <f t="shared" si="7"/>
        <v>1.7000000000000004</v>
      </c>
      <c r="I32" s="5">
        <f>((1-$N32)*(I31/$L31)+$N32*(H32/$K32))*'global path'!$C30</f>
        <v>2.450074067271331</v>
      </c>
      <c r="J32" s="4">
        <f t="shared" si="2"/>
        <v>1.4412200395713708</v>
      </c>
      <c r="K32" s="129">
        <f t="shared" si="8"/>
        <v>6.9</v>
      </c>
      <c r="L32" s="19">
        <f t="shared" si="9"/>
        <v>9.9444234729520211</v>
      </c>
      <c r="M32" s="4">
        <f t="shared" si="3"/>
        <v>1.4412207931814522</v>
      </c>
      <c r="N32" s="119">
        <f t="shared" si="10"/>
        <v>0.77419354838709675</v>
      </c>
    </row>
    <row r="33" spans="1:14" x14ac:dyDescent="0.2">
      <c r="A33" s="49">
        <f t="shared" si="4"/>
        <v>2044</v>
      </c>
      <c r="B33" s="128">
        <f t="shared" si="5"/>
        <v>1.2</v>
      </c>
      <c r="C33" s="5">
        <f>((1-$N33)*(C32/$L32)+$N33*(B33/$K33))*'global path'!$C31</f>
        <v>1.5586884749461229</v>
      </c>
      <c r="D33" s="4">
        <f t="shared" si="0"/>
        <v>1.2989070624551025</v>
      </c>
      <c r="E33" s="128">
        <f t="shared" si="6"/>
        <v>4</v>
      </c>
      <c r="F33" s="5">
        <f>((1-$N33)*(F32/$L32)+$N33*(E33/$K33))*'global path'!$C31</f>
        <v>5.1956270032112597</v>
      </c>
      <c r="G33" s="4">
        <f t="shared" si="1"/>
        <v>1.2989067508028149</v>
      </c>
      <c r="H33" s="128">
        <f t="shared" si="7"/>
        <v>1.7000000000000004</v>
      </c>
      <c r="I33" s="5">
        <f>((1-$N33)*(I32/$L32)+$N33*(H33/$K33))*'global path'!$C31</f>
        <v>2.2081413020917173</v>
      </c>
      <c r="J33" s="4">
        <f t="shared" si="2"/>
        <v>1.2989066482892453</v>
      </c>
      <c r="K33" s="129">
        <f t="shared" si="8"/>
        <v>6.9</v>
      </c>
      <c r="L33" s="19">
        <f t="shared" si="9"/>
        <v>8.9624567802491004</v>
      </c>
      <c r="M33" s="4">
        <f t="shared" si="3"/>
        <v>1.2989067797462464</v>
      </c>
      <c r="N33" s="119">
        <f t="shared" si="10"/>
        <v>0.80645161290322576</v>
      </c>
    </row>
    <row r="34" spans="1:14" x14ac:dyDescent="0.2">
      <c r="A34" s="49">
        <f t="shared" si="4"/>
        <v>2045</v>
      </c>
      <c r="B34" s="128">
        <f t="shared" si="5"/>
        <v>1.2</v>
      </c>
      <c r="C34" s="5">
        <f>((1-$N34)*(C33/$L33)+$N34*(B34/$K34))*'global path'!$C32</f>
        <v>1.3996606536190574</v>
      </c>
      <c r="D34" s="4">
        <f t="shared" si="0"/>
        <v>1.1663838780158813</v>
      </c>
      <c r="E34" s="128">
        <f t="shared" si="6"/>
        <v>4</v>
      </c>
      <c r="F34" s="5">
        <f>((1-$N34)*(F33/$L33)+$N34*(E34/$K34))*'global path'!$C32</f>
        <v>4.6655353315115979</v>
      </c>
      <c r="G34" s="4">
        <f t="shared" si="1"/>
        <v>1.1663838328778995</v>
      </c>
      <c r="H34" s="128">
        <f t="shared" si="7"/>
        <v>1.7000000000000004</v>
      </c>
      <c r="I34" s="5">
        <f>((1-$N34)*(I33/$L33)+$N34*(H34/$K34))*'global path'!$C32</f>
        <v>1.9828524906516882</v>
      </c>
      <c r="J34" s="4">
        <f t="shared" si="2"/>
        <v>1.1663838180304045</v>
      </c>
      <c r="K34" s="129">
        <f t="shared" si="8"/>
        <v>6.9</v>
      </c>
      <c r="L34" s="19">
        <f t="shared" si="9"/>
        <v>8.0480484757823447</v>
      </c>
      <c r="M34" s="4">
        <f t="shared" si="3"/>
        <v>1.1663838370699049</v>
      </c>
      <c r="N34" s="119">
        <f t="shared" si="10"/>
        <v>0.83870967741935487</v>
      </c>
    </row>
    <row r="35" spans="1:14" x14ac:dyDescent="0.2">
      <c r="A35" s="49">
        <f t="shared" si="4"/>
        <v>2046</v>
      </c>
      <c r="B35" s="128">
        <f t="shared" si="5"/>
        <v>1.2</v>
      </c>
      <c r="C35" s="5">
        <f>((1-$N35)*(C34/$L34)+$N35*(B35/$K35))*'global path'!$C33</f>
        <v>1.2522657333236611</v>
      </c>
      <c r="D35" s="4">
        <f t="shared" si="0"/>
        <v>1.0435547777697176</v>
      </c>
      <c r="E35" s="128">
        <f t="shared" si="6"/>
        <v>4</v>
      </c>
      <c r="F35" s="5">
        <f>((1-$N35)*(F34/$L34)+$N35*(E35/$K35))*'global path'!$C33</f>
        <v>4.1742190902352014</v>
      </c>
      <c r="G35" s="4">
        <f t="shared" si="1"/>
        <v>1.0435547725588004</v>
      </c>
      <c r="H35" s="128">
        <f t="shared" si="7"/>
        <v>1.7000000000000004</v>
      </c>
      <c r="I35" s="5">
        <f>((1-$N35)*(I34/$L34)+$N35*(H35/$K35))*'global path'!$C33</f>
        <v>1.7740431104360641</v>
      </c>
      <c r="J35" s="4">
        <f t="shared" si="2"/>
        <v>1.0435547708447432</v>
      </c>
      <c r="K35" s="129">
        <f t="shared" si="8"/>
        <v>6.9</v>
      </c>
      <c r="L35" s="19">
        <f t="shared" si="9"/>
        <v>7.2005279339949269</v>
      </c>
      <c r="M35" s="4">
        <f t="shared" si="3"/>
        <v>1.043554773042743</v>
      </c>
      <c r="N35" s="119">
        <f t="shared" si="10"/>
        <v>0.87096774193548387</v>
      </c>
    </row>
    <row r="36" spans="1:14" x14ac:dyDescent="0.2">
      <c r="A36" s="49">
        <f t="shared" si="4"/>
        <v>2047</v>
      </c>
      <c r="B36" s="128">
        <f t="shared" si="5"/>
        <v>1.2</v>
      </c>
      <c r="C36" s="5">
        <f>((1-$N36)*(C35/$L35)+$N36*(B36/$K36))*'global path'!$C34</f>
        <v>1.1162838895478884</v>
      </c>
      <c r="D36" s="4">
        <f t="shared" si="0"/>
        <v>0.93023657462324039</v>
      </c>
      <c r="E36" s="128">
        <f t="shared" si="6"/>
        <v>4</v>
      </c>
      <c r="F36" s="5">
        <f>((1-$N36)*(F35/$L35)+$N36*(E36/$K36))*'global path'!$C34</f>
        <v>3.7209462966948696</v>
      </c>
      <c r="G36" s="4">
        <f t="shared" si="1"/>
        <v>0.93023657417371741</v>
      </c>
      <c r="H36" s="128">
        <f t="shared" si="7"/>
        <v>1.7000000000000004</v>
      </c>
      <c r="I36" s="5">
        <f>((1-$N36)*(I35/$L35)+$N36*(H36/$K36))*'global path'!$C34</f>
        <v>1.5814021758439509</v>
      </c>
      <c r="J36" s="4">
        <f t="shared" si="2"/>
        <v>0.93023657402585325</v>
      </c>
      <c r="K36" s="129">
        <f t="shared" si="8"/>
        <v>6.9</v>
      </c>
      <c r="L36" s="19">
        <f t="shared" si="9"/>
        <v>6.4186323620867096</v>
      </c>
      <c r="M36" s="4">
        <f t="shared" si="3"/>
        <v>0.93023657421546513</v>
      </c>
      <c r="N36" s="119">
        <f t="shared" si="10"/>
        <v>0.90322580645161288</v>
      </c>
    </row>
    <row r="37" spans="1:14" x14ac:dyDescent="0.2">
      <c r="A37" s="49">
        <f t="shared" si="4"/>
        <v>2048</v>
      </c>
      <c r="B37" s="128">
        <f t="shared" si="5"/>
        <v>1.2</v>
      </c>
      <c r="C37" s="5">
        <f>((1-$N37)*(C36/$L36)+$N37*(B37/$K37))*'global path'!$C35</f>
        <v>0.99140553864418801</v>
      </c>
      <c r="D37" s="4">
        <f t="shared" si="0"/>
        <v>0.82617128220349001</v>
      </c>
      <c r="E37" s="128">
        <f t="shared" si="6"/>
        <v>4</v>
      </c>
      <c r="F37" s="5">
        <f>((1-$N37)*(F36/$L36)+$N37*(E37/$K37))*'global path'!$C35</f>
        <v>3.3046851287109313</v>
      </c>
      <c r="G37" s="4">
        <f t="shared" si="1"/>
        <v>0.82617128217773284</v>
      </c>
      <c r="H37" s="128">
        <f t="shared" si="7"/>
        <v>1.7000000000000004</v>
      </c>
      <c r="I37" s="5">
        <f>((1-$N37)*(I36/$L36)+$N37*(H37/$K37))*'global path'!$C35</f>
        <v>1.4044911796877431</v>
      </c>
      <c r="J37" s="4">
        <f t="shared" si="2"/>
        <v>0.82617128216926039</v>
      </c>
      <c r="K37" s="129">
        <f t="shared" si="8"/>
        <v>6.9</v>
      </c>
      <c r="L37" s="19">
        <f t="shared" si="9"/>
        <v>5.7005818470428631</v>
      </c>
      <c r="M37" s="4">
        <f t="shared" si="3"/>
        <v>0.82617128218012503</v>
      </c>
      <c r="N37" s="119">
        <f t="shared" si="10"/>
        <v>0.93548387096774188</v>
      </c>
    </row>
    <row r="38" spans="1:14" x14ac:dyDescent="0.2">
      <c r="A38" s="49">
        <f t="shared" si="4"/>
        <v>2049</v>
      </c>
      <c r="B38" s="128">
        <f t="shared" si="5"/>
        <v>1.2</v>
      </c>
      <c r="C38" s="5">
        <f>((1-$N38)*(C37/$L37)+$N38*(B38/$K38))*'global path'!$C36</f>
        <v>0.87724443054404178</v>
      </c>
      <c r="D38" s="4">
        <f t="shared" si="0"/>
        <v>0.73103702545336813</v>
      </c>
      <c r="E38" s="128">
        <f t="shared" si="6"/>
        <v>4</v>
      </c>
      <c r="F38" s="5">
        <f>((1-$N38)*(F37/$L37)+$N38*(E38/$K38))*'global path'!$C36</f>
        <v>2.9241481018105322</v>
      </c>
      <c r="G38" s="4">
        <f t="shared" si="1"/>
        <v>0.73103702545263305</v>
      </c>
      <c r="H38" s="128">
        <f t="shared" si="7"/>
        <v>1.7000000000000004</v>
      </c>
      <c r="I38" s="5">
        <f>((1-$N38)*(I37/$L37)+$N38*(H38/$K38))*'global path'!$C36</f>
        <v>1.2427629432690652</v>
      </c>
      <c r="J38" s="4">
        <f t="shared" si="2"/>
        <v>0.73103702545239113</v>
      </c>
      <c r="K38" s="129">
        <f t="shared" si="8"/>
        <v>6.9</v>
      </c>
      <c r="L38" s="19">
        <f t="shared" si="9"/>
        <v>5.0441554756236391</v>
      </c>
      <c r="M38" s="4">
        <f t="shared" si="3"/>
        <v>0.73103702545270133</v>
      </c>
      <c r="N38" s="119">
        <f t="shared" si="10"/>
        <v>0.967741935483871</v>
      </c>
    </row>
    <row r="39" spans="1:14" ht="13.5" thickBot="1" x14ac:dyDescent="0.25">
      <c r="A39" s="49">
        <f t="shared" si="4"/>
        <v>2050</v>
      </c>
      <c r="B39" s="139">
        <f>RF!B40</f>
        <v>1.2</v>
      </c>
      <c r="C39" s="5">
        <f>((1-$N39)*(C38/$L38)+$N39*(B39/$K39))*'global path'!$C37</f>
        <v>0.77335076918943702</v>
      </c>
      <c r="D39" s="140">
        <f t="shared" si="0"/>
        <v>0.64445897432453092</v>
      </c>
      <c r="E39" s="141">
        <f>RF!E40</f>
        <v>4</v>
      </c>
      <c r="F39" s="5">
        <f>((1-$N39)*(F38/$L38)+$N39*(E39/$K39))*'global path'!$C37</f>
        <v>2.5778358972981237</v>
      </c>
      <c r="G39" s="140">
        <f t="shared" si="1"/>
        <v>0.64445897432453092</v>
      </c>
      <c r="H39" s="149">
        <f>K39-E39-B39</f>
        <v>1.7000000000000004</v>
      </c>
      <c r="I39" s="5">
        <f>((1-$N39)*(I38/$L38)+$N39*(H39/$K39))*'global path'!$C37</f>
        <v>1.0955802563517028</v>
      </c>
      <c r="J39" s="140">
        <f t="shared" si="2"/>
        <v>0.64445897432453092</v>
      </c>
      <c r="K39" s="141">
        <f>RF!K40</f>
        <v>6.9</v>
      </c>
      <c r="L39" s="19">
        <f t="shared" si="9"/>
        <v>4.4467669228392639</v>
      </c>
      <c r="M39" s="4">
        <f t="shared" si="3"/>
        <v>0.64445897432453092</v>
      </c>
      <c r="N39" s="698">
        <f t="shared" si="10"/>
        <v>1</v>
      </c>
    </row>
    <row r="40" spans="1:14" ht="13.5" thickBot="1" x14ac:dyDescent="0.25">
      <c r="A40" s="143" t="s">
        <v>1</v>
      </c>
      <c r="B40" s="144"/>
      <c r="C40" s="145">
        <f>SUM(C9:C39)</f>
        <v>183.31381945566736</v>
      </c>
      <c r="D40" s="146"/>
      <c r="E40" s="144"/>
      <c r="F40" s="145">
        <f>SUM(F9:F39)</f>
        <v>357.15329628859035</v>
      </c>
      <c r="G40" s="146"/>
      <c r="H40" s="144"/>
      <c r="I40" s="145">
        <f>SUM(I9:I39)</f>
        <v>116.29653061358546</v>
      </c>
      <c r="J40" s="146"/>
      <c r="K40" s="144"/>
      <c r="L40" s="147">
        <f>SUM(L9:L39)</f>
        <v>656.76364635784307</v>
      </c>
      <c r="M40" s="148"/>
      <c r="N40" s="138"/>
    </row>
    <row r="41" spans="1:1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 x14ac:dyDescent="0.2">
      <c r="A42" s="7"/>
      <c r="B42" s="7"/>
      <c r="C42" s="7"/>
      <c r="D42" s="7"/>
      <c r="E42" s="7"/>
      <c r="F42" s="7"/>
      <c r="G42" s="7"/>
      <c r="H42" s="7"/>
      <c r="I42" s="7"/>
      <c r="J42" s="687" t="s">
        <v>41</v>
      </c>
      <c r="K42" s="688"/>
      <c r="L42" s="689">
        <f>'global path'!C89</f>
        <v>656.76364635784296</v>
      </c>
      <c r="M42" s="7"/>
      <c r="N42" s="7"/>
    </row>
    <row r="43" spans="1:14" x14ac:dyDescent="0.2">
      <c r="A43" s="7"/>
      <c r="B43" s="7"/>
      <c r="C43" s="7"/>
      <c r="D43" s="7"/>
      <c r="E43" s="7"/>
      <c r="F43" s="7"/>
      <c r="G43" s="7"/>
      <c r="H43" s="7"/>
      <c r="I43" s="7"/>
      <c r="J43" s="690" t="s">
        <v>215</v>
      </c>
      <c r="K43" s="691"/>
      <c r="L43" s="692">
        <f>L40-L42</f>
        <v>0</v>
      </c>
      <c r="M43" s="7"/>
      <c r="N43" s="7"/>
    </row>
    <row r="44" spans="1:14" ht="13.5" thickBot="1" x14ac:dyDescent="0.25"/>
    <row r="45" spans="1:14" x14ac:dyDescent="0.2">
      <c r="A45" s="539">
        <f>A39+1</f>
        <v>2051</v>
      </c>
      <c r="B45" s="569">
        <f>B39</f>
        <v>1.2</v>
      </c>
      <c r="C45" s="540">
        <f>B45/$K45*$L45</f>
        <v>0.67922401305673408</v>
      </c>
      <c r="D45" s="543">
        <f>C45/B45</f>
        <v>0.56602001088061171</v>
      </c>
      <c r="E45" s="570">
        <f>E39</f>
        <v>4</v>
      </c>
      <c r="F45" s="540">
        <f>E45/$K45*$L45</f>
        <v>2.2640800435224473</v>
      </c>
      <c r="G45" s="541">
        <f>F45/E45</f>
        <v>0.56602001088061182</v>
      </c>
      <c r="H45" s="571">
        <f>H39</f>
        <v>1.7000000000000004</v>
      </c>
      <c r="I45" s="540">
        <f>H45/$K45*$L45</f>
        <v>0.96223401849704016</v>
      </c>
      <c r="J45" s="543">
        <f>I45/H45</f>
        <v>0.56602001088061171</v>
      </c>
      <c r="K45" s="542">
        <f>B45+E45+H45</f>
        <v>6.9</v>
      </c>
      <c r="L45" s="540">
        <f>'global path'!C38</f>
        <v>3.9055380750762212</v>
      </c>
      <c r="M45" s="543">
        <f>L45/K45</f>
        <v>0.56602001088061171</v>
      </c>
    </row>
    <row r="46" spans="1:14" x14ac:dyDescent="0.2">
      <c r="A46" s="544">
        <f>A45+1</f>
        <v>2052</v>
      </c>
      <c r="B46" s="555">
        <f>B45</f>
        <v>1.2</v>
      </c>
      <c r="C46" s="546">
        <f t="shared" ref="C46:C94" si="11">B46/$K46*$L46</f>
        <v>0.59432512095118173</v>
      </c>
      <c r="D46" s="549">
        <f t="shared" ref="D46:D94" si="12">C46/B46</f>
        <v>0.49527093412598477</v>
      </c>
      <c r="E46" s="545">
        <f>E45</f>
        <v>4</v>
      </c>
      <c r="F46" s="546">
        <f t="shared" ref="F46:F94" si="13">E46/$K46*$L46</f>
        <v>1.9810837365039393</v>
      </c>
      <c r="G46" s="547">
        <f t="shared" ref="G46:G94" si="14">F46/E46</f>
        <v>0.49527093412598483</v>
      </c>
      <c r="H46" s="557">
        <f>H45</f>
        <v>1.7000000000000004</v>
      </c>
      <c r="I46" s="546">
        <f t="shared" ref="I46:I94" si="15">H46/$K46*$L46</f>
        <v>0.84196058801417428</v>
      </c>
      <c r="J46" s="549">
        <f t="shared" ref="J46:J94" si="16">I46/H46</f>
        <v>0.49527093412598477</v>
      </c>
      <c r="K46" s="548">
        <f t="shared" ref="K46:K94" si="17">B46+E46+H46</f>
        <v>6.9</v>
      </c>
      <c r="L46" s="546">
        <f>'global path'!C39</f>
        <v>3.4173694454692951</v>
      </c>
      <c r="M46" s="549">
        <f t="shared" ref="M46:M94" si="18">L46/K46</f>
        <v>0.49527093412598477</v>
      </c>
    </row>
    <row r="47" spans="1:14" x14ac:dyDescent="0.2">
      <c r="A47" s="544">
        <f t="shared" ref="A47:A94" si="19">A46+1</f>
        <v>2053</v>
      </c>
      <c r="B47" s="555">
        <f t="shared" ref="B47:B94" si="20">B46</f>
        <v>1.2</v>
      </c>
      <c r="C47" s="546">
        <f t="shared" si="11"/>
        <v>0.51808805976039229</v>
      </c>
      <c r="D47" s="549">
        <f t="shared" si="12"/>
        <v>0.43174004980032693</v>
      </c>
      <c r="E47" s="545">
        <f t="shared" ref="E47:E94" si="21">E46</f>
        <v>4</v>
      </c>
      <c r="F47" s="546">
        <f t="shared" si="13"/>
        <v>1.7269601992013077</v>
      </c>
      <c r="G47" s="547">
        <f t="shared" si="14"/>
        <v>0.43174004980032693</v>
      </c>
      <c r="H47" s="557">
        <f t="shared" ref="H47:H94" si="22">H46</f>
        <v>1.7000000000000004</v>
      </c>
      <c r="I47" s="546">
        <f t="shared" si="15"/>
        <v>0.73395808466055579</v>
      </c>
      <c r="J47" s="549">
        <f t="shared" si="16"/>
        <v>0.43174004980032682</v>
      </c>
      <c r="K47" s="548">
        <f t="shared" si="17"/>
        <v>6.9</v>
      </c>
      <c r="L47" s="546">
        <f>'global path'!C40</f>
        <v>2.9790063436222556</v>
      </c>
      <c r="M47" s="549">
        <f t="shared" si="18"/>
        <v>0.43174004980032687</v>
      </c>
    </row>
    <row r="48" spans="1:14" x14ac:dyDescent="0.2">
      <c r="A48" s="544">
        <f t="shared" si="19"/>
        <v>2054</v>
      </c>
      <c r="B48" s="555">
        <f t="shared" si="20"/>
        <v>1.2</v>
      </c>
      <c r="C48" s="546">
        <f t="shared" si="11"/>
        <v>0.44993042991229248</v>
      </c>
      <c r="D48" s="549">
        <f t="shared" si="12"/>
        <v>0.37494202492691042</v>
      </c>
      <c r="E48" s="545">
        <f t="shared" si="21"/>
        <v>4</v>
      </c>
      <c r="F48" s="546">
        <f t="shared" si="13"/>
        <v>1.4997680997076417</v>
      </c>
      <c r="G48" s="547">
        <f t="shared" si="14"/>
        <v>0.37494202492691042</v>
      </c>
      <c r="H48" s="557">
        <f t="shared" si="22"/>
        <v>1.7000000000000004</v>
      </c>
      <c r="I48" s="546">
        <f t="shared" si="15"/>
        <v>0.63740144237574781</v>
      </c>
      <c r="J48" s="549">
        <f t="shared" si="16"/>
        <v>0.37494202492691037</v>
      </c>
      <c r="K48" s="548">
        <f t="shared" si="17"/>
        <v>6.9</v>
      </c>
      <c r="L48" s="546">
        <f>'global path'!C41</f>
        <v>2.587099971995682</v>
      </c>
      <c r="M48" s="549">
        <f t="shared" si="18"/>
        <v>0.37494202492691042</v>
      </c>
    </row>
    <row r="49" spans="1:13" x14ac:dyDescent="0.2">
      <c r="A49" s="544">
        <f t="shared" si="19"/>
        <v>2055</v>
      </c>
      <c r="B49" s="555">
        <f t="shared" si="20"/>
        <v>1.2</v>
      </c>
      <c r="C49" s="546">
        <f t="shared" si="11"/>
        <v>0.3892631009381311</v>
      </c>
      <c r="D49" s="549">
        <f t="shared" si="12"/>
        <v>0.32438591744844258</v>
      </c>
      <c r="E49" s="545">
        <f t="shared" si="21"/>
        <v>4</v>
      </c>
      <c r="F49" s="546">
        <f t="shared" si="13"/>
        <v>1.2975436697937706</v>
      </c>
      <c r="G49" s="547">
        <f t="shared" si="14"/>
        <v>0.32438591744844264</v>
      </c>
      <c r="H49" s="557">
        <f t="shared" si="22"/>
        <v>1.7000000000000004</v>
      </c>
      <c r="I49" s="546">
        <f t="shared" si="15"/>
        <v>0.55145605966235256</v>
      </c>
      <c r="J49" s="549">
        <f t="shared" si="16"/>
        <v>0.32438591744844258</v>
      </c>
      <c r="K49" s="548">
        <f t="shared" si="17"/>
        <v>6.9</v>
      </c>
      <c r="L49" s="546">
        <f>'global path'!C42</f>
        <v>2.238262830394254</v>
      </c>
      <c r="M49" s="549">
        <f t="shared" si="18"/>
        <v>0.32438591744844258</v>
      </c>
    </row>
    <row r="50" spans="1:13" x14ac:dyDescent="0.2">
      <c r="A50" s="544">
        <f t="shared" si="19"/>
        <v>2056</v>
      </c>
      <c r="B50" s="555">
        <f t="shared" si="20"/>
        <v>1.2</v>
      </c>
      <c r="C50" s="546">
        <f t="shared" si="11"/>
        <v>0.33549878468568733</v>
      </c>
      <c r="D50" s="549">
        <f t="shared" si="12"/>
        <v>0.27958232057140614</v>
      </c>
      <c r="E50" s="545">
        <f t="shared" si="21"/>
        <v>4</v>
      </c>
      <c r="F50" s="546">
        <f t="shared" si="13"/>
        <v>1.1183292822856246</v>
      </c>
      <c r="G50" s="547">
        <f t="shared" si="14"/>
        <v>0.27958232057140614</v>
      </c>
      <c r="H50" s="557">
        <f t="shared" si="22"/>
        <v>1.7000000000000004</v>
      </c>
      <c r="I50" s="546">
        <f t="shared" si="15"/>
        <v>0.47528994497139049</v>
      </c>
      <c r="J50" s="549">
        <f t="shared" si="16"/>
        <v>0.27958232057140608</v>
      </c>
      <c r="K50" s="548">
        <f t="shared" si="17"/>
        <v>6.9</v>
      </c>
      <c r="L50" s="546">
        <f>'global path'!C43</f>
        <v>1.9291180119427023</v>
      </c>
      <c r="M50" s="549">
        <f t="shared" si="18"/>
        <v>0.27958232057140608</v>
      </c>
    </row>
    <row r="51" spans="1:13" x14ac:dyDescent="0.2">
      <c r="A51" s="544">
        <f t="shared" si="19"/>
        <v>2057</v>
      </c>
      <c r="B51" s="555">
        <f t="shared" si="20"/>
        <v>1.2</v>
      </c>
      <c r="C51" s="546">
        <f t="shared" si="11"/>
        <v>0.28805950670893604</v>
      </c>
      <c r="D51" s="549">
        <f t="shared" si="12"/>
        <v>0.24004958892411338</v>
      </c>
      <c r="E51" s="545">
        <f t="shared" si="21"/>
        <v>4</v>
      </c>
      <c r="F51" s="546">
        <f t="shared" si="13"/>
        <v>0.96019835569645351</v>
      </c>
      <c r="G51" s="547">
        <f t="shared" si="14"/>
        <v>0.24004958892411338</v>
      </c>
      <c r="H51" s="557">
        <f t="shared" si="22"/>
        <v>1.7000000000000004</v>
      </c>
      <c r="I51" s="546">
        <f t="shared" si="15"/>
        <v>0.40808430117099276</v>
      </c>
      <c r="J51" s="549">
        <f t="shared" si="16"/>
        <v>0.24004958892411332</v>
      </c>
      <c r="K51" s="548">
        <f t="shared" si="17"/>
        <v>6.9</v>
      </c>
      <c r="L51" s="546">
        <f>'global path'!C44</f>
        <v>1.6563421635763822</v>
      </c>
      <c r="M51" s="549">
        <f t="shared" si="18"/>
        <v>0.24004958892411335</v>
      </c>
    </row>
    <row r="52" spans="1:13" x14ac:dyDescent="0.2">
      <c r="A52" s="544">
        <f t="shared" si="19"/>
        <v>2058</v>
      </c>
      <c r="B52" s="555">
        <f t="shared" si="20"/>
        <v>1.2</v>
      </c>
      <c r="C52" s="546">
        <f t="shared" si="11"/>
        <v>0.24638296647093647</v>
      </c>
      <c r="D52" s="549">
        <f t="shared" si="12"/>
        <v>0.20531913872578039</v>
      </c>
      <c r="E52" s="545">
        <f t="shared" si="21"/>
        <v>4</v>
      </c>
      <c r="F52" s="546">
        <f t="shared" si="13"/>
        <v>0.82127655490312168</v>
      </c>
      <c r="G52" s="547">
        <f t="shared" si="14"/>
        <v>0.20531913872578042</v>
      </c>
      <c r="H52" s="557">
        <f t="shared" si="22"/>
        <v>1.7000000000000004</v>
      </c>
      <c r="I52" s="546">
        <f t="shared" si="15"/>
        <v>0.34904253583382672</v>
      </c>
      <c r="J52" s="549">
        <f t="shared" si="16"/>
        <v>0.20531913872578036</v>
      </c>
      <c r="K52" s="548">
        <f t="shared" si="17"/>
        <v>6.9</v>
      </c>
      <c r="L52" s="546">
        <f>'global path'!C45</f>
        <v>1.4167020572078848</v>
      </c>
      <c r="M52" s="549">
        <f t="shared" si="18"/>
        <v>0.20531913872578039</v>
      </c>
    </row>
    <row r="53" spans="1:13" x14ac:dyDescent="0.2">
      <c r="A53" s="544">
        <f t="shared" si="19"/>
        <v>2059</v>
      </c>
      <c r="B53" s="555">
        <f t="shared" si="20"/>
        <v>1.2</v>
      </c>
      <c r="C53" s="546">
        <f t="shared" si="11"/>
        <v>0.2099278036881618</v>
      </c>
      <c r="D53" s="549">
        <f t="shared" si="12"/>
        <v>0.1749398364068015</v>
      </c>
      <c r="E53" s="545">
        <f t="shared" si="21"/>
        <v>4</v>
      </c>
      <c r="F53" s="546">
        <f t="shared" si="13"/>
        <v>0.6997593456272061</v>
      </c>
      <c r="G53" s="547">
        <f t="shared" si="14"/>
        <v>0.17493983640680152</v>
      </c>
      <c r="H53" s="557">
        <f t="shared" si="22"/>
        <v>1.7000000000000004</v>
      </c>
      <c r="I53" s="546">
        <f t="shared" si="15"/>
        <v>0.29739772189156261</v>
      </c>
      <c r="J53" s="549">
        <f t="shared" si="16"/>
        <v>0.1749398364068015</v>
      </c>
      <c r="K53" s="548">
        <f t="shared" si="17"/>
        <v>6.9</v>
      </c>
      <c r="L53" s="546">
        <f>'global path'!C46</f>
        <v>1.2070848712069304</v>
      </c>
      <c r="M53" s="549">
        <f t="shared" si="18"/>
        <v>0.1749398364068015</v>
      </c>
    </row>
    <row r="54" spans="1:13" x14ac:dyDescent="0.2">
      <c r="A54" s="544">
        <f t="shared" si="19"/>
        <v>2060</v>
      </c>
      <c r="B54" s="555">
        <f t="shared" si="20"/>
        <v>1.2</v>
      </c>
      <c r="C54" s="546">
        <f t="shared" si="11"/>
        <v>0.17817781104482394</v>
      </c>
      <c r="D54" s="549">
        <f t="shared" si="12"/>
        <v>0.14848150920401995</v>
      </c>
      <c r="E54" s="545">
        <f t="shared" si="21"/>
        <v>4</v>
      </c>
      <c r="F54" s="546">
        <f t="shared" si="13"/>
        <v>0.59392603681607992</v>
      </c>
      <c r="G54" s="547">
        <f t="shared" si="14"/>
        <v>0.14848150920401998</v>
      </c>
      <c r="H54" s="557">
        <f t="shared" si="22"/>
        <v>1.7000000000000004</v>
      </c>
      <c r="I54" s="546">
        <f t="shared" si="15"/>
        <v>0.25241856564683396</v>
      </c>
      <c r="J54" s="549">
        <f t="shared" si="16"/>
        <v>0.14848150920401995</v>
      </c>
      <c r="K54" s="548">
        <f t="shared" si="17"/>
        <v>6.9</v>
      </c>
      <c r="L54" s="546">
        <f>'global path'!C47</f>
        <v>1.0245224135077378</v>
      </c>
      <c r="M54" s="549">
        <f t="shared" si="18"/>
        <v>0.14848150920401995</v>
      </c>
    </row>
    <row r="55" spans="1:13" x14ac:dyDescent="0.2">
      <c r="A55" s="544">
        <f t="shared" si="19"/>
        <v>2061</v>
      </c>
      <c r="B55" s="555">
        <f t="shared" si="20"/>
        <v>1.2</v>
      </c>
      <c r="C55" s="546">
        <f t="shared" si="11"/>
        <v>0.15064515241260856</v>
      </c>
      <c r="D55" s="549">
        <f t="shared" si="12"/>
        <v>0.12553762701050714</v>
      </c>
      <c r="E55" s="545">
        <f t="shared" si="21"/>
        <v>4</v>
      </c>
      <c r="F55" s="546">
        <f t="shared" si="13"/>
        <v>0.50215050804202865</v>
      </c>
      <c r="G55" s="547">
        <f t="shared" si="14"/>
        <v>0.12553762701050716</v>
      </c>
      <c r="H55" s="557">
        <f t="shared" si="22"/>
        <v>1.7000000000000004</v>
      </c>
      <c r="I55" s="546">
        <f t="shared" si="15"/>
        <v>0.21341396591786219</v>
      </c>
      <c r="J55" s="549">
        <f t="shared" si="16"/>
        <v>0.12553762701050714</v>
      </c>
      <c r="K55" s="548">
        <f t="shared" si="17"/>
        <v>6.9</v>
      </c>
      <c r="L55" s="546">
        <f>'global path'!C48</f>
        <v>0.86620962637249932</v>
      </c>
      <c r="M55" s="549">
        <f t="shared" si="18"/>
        <v>0.12553762701050714</v>
      </c>
    </row>
    <row r="56" spans="1:13" x14ac:dyDescent="0.2">
      <c r="A56" s="544">
        <f t="shared" si="19"/>
        <v>2062</v>
      </c>
      <c r="B56" s="555">
        <f t="shared" si="20"/>
        <v>1.2</v>
      </c>
      <c r="C56" s="546">
        <f t="shared" si="11"/>
        <v>0.12687266057856594</v>
      </c>
      <c r="D56" s="549">
        <f t="shared" si="12"/>
        <v>0.10572721714880495</v>
      </c>
      <c r="E56" s="545">
        <f t="shared" si="21"/>
        <v>4</v>
      </c>
      <c r="F56" s="546">
        <f t="shared" si="13"/>
        <v>0.42290886859521987</v>
      </c>
      <c r="G56" s="547">
        <f t="shared" si="14"/>
        <v>0.10572721714880497</v>
      </c>
      <c r="H56" s="557">
        <f t="shared" si="22"/>
        <v>1.7000000000000004</v>
      </c>
      <c r="I56" s="546">
        <f t="shared" si="15"/>
        <v>0.17973626915296848</v>
      </c>
      <c r="J56" s="549">
        <f t="shared" si="16"/>
        <v>0.10572721714880497</v>
      </c>
      <c r="K56" s="548">
        <f t="shared" si="17"/>
        <v>6.9</v>
      </c>
      <c r="L56" s="546">
        <f>'global path'!C49</f>
        <v>0.72951779832675423</v>
      </c>
      <c r="M56" s="549">
        <f t="shared" si="18"/>
        <v>0.10572721714880495</v>
      </c>
    </row>
    <row r="57" spans="1:13" x14ac:dyDescent="0.2">
      <c r="A57" s="544">
        <f t="shared" si="19"/>
        <v>2063</v>
      </c>
      <c r="B57" s="555">
        <f t="shared" si="20"/>
        <v>1.2</v>
      </c>
      <c r="C57" s="546">
        <f t="shared" si="11"/>
        <v>0.10643529940410673</v>
      </c>
      <c r="D57" s="549">
        <f t="shared" si="12"/>
        <v>8.8696082836755619E-2</v>
      </c>
      <c r="E57" s="545">
        <f t="shared" si="21"/>
        <v>4</v>
      </c>
      <c r="F57" s="546">
        <f t="shared" si="13"/>
        <v>0.35478433134702247</v>
      </c>
      <c r="G57" s="547">
        <f t="shared" si="14"/>
        <v>8.8696082836755619E-2</v>
      </c>
      <c r="H57" s="557">
        <f t="shared" si="22"/>
        <v>1.7000000000000004</v>
      </c>
      <c r="I57" s="546">
        <f t="shared" si="15"/>
        <v>0.15078334082248457</v>
      </c>
      <c r="J57" s="549">
        <f t="shared" si="16"/>
        <v>8.8696082836755605E-2</v>
      </c>
      <c r="K57" s="548">
        <f t="shared" si="17"/>
        <v>6.9</v>
      </c>
      <c r="L57" s="546">
        <f>'global path'!C50</f>
        <v>0.61200297157361372</v>
      </c>
      <c r="M57" s="549">
        <f t="shared" si="18"/>
        <v>8.8696082836755605E-2</v>
      </c>
    </row>
    <row r="58" spans="1:13" x14ac:dyDescent="0.2">
      <c r="A58" s="544">
        <f t="shared" si="19"/>
        <v>2064</v>
      </c>
      <c r="B58" s="555">
        <f t="shared" si="20"/>
        <v>1.2</v>
      </c>
      <c r="C58" s="546">
        <f t="shared" si="11"/>
        <v>8.8940882520877326E-2</v>
      </c>
      <c r="D58" s="549">
        <f t="shared" si="12"/>
        <v>7.4117402100731103E-2</v>
      </c>
      <c r="E58" s="545">
        <f t="shared" si="21"/>
        <v>4</v>
      </c>
      <c r="F58" s="546">
        <f t="shared" si="13"/>
        <v>0.29646960840292441</v>
      </c>
      <c r="G58" s="547">
        <f t="shared" si="14"/>
        <v>7.4117402100731103E-2</v>
      </c>
      <c r="H58" s="557">
        <f t="shared" si="22"/>
        <v>1.7000000000000004</v>
      </c>
      <c r="I58" s="546">
        <f t="shared" si="15"/>
        <v>0.12599958357124288</v>
      </c>
      <c r="J58" s="549">
        <f t="shared" si="16"/>
        <v>7.4117402100731089E-2</v>
      </c>
      <c r="K58" s="548">
        <f t="shared" si="17"/>
        <v>6.9</v>
      </c>
      <c r="L58" s="546">
        <f>'global path'!C51</f>
        <v>0.51141007449504461</v>
      </c>
      <c r="M58" s="549">
        <f t="shared" si="18"/>
        <v>7.4117402100731103E-2</v>
      </c>
    </row>
    <row r="59" spans="1:13" x14ac:dyDescent="0.2">
      <c r="A59" s="544">
        <f t="shared" si="19"/>
        <v>2065</v>
      </c>
      <c r="B59" s="555">
        <f t="shared" si="20"/>
        <v>1.2</v>
      </c>
      <c r="C59" s="546">
        <f t="shared" si="11"/>
        <v>7.4030144418831711E-2</v>
      </c>
      <c r="D59" s="549">
        <f t="shared" si="12"/>
        <v>6.1691787015693098E-2</v>
      </c>
      <c r="E59" s="545">
        <f t="shared" si="21"/>
        <v>4</v>
      </c>
      <c r="F59" s="546">
        <f t="shared" si="13"/>
        <v>0.24676714806277239</v>
      </c>
      <c r="G59" s="547">
        <f t="shared" si="14"/>
        <v>6.1691787015693098E-2</v>
      </c>
      <c r="H59" s="557">
        <f t="shared" si="22"/>
        <v>1.7000000000000004</v>
      </c>
      <c r="I59" s="546">
        <f t="shared" si="15"/>
        <v>0.10487603792667828</v>
      </c>
      <c r="J59" s="549">
        <f t="shared" si="16"/>
        <v>6.1691787015693091E-2</v>
      </c>
      <c r="K59" s="548">
        <f t="shared" si="17"/>
        <v>6.9</v>
      </c>
      <c r="L59" s="546">
        <f>'global path'!C52</f>
        <v>0.42567333040828237</v>
      </c>
      <c r="M59" s="549">
        <f t="shared" si="18"/>
        <v>6.1691787015693091E-2</v>
      </c>
    </row>
    <row r="60" spans="1:13" x14ac:dyDescent="0.2">
      <c r="A60" s="544">
        <f t="shared" si="19"/>
        <v>2066</v>
      </c>
      <c r="B60" s="555">
        <f t="shared" si="20"/>
        <v>1.2</v>
      </c>
      <c r="C60" s="546">
        <f t="shared" si="11"/>
        <v>6.1376260472816184E-2</v>
      </c>
      <c r="D60" s="549">
        <f t="shared" si="12"/>
        <v>5.1146883727346819E-2</v>
      </c>
      <c r="E60" s="545">
        <f t="shared" si="21"/>
        <v>4</v>
      </c>
      <c r="F60" s="546">
        <f t="shared" si="13"/>
        <v>0.2045875349093873</v>
      </c>
      <c r="G60" s="547">
        <f t="shared" si="14"/>
        <v>5.1146883727346826E-2</v>
      </c>
      <c r="H60" s="557">
        <f t="shared" si="22"/>
        <v>1.7000000000000004</v>
      </c>
      <c r="I60" s="546">
        <f t="shared" si="15"/>
        <v>8.6949702336489618E-2</v>
      </c>
      <c r="J60" s="549">
        <f t="shared" si="16"/>
        <v>5.1146883727346819E-2</v>
      </c>
      <c r="K60" s="548">
        <f t="shared" si="17"/>
        <v>6.9</v>
      </c>
      <c r="L60" s="546">
        <f>'global path'!C53</f>
        <v>0.35291349771869307</v>
      </c>
      <c r="M60" s="549">
        <f t="shared" si="18"/>
        <v>5.1146883727346819E-2</v>
      </c>
    </row>
    <row r="61" spans="1:13" x14ac:dyDescent="0.2">
      <c r="A61" s="544">
        <f t="shared" si="19"/>
        <v>2067</v>
      </c>
      <c r="B61" s="555">
        <f t="shared" si="20"/>
        <v>1.2</v>
      </c>
      <c r="C61" s="546">
        <f t="shared" si="11"/>
        <v>5.0683910508547897E-2</v>
      </c>
      <c r="D61" s="549">
        <f t="shared" si="12"/>
        <v>4.2236592090456583E-2</v>
      </c>
      <c r="E61" s="545">
        <f t="shared" si="21"/>
        <v>4</v>
      </c>
      <c r="F61" s="546">
        <f t="shared" si="13"/>
        <v>0.16894636836182633</v>
      </c>
      <c r="G61" s="547">
        <f t="shared" si="14"/>
        <v>4.2236592090456583E-2</v>
      </c>
      <c r="H61" s="557">
        <f t="shared" si="22"/>
        <v>1.7000000000000004</v>
      </c>
      <c r="I61" s="546">
        <f t="shared" si="15"/>
        <v>7.1802206553776199E-2</v>
      </c>
      <c r="J61" s="549">
        <f t="shared" si="16"/>
        <v>4.2236592090456576E-2</v>
      </c>
      <c r="K61" s="548">
        <f t="shared" si="17"/>
        <v>6.9</v>
      </c>
      <c r="L61" s="546">
        <f>'global path'!C54</f>
        <v>0.2914324854241504</v>
      </c>
      <c r="M61" s="549">
        <f t="shared" si="18"/>
        <v>4.2236592090456576E-2</v>
      </c>
    </row>
    <row r="62" spans="1:13" x14ac:dyDescent="0.2">
      <c r="A62" s="544">
        <f t="shared" si="19"/>
        <v>2068</v>
      </c>
      <c r="B62" s="555">
        <f t="shared" si="20"/>
        <v>1.2</v>
      </c>
      <c r="C62" s="546">
        <f t="shared" si="11"/>
        <v>4.1687976374534287E-2</v>
      </c>
      <c r="D62" s="549">
        <f t="shared" si="12"/>
        <v>3.4739980312111909E-2</v>
      </c>
      <c r="E62" s="545">
        <f t="shared" si="21"/>
        <v>4</v>
      </c>
      <c r="F62" s="546">
        <f t="shared" si="13"/>
        <v>0.13895992124844764</v>
      </c>
      <c r="G62" s="547">
        <f t="shared" si="14"/>
        <v>3.4739980312111909E-2</v>
      </c>
      <c r="H62" s="557">
        <f t="shared" si="22"/>
        <v>1.7000000000000004</v>
      </c>
      <c r="I62" s="546">
        <f t="shared" si="15"/>
        <v>5.9057966530590256E-2</v>
      </c>
      <c r="J62" s="549">
        <f t="shared" si="16"/>
        <v>3.4739980312111909E-2</v>
      </c>
      <c r="K62" s="548">
        <f t="shared" si="17"/>
        <v>6.9</v>
      </c>
      <c r="L62" s="546">
        <f>'global path'!C55</f>
        <v>0.23970586415357217</v>
      </c>
      <c r="M62" s="549">
        <f t="shared" si="18"/>
        <v>3.4739980312111909E-2</v>
      </c>
    </row>
    <row r="63" spans="1:13" x14ac:dyDescent="0.2">
      <c r="A63" s="544">
        <f t="shared" si="19"/>
        <v>2069</v>
      </c>
      <c r="B63" s="555">
        <f t="shared" si="20"/>
        <v>1.2</v>
      </c>
      <c r="C63" s="546">
        <f t="shared" si="11"/>
        <v>3.4151958116388603E-2</v>
      </c>
      <c r="D63" s="549">
        <f t="shared" si="12"/>
        <v>2.8459965096990503E-2</v>
      </c>
      <c r="E63" s="545">
        <f t="shared" si="21"/>
        <v>4</v>
      </c>
      <c r="F63" s="546">
        <f t="shared" si="13"/>
        <v>0.11383986038796201</v>
      </c>
      <c r="G63" s="547">
        <f t="shared" si="14"/>
        <v>2.8459965096990503E-2</v>
      </c>
      <c r="H63" s="557">
        <f t="shared" si="22"/>
        <v>1.7000000000000004</v>
      </c>
      <c r="I63" s="546">
        <f t="shared" si="15"/>
        <v>4.8381940664883862E-2</v>
      </c>
      <c r="J63" s="549">
        <f t="shared" si="16"/>
        <v>2.8459965096990499E-2</v>
      </c>
      <c r="K63" s="548">
        <f t="shared" si="17"/>
        <v>6.9</v>
      </c>
      <c r="L63" s="546">
        <f>'global path'!C56</f>
        <v>0.19637375916923447</v>
      </c>
      <c r="M63" s="549">
        <f t="shared" si="18"/>
        <v>2.8459965096990503E-2</v>
      </c>
    </row>
    <row r="64" spans="1:13" x14ac:dyDescent="0.2">
      <c r="A64" s="544">
        <f t="shared" si="19"/>
        <v>2070</v>
      </c>
      <c r="B64" s="555">
        <f t="shared" si="20"/>
        <v>1.2</v>
      </c>
      <c r="C64" s="546">
        <f t="shared" si="11"/>
        <v>2.7866186185702961E-2</v>
      </c>
      <c r="D64" s="549">
        <f t="shared" si="12"/>
        <v>2.3221821821419134E-2</v>
      </c>
      <c r="E64" s="545">
        <f t="shared" si="21"/>
        <v>4</v>
      </c>
      <c r="F64" s="546">
        <f t="shared" si="13"/>
        <v>9.2887287285676537E-2</v>
      </c>
      <c r="G64" s="547">
        <f t="shared" si="14"/>
        <v>2.3221821821419134E-2</v>
      </c>
      <c r="H64" s="557">
        <f t="shared" si="22"/>
        <v>1.7000000000000004</v>
      </c>
      <c r="I64" s="546">
        <f t="shared" si="15"/>
        <v>3.9477097096412533E-2</v>
      </c>
      <c r="J64" s="549">
        <f t="shared" si="16"/>
        <v>2.3221821821419131E-2</v>
      </c>
      <c r="K64" s="548">
        <f t="shared" si="17"/>
        <v>6.9</v>
      </c>
      <c r="L64" s="546">
        <f>'global path'!C57</f>
        <v>0.16023057056779202</v>
      </c>
      <c r="M64" s="549">
        <f t="shared" si="18"/>
        <v>2.3221821821419134E-2</v>
      </c>
    </row>
    <row r="65" spans="1:13" x14ac:dyDescent="0.2">
      <c r="A65" s="544">
        <f t="shared" si="19"/>
        <v>2071</v>
      </c>
      <c r="B65" s="555">
        <f t="shared" si="20"/>
        <v>1.2</v>
      </c>
      <c r="C65" s="546">
        <f t="shared" si="11"/>
        <v>2.2645899072934614E-2</v>
      </c>
      <c r="D65" s="549">
        <f t="shared" si="12"/>
        <v>1.8871582560778845E-2</v>
      </c>
      <c r="E65" s="545">
        <f t="shared" si="21"/>
        <v>4</v>
      </c>
      <c r="F65" s="546">
        <f t="shared" si="13"/>
        <v>7.5486330243115393E-2</v>
      </c>
      <c r="G65" s="547">
        <f t="shared" si="14"/>
        <v>1.8871582560778848E-2</v>
      </c>
      <c r="H65" s="557">
        <f t="shared" si="22"/>
        <v>1.7000000000000004</v>
      </c>
      <c r="I65" s="546">
        <f t="shared" si="15"/>
        <v>3.2081690353324047E-2</v>
      </c>
      <c r="J65" s="549">
        <f t="shared" si="16"/>
        <v>1.8871582560778845E-2</v>
      </c>
      <c r="K65" s="548">
        <f t="shared" si="17"/>
        <v>6.9</v>
      </c>
      <c r="L65" s="546">
        <f>'global path'!C58</f>
        <v>0.13021391966937404</v>
      </c>
      <c r="M65" s="549">
        <f t="shared" si="18"/>
        <v>1.8871582560778845E-2</v>
      </c>
    </row>
    <row r="66" spans="1:13" x14ac:dyDescent="0.2">
      <c r="A66" s="544">
        <f t="shared" si="19"/>
        <v>2072</v>
      </c>
      <c r="B66" s="555">
        <f t="shared" si="20"/>
        <v>1.2</v>
      </c>
      <c r="C66" s="546">
        <f t="shared" si="11"/>
        <v>1.8329247211639352E-2</v>
      </c>
      <c r="D66" s="549">
        <f t="shared" si="12"/>
        <v>1.5274372676366128E-2</v>
      </c>
      <c r="E66" s="545">
        <f t="shared" si="21"/>
        <v>4</v>
      </c>
      <c r="F66" s="546">
        <f t="shared" si="13"/>
        <v>6.1097490705464517E-2</v>
      </c>
      <c r="G66" s="547">
        <f t="shared" si="14"/>
        <v>1.5274372676366129E-2</v>
      </c>
      <c r="H66" s="557">
        <f t="shared" si="22"/>
        <v>1.7000000000000004</v>
      </c>
      <c r="I66" s="546">
        <f t="shared" si="15"/>
        <v>2.5966433549822421E-2</v>
      </c>
      <c r="J66" s="549">
        <f t="shared" si="16"/>
        <v>1.5274372676366126E-2</v>
      </c>
      <c r="K66" s="548">
        <f t="shared" si="17"/>
        <v>6.9</v>
      </c>
      <c r="L66" s="546">
        <f>'global path'!C59</f>
        <v>0.10539317146692628</v>
      </c>
      <c r="M66" s="549">
        <f t="shared" si="18"/>
        <v>1.5274372676366128E-2</v>
      </c>
    </row>
    <row r="67" spans="1:13" x14ac:dyDescent="0.2">
      <c r="A67" s="544">
        <f t="shared" si="19"/>
        <v>2073</v>
      </c>
      <c r="B67" s="555">
        <f t="shared" si="20"/>
        <v>1.2</v>
      </c>
      <c r="C67" s="546">
        <f t="shared" si="11"/>
        <v>1.4775275294181562E-2</v>
      </c>
      <c r="D67" s="549">
        <f t="shared" si="12"/>
        <v>1.2312729411817968E-2</v>
      </c>
      <c r="E67" s="545">
        <f t="shared" si="21"/>
        <v>4</v>
      </c>
      <c r="F67" s="546">
        <f t="shared" si="13"/>
        <v>4.9250917647271873E-2</v>
      </c>
      <c r="G67" s="547">
        <f t="shared" si="14"/>
        <v>1.2312729411817968E-2</v>
      </c>
      <c r="H67" s="557">
        <f t="shared" si="22"/>
        <v>1.7000000000000004</v>
      </c>
      <c r="I67" s="546">
        <f t="shared" si="15"/>
        <v>2.093164000009055E-2</v>
      </c>
      <c r="J67" s="549">
        <f t="shared" si="16"/>
        <v>1.2312729411817968E-2</v>
      </c>
      <c r="K67" s="548">
        <f t="shared" si="17"/>
        <v>6.9</v>
      </c>
      <c r="L67" s="546">
        <f>'global path'!C60</f>
        <v>8.4957832941543979E-2</v>
      </c>
      <c r="M67" s="549">
        <f t="shared" si="18"/>
        <v>1.2312729411817967E-2</v>
      </c>
    </row>
    <row r="68" spans="1:13" x14ac:dyDescent="0.2">
      <c r="A68" s="544">
        <f t="shared" si="19"/>
        <v>2074</v>
      </c>
      <c r="B68" s="555">
        <f t="shared" si="20"/>
        <v>1.2</v>
      </c>
      <c r="C68" s="546">
        <f t="shared" si="11"/>
        <v>1.1221303376723769E-2</v>
      </c>
      <c r="D68" s="549">
        <f t="shared" si="12"/>
        <v>9.3510861472698072E-3</v>
      </c>
      <c r="E68" s="545">
        <f t="shared" si="21"/>
        <v>4</v>
      </c>
      <c r="F68" s="546">
        <f t="shared" si="13"/>
        <v>3.7404344589079236E-2</v>
      </c>
      <c r="G68" s="547">
        <f t="shared" si="14"/>
        <v>9.351086147269809E-3</v>
      </c>
      <c r="H68" s="557">
        <f t="shared" si="22"/>
        <v>1.7000000000000004</v>
      </c>
      <c r="I68" s="546">
        <f t="shared" si="15"/>
        <v>1.5896846450358677E-2</v>
      </c>
      <c r="J68" s="549">
        <f t="shared" si="16"/>
        <v>9.3510861472698072E-3</v>
      </c>
      <c r="K68" s="548">
        <f t="shared" si="17"/>
        <v>6.9</v>
      </c>
      <c r="L68" s="546">
        <f>'global path'!C61</f>
        <v>6.4522494416161674E-2</v>
      </c>
      <c r="M68" s="549">
        <f t="shared" si="18"/>
        <v>9.3510861472698072E-3</v>
      </c>
    </row>
    <row r="69" spans="1:13" x14ac:dyDescent="0.2">
      <c r="A69" s="544">
        <f t="shared" si="19"/>
        <v>2075</v>
      </c>
      <c r="B69" s="555">
        <f t="shared" si="20"/>
        <v>1.2</v>
      </c>
      <c r="C69" s="546">
        <f t="shared" si="11"/>
        <v>7.6673314592659771E-3</v>
      </c>
      <c r="D69" s="549">
        <f t="shared" si="12"/>
        <v>6.3894428827216479E-3</v>
      </c>
      <c r="E69" s="545">
        <f t="shared" si="21"/>
        <v>4</v>
      </c>
      <c r="F69" s="546">
        <f t="shared" si="13"/>
        <v>2.5557771530886592E-2</v>
      </c>
      <c r="G69" s="547">
        <f t="shared" si="14"/>
        <v>6.3894428827216479E-3</v>
      </c>
      <c r="H69" s="557">
        <f t="shared" si="22"/>
        <v>1.7000000000000004</v>
      </c>
      <c r="I69" s="546">
        <f t="shared" si="15"/>
        <v>1.0862052900626803E-2</v>
      </c>
      <c r="J69" s="549">
        <f t="shared" si="16"/>
        <v>6.389442882721647E-3</v>
      </c>
      <c r="K69" s="548">
        <f t="shared" si="17"/>
        <v>6.9</v>
      </c>
      <c r="L69" s="546">
        <f>'global path'!C62</f>
        <v>4.408715589077937E-2</v>
      </c>
      <c r="M69" s="549">
        <f t="shared" si="18"/>
        <v>6.3894428827216479E-3</v>
      </c>
    </row>
    <row r="70" spans="1:13" x14ac:dyDescent="0.2">
      <c r="A70" s="544">
        <f t="shared" si="19"/>
        <v>2076</v>
      </c>
      <c r="B70" s="555">
        <f t="shared" si="20"/>
        <v>1.2</v>
      </c>
      <c r="C70" s="546">
        <f t="shared" si="11"/>
        <v>4.1133595418081856E-3</v>
      </c>
      <c r="D70" s="549">
        <f t="shared" si="12"/>
        <v>3.4277996181734881E-3</v>
      </c>
      <c r="E70" s="545">
        <f t="shared" si="21"/>
        <v>4</v>
      </c>
      <c r="F70" s="546">
        <f t="shared" si="13"/>
        <v>1.3711198472693951E-2</v>
      </c>
      <c r="G70" s="547">
        <f t="shared" si="14"/>
        <v>3.4277996181734877E-3</v>
      </c>
      <c r="H70" s="557">
        <f t="shared" si="22"/>
        <v>1.7000000000000004</v>
      </c>
      <c r="I70" s="546">
        <f t="shared" si="15"/>
        <v>5.8272593508949299E-3</v>
      </c>
      <c r="J70" s="549">
        <f t="shared" si="16"/>
        <v>3.4277996181734873E-3</v>
      </c>
      <c r="K70" s="548">
        <f t="shared" si="17"/>
        <v>6.9</v>
      </c>
      <c r="L70" s="546">
        <f>'global path'!C63</f>
        <v>2.3651817365397065E-2</v>
      </c>
      <c r="M70" s="549">
        <f t="shared" si="18"/>
        <v>3.4277996181734877E-3</v>
      </c>
    </row>
    <row r="71" spans="1:13" x14ac:dyDescent="0.2">
      <c r="A71" s="544">
        <f t="shared" si="19"/>
        <v>2077</v>
      </c>
      <c r="B71" s="555">
        <f t="shared" si="20"/>
        <v>1.2</v>
      </c>
      <c r="C71" s="546">
        <f t="shared" si="11"/>
        <v>5.5938762435039317E-4</v>
      </c>
      <c r="D71" s="549">
        <f t="shared" si="12"/>
        <v>4.6615635362532766E-4</v>
      </c>
      <c r="E71" s="545">
        <f t="shared" si="21"/>
        <v>4</v>
      </c>
      <c r="F71" s="546">
        <f t="shared" si="13"/>
        <v>1.8646254145013108E-3</v>
      </c>
      <c r="G71" s="547">
        <f t="shared" si="14"/>
        <v>4.6615635362532771E-4</v>
      </c>
      <c r="H71" s="557">
        <f t="shared" si="22"/>
        <v>1.7000000000000004</v>
      </c>
      <c r="I71" s="546">
        <f t="shared" si="15"/>
        <v>7.9246580116305713E-4</v>
      </c>
      <c r="J71" s="549">
        <f t="shared" si="16"/>
        <v>4.661563536253276E-4</v>
      </c>
      <c r="K71" s="548">
        <f t="shared" si="17"/>
        <v>6.9</v>
      </c>
      <c r="L71" s="546">
        <f>'global path'!C64</f>
        <v>3.2164788400147609E-3</v>
      </c>
      <c r="M71" s="549">
        <f t="shared" si="18"/>
        <v>4.6615635362532766E-4</v>
      </c>
    </row>
    <row r="72" spans="1:13" x14ac:dyDescent="0.2">
      <c r="A72" s="544">
        <f t="shared" si="19"/>
        <v>2078</v>
      </c>
      <c r="B72" s="555">
        <f t="shared" si="20"/>
        <v>1.2</v>
      </c>
      <c r="C72" s="546">
        <f t="shared" si="11"/>
        <v>0</v>
      </c>
      <c r="D72" s="549">
        <f t="shared" si="12"/>
        <v>0</v>
      </c>
      <c r="E72" s="545">
        <f t="shared" si="21"/>
        <v>4</v>
      </c>
      <c r="F72" s="546">
        <f t="shared" si="13"/>
        <v>0</v>
      </c>
      <c r="G72" s="547">
        <f t="shared" si="14"/>
        <v>0</v>
      </c>
      <c r="H72" s="557">
        <f t="shared" si="22"/>
        <v>1.7000000000000004</v>
      </c>
      <c r="I72" s="546">
        <f t="shared" si="15"/>
        <v>0</v>
      </c>
      <c r="J72" s="549">
        <f t="shared" si="16"/>
        <v>0</v>
      </c>
      <c r="K72" s="548">
        <f t="shared" si="17"/>
        <v>6.9</v>
      </c>
      <c r="L72" s="546">
        <f>'global path'!C65</f>
        <v>0</v>
      </c>
      <c r="M72" s="549">
        <f t="shared" si="18"/>
        <v>0</v>
      </c>
    </row>
    <row r="73" spans="1:13" x14ac:dyDescent="0.2">
      <c r="A73" s="544">
        <f t="shared" si="19"/>
        <v>2079</v>
      </c>
      <c r="B73" s="555">
        <f t="shared" si="20"/>
        <v>1.2</v>
      </c>
      <c r="C73" s="546">
        <f t="shared" si="11"/>
        <v>0</v>
      </c>
      <c r="D73" s="549">
        <f t="shared" si="12"/>
        <v>0</v>
      </c>
      <c r="E73" s="545">
        <f t="shared" si="21"/>
        <v>4</v>
      </c>
      <c r="F73" s="546">
        <f t="shared" si="13"/>
        <v>0</v>
      </c>
      <c r="G73" s="547">
        <f t="shared" si="14"/>
        <v>0</v>
      </c>
      <c r="H73" s="557">
        <f t="shared" si="22"/>
        <v>1.7000000000000004</v>
      </c>
      <c r="I73" s="546">
        <f t="shared" si="15"/>
        <v>0</v>
      </c>
      <c r="J73" s="549">
        <f t="shared" si="16"/>
        <v>0</v>
      </c>
      <c r="K73" s="548">
        <f t="shared" si="17"/>
        <v>6.9</v>
      </c>
      <c r="L73" s="546">
        <f>'global path'!C66</f>
        <v>0</v>
      </c>
      <c r="M73" s="549">
        <f t="shared" si="18"/>
        <v>0</v>
      </c>
    </row>
    <row r="74" spans="1:13" x14ac:dyDescent="0.2">
      <c r="A74" s="544">
        <f t="shared" si="19"/>
        <v>2080</v>
      </c>
      <c r="B74" s="555">
        <f t="shared" si="20"/>
        <v>1.2</v>
      </c>
      <c r="C74" s="546">
        <f t="shared" si="11"/>
        <v>0</v>
      </c>
      <c r="D74" s="549">
        <f t="shared" si="12"/>
        <v>0</v>
      </c>
      <c r="E74" s="545">
        <f t="shared" si="21"/>
        <v>4</v>
      </c>
      <c r="F74" s="546">
        <f t="shared" si="13"/>
        <v>0</v>
      </c>
      <c r="G74" s="547">
        <f t="shared" si="14"/>
        <v>0</v>
      </c>
      <c r="H74" s="557">
        <f t="shared" si="22"/>
        <v>1.7000000000000004</v>
      </c>
      <c r="I74" s="546">
        <f t="shared" si="15"/>
        <v>0</v>
      </c>
      <c r="J74" s="549">
        <f t="shared" si="16"/>
        <v>0</v>
      </c>
      <c r="K74" s="548">
        <f t="shared" si="17"/>
        <v>6.9</v>
      </c>
      <c r="L74" s="546">
        <f>'global path'!C67</f>
        <v>0</v>
      </c>
      <c r="M74" s="549">
        <f t="shared" si="18"/>
        <v>0</v>
      </c>
    </row>
    <row r="75" spans="1:13" x14ac:dyDescent="0.2">
      <c r="A75" s="544">
        <f t="shared" si="19"/>
        <v>2081</v>
      </c>
      <c r="B75" s="555">
        <f t="shared" si="20"/>
        <v>1.2</v>
      </c>
      <c r="C75" s="546">
        <f t="shared" si="11"/>
        <v>0</v>
      </c>
      <c r="D75" s="549">
        <f t="shared" si="12"/>
        <v>0</v>
      </c>
      <c r="E75" s="545">
        <f t="shared" si="21"/>
        <v>4</v>
      </c>
      <c r="F75" s="546">
        <f t="shared" si="13"/>
        <v>0</v>
      </c>
      <c r="G75" s="547">
        <f t="shared" si="14"/>
        <v>0</v>
      </c>
      <c r="H75" s="557">
        <f t="shared" si="22"/>
        <v>1.7000000000000004</v>
      </c>
      <c r="I75" s="546">
        <f t="shared" si="15"/>
        <v>0</v>
      </c>
      <c r="J75" s="549">
        <f t="shared" si="16"/>
        <v>0</v>
      </c>
      <c r="K75" s="548">
        <f t="shared" si="17"/>
        <v>6.9</v>
      </c>
      <c r="L75" s="546">
        <f>'global path'!C68</f>
        <v>0</v>
      </c>
      <c r="M75" s="549">
        <f t="shared" si="18"/>
        <v>0</v>
      </c>
    </row>
    <row r="76" spans="1:13" x14ac:dyDescent="0.2">
      <c r="A76" s="544">
        <f t="shared" si="19"/>
        <v>2082</v>
      </c>
      <c r="B76" s="555">
        <f t="shared" si="20"/>
        <v>1.2</v>
      </c>
      <c r="C76" s="546">
        <f t="shared" si="11"/>
        <v>0</v>
      </c>
      <c r="D76" s="549">
        <f t="shared" si="12"/>
        <v>0</v>
      </c>
      <c r="E76" s="545">
        <f t="shared" si="21"/>
        <v>4</v>
      </c>
      <c r="F76" s="546">
        <f t="shared" si="13"/>
        <v>0</v>
      </c>
      <c r="G76" s="547">
        <f t="shared" si="14"/>
        <v>0</v>
      </c>
      <c r="H76" s="557">
        <f t="shared" si="22"/>
        <v>1.7000000000000004</v>
      </c>
      <c r="I76" s="546">
        <f t="shared" si="15"/>
        <v>0</v>
      </c>
      <c r="J76" s="549">
        <f t="shared" si="16"/>
        <v>0</v>
      </c>
      <c r="K76" s="548">
        <f t="shared" si="17"/>
        <v>6.9</v>
      </c>
      <c r="L76" s="546">
        <f>'global path'!C69</f>
        <v>0</v>
      </c>
      <c r="M76" s="549">
        <f t="shared" si="18"/>
        <v>0</v>
      </c>
    </row>
    <row r="77" spans="1:13" x14ac:dyDescent="0.2">
      <c r="A77" s="544">
        <f t="shared" si="19"/>
        <v>2083</v>
      </c>
      <c r="B77" s="555">
        <f t="shared" si="20"/>
        <v>1.2</v>
      </c>
      <c r="C77" s="546">
        <f t="shared" si="11"/>
        <v>0</v>
      </c>
      <c r="D77" s="549">
        <f t="shared" si="12"/>
        <v>0</v>
      </c>
      <c r="E77" s="545">
        <f t="shared" si="21"/>
        <v>4</v>
      </c>
      <c r="F77" s="546">
        <f t="shared" si="13"/>
        <v>0</v>
      </c>
      <c r="G77" s="547">
        <f t="shared" si="14"/>
        <v>0</v>
      </c>
      <c r="H77" s="557">
        <f t="shared" si="22"/>
        <v>1.7000000000000004</v>
      </c>
      <c r="I77" s="546">
        <f t="shared" si="15"/>
        <v>0</v>
      </c>
      <c r="J77" s="549">
        <f t="shared" si="16"/>
        <v>0</v>
      </c>
      <c r="K77" s="548">
        <f t="shared" si="17"/>
        <v>6.9</v>
      </c>
      <c r="L77" s="546">
        <f>'global path'!C70</f>
        <v>0</v>
      </c>
      <c r="M77" s="549">
        <f t="shared" si="18"/>
        <v>0</v>
      </c>
    </row>
    <row r="78" spans="1:13" x14ac:dyDescent="0.2">
      <c r="A78" s="544">
        <f t="shared" si="19"/>
        <v>2084</v>
      </c>
      <c r="B78" s="555">
        <f t="shared" si="20"/>
        <v>1.2</v>
      </c>
      <c r="C78" s="546">
        <f t="shared" si="11"/>
        <v>0</v>
      </c>
      <c r="D78" s="549">
        <f t="shared" si="12"/>
        <v>0</v>
      </c>
      <c r="E78" s="545">
        <f t="shared" si="21"/>
        <v>4</v>
      </c>
      <c r="F78" s="546">
        <f t="shared" si="13"/>
        <v>0</v>
      </c>
      <c r="G78" s="547">
        <f t="shared" si="14"/>
        <v>0</v>
      </c>
      <c r="H78" s="557">
        <f t="shared" si="22"/>
        <v>1.7000000000000004</v>
      </c>
      <c r="I78" s="546">
        <f t="shared" si="15"/>
        <v>0</v>
      </c>
      <c r="J78" s="549">
        <f t="shared" si="16"/>
        <v>0</v>
      </c>
      <c r="K78" s="548">
        <f t="shared" si="17"/>
        <v>6.9</v>
      </c>
      <c r="L78" s="546">
        <f>'global path'!C71</f>
        <v>0</v>
      </c>
      <c r="M78" s="549">
        <f t="shared" si="18"/>
        <v>0</v>
      </c>
    </row>
    <row r="79" spans="1:13" x14ac:dyDescent="0.2">
      <c r="A79" s="544">
        <f t="shared" si="19"/>
        <v>2085</v>
      </c>
      <c r="B79" s="555">
        <f t="shared" si="20"/>
        <v>1.2</v>
      </c>
      <c r="C79" s="546">
        <f t="shared" si="11"/>
        <v>0</v>
      </c>
      <c r="D79" s="549">
        <f t="shared" si="12"/>
        <v>0</v>
      </c>
      <c r="E79" s="545">
        <f t="shared" si="21"/>
        <v>4</v>
      </c>
      <c r="F79" s="546">
        <f t="shared" si="13"/>
        <v>0</v>
      </c>
      <c r="G79" s="547">
        <f t="shared" si="14"/>
        <v>0</v>
      </c>
      <c r="H79" s="557">
        <f t="shared" si="22"/>
        <v>1.7000000000000004</v>
      </c>
      <c r="I79" s="546">
        <f t="shared" si="15"/>
        <v>0</v>
      </c>
      <c r="J79" s="549">
        <f t="shared" si="16"/>
        <v>0</v>
      </c>
      <c r="K79" s="548">
        <f t="shared" si="17"/>
        <v>6.9</v>
      </c>
      <c r="L79" s="546">
        <f>'global path'!C72</f>
        <v>0</v>
      </c>
      <c r="M79" s="549">
        <f t="shared" si="18"/>
        <v>0</v>
      </c>
    </row>
    <row r="80" spans="1:13" x14ac:dyDescent="0.2">
      <c r="A80" s="544">
        <f t="shared" si="19"/>
        <v>2086</v>
      </c>
      <c r="B80" s="555">
        <f t="shared" si="20"/>
        <v>1.2</v>
      </c>
      <c r="C80" s="546">
        <f t="shared" si="11"/>
        <v>0</v>
      </c>
      <c r="D80" s="549">
        <f t="shared" si="12"/>
        <v>0</v>
      </c>
      <c r="E80" s="545">
        <f t="shared" si="21"/>
        <v>4</v>
      </c>
      <c r="F80" s="546">
        <f t="shared" si="13"/>
        <v>0</v>
      </c>
      <c r="G80" s="547">
        <f t="shared" si="14"/>
        <v>0</v>
      </c>
      <c r="H80" s="557">
        <f t="shared" si="22"/>
        <v>1.7000000000000004</v>
      </c>
      <c r="I80" s="546">
        <f t="shared" si="15"/>
        <v>0</v>
      </c>
      <c r="J80" s="549">
        <f t="shared" si="16"/>
        <v>0</v>
      </c>
      <c r="K80" s="548">
        <f t="shared" si="17"/>
        <v>6.9</v>
      </c>
      <c r="L80" s="546">
        <f>'global path'!C73</f>
        <v>0</v>
      </c>
      <c r="M80" s="549">
        <f t="shared" si="18"/>
        <v>0</v>
      </c>
    </row>
    <row r="81" spans="1:13" x14ac:dyDescent="0.2">
      <c r="A81" s="544">
        <f t="shared" si="19"/>
        <v>2087</v>
      </c>
      <c r="B81" s="555">
        <f t="shared" si="20"/>
        <v>1.2</v>
      </c>
      <c r="C81" s="546">
        <f t="shared" si="11"/>
        <v>0</v>
      </c>
      <c r="D81" s="549">
        <f t="shared" si="12"/>
        <v>0</v>
      </c>
      <c r="E81" s="545">
        <f t="shared" si="21"/>
        <v>4</v>
      </c>
      <c r="F81" s="546">
        <f t="shared" si="13"/>
        <v>0</v>
      </c>
      <c r="G81" s="547">
        <f t="shared" si="14"/>
        <v>0</v>
      </c>
      <c r="H81" s="557">
        <f t="shared" si="22"/>
        <v>1.7000000000000004</v>
      </c>
      <c r="I81" s="546">
        <f t="shared" si="15"/>
        <v>0</v>
      </c>
      <c r="J81" s="549">
        <f t="shared" si="16"/>
        <v>0</v>
      </c>
      <c r="K81" s="548">
        <f t="shared" si="17"/>
        <v>6.9</v>
      </c>
      <c r="L81" s="546">
        <f>'global path'!C74</f>
        <v>0</v>
      </c>
      <c r="M81" s="549">
        <f t="shared" si="18"/>
        <v>0</v>
      </c>
    </row>
    <row r="82" spans="1:13" x14ac:dyDescent="0.2">
      <c r="A82" s="544">
        <f t="shared" si="19"/>
        <v>2088</v>
      </c>
      <c r="B82" s="555">
        <f t="shared" si="20"/>
        <v>1.2</v>
      </c>
      <c r="C82" s="546">
        <f t="shared" si="11"/>
        <v>0</v>
      </c>
      <c r="D82" s="549">
        <f t="shared" si="12"/>
        <v>0</v>
      </c>
      <c r="E82" s="545">
        <f t="shared" si="21"/>
        <v>4</v>
      </c>
      <c r="F82" s="546">
        <f t="shared" si="13"/>
        <v>0</v>
      </c>
      <c r="G82" s="547">
        <f t="shared" si="14"/>
        <v>0</v>
      </c>
      <c r="H82" s="557">
        <f t="shared" si="22"/>
        <v>1.7000000000000004</v>
      </c>
      <c r="I82" s="546">
        <f t="shared" si="15"/>
        <v>0</v>
      </c>
      <c r="J82" s="549">
        <f t="shared" si="16"/>
        <v>0</v>
      </c>
      <c r="K82" s="548">
        <f t="shared" si="17"/>
        <v>6.9</v>
      </c>
      <c r="L82" s="546">
        <f>'global path'!C75</f>
        <v>0</v>
      </c>
      <c r="M82" s="549">
        <f t="shared" si="18"/>
        <v>0</v>
      </c>
    </row>
    <row r="83" spans="1:13" x14ac:dyDescent="0.2">
      <c r="A83" s="544">
        <f t="shared" si="19"/>
        <v>2089</v>
      </c>
      <c r="B83" s="555">
        <f t="shared" si="20"/>
        <v>1.2</v>
      </c>
      <c r="C83" s="546">
        <f t="shared" si="11"/>
        <v>0</v>
      </c>
      <c r="D83" s="549">
        <f t="shared" si="12"/>
        <v>0</v>
      </c>
      <c r="E83" s="545">
        <f t="shared" si="21"/>
        <v>4</v>
      </c>
      <c r="F83" s="546">
        <f t="shared" si="13"/>
        <v>0</v>
      </c>
      <c r="G83" s="547">
        <f t="shared" si="14"/>
        <v>0</v>
      </c>
      <c r="H83" s="557">
        <f t="shared" si="22"/>
        <v>1.7000000000000004</v>
      </c>
      <c r="I83" s="546">
        <f t="shared" si="15"/>
        <v>0</v>
      </c>
      <c r="J83" s="549">
        <f t="shared" si="16"/>
        <v>0</v>
      </c>
      <c r="K83" s="548">
        <f t="shared" si="17"/>
        <v>6.9</v>
      </c>
      <c r="L83" s="546">
        <f>'global path'!C76</f>
        <v>0</v>
      </c>
      <c r="M83" s="549">
        <f t="shared" si="18"/>
        <v>0</v>
      </c>
    </row>
    <row r="84" spans="1:13" x14ac:dyDescent="0.2">
      <c r="A84" s="544">
        <f t="shared" si="19"/>
        <v>2090</v>
      </c>
      <c r="B84" s="555">
        <f t="shared" si="20"/>
        <v>1.2</v>
      </c>
      <c r="C84" s="546">
        <f t="shared" si="11"/>
        <v>0</v>
      </c>
      <c r="D84" s="549">
        <f t="shared" si="12"/>
        <v>0</v>
      </c>
      <c r="E84" s="545">
        <f t="shared" si="21"/>
        <v>4</v>
      </c>
      <c r="F84" s="546">
        <f t="shared" si="13"/>
        <v>0</v>
      </c>
      <c r="G84" s="547">
        <f t="shared" si="14"/>
        <v>0</v>
      </c>
      <c r="H84" s="557">
        <f t="shared" si="22"/>
        <v>1.7000000000000004</v>
      </c>
      <c r="I84" s="546">
        <f t="shared" si="15"/>
        <v>0</v>
      </c>
      <c r="J84" s="549">
        <f t="shared" si="16"/>
        <v>0</v>
      </c>
      <c r="K84" s="548">
        <f t="shared" si="17"/>
        <v>6.9</v>
      </c>
      <c r="L84" s="546">
        <f>'global path'!C77</f>
        <v>0</v>
      </c>
      <c r="M84" s="549">
        <f t="shared" si="18"/>
        <v>0</v>
      </c>
    </row>
    <row r="85" spans="1:13" x14ac:dyDescent="0.2">
      <c r="A85" s="544">
        <f t="shared" si="19"/>
        <v>2091</v>
      </c>
      <c r="B85" s="555">
        <f t="shared" si="20"/>
        <v>1.2</v>
      </c>
      <c r="C85" s="546">
        <f t="shared" si="11"/>
        <v>0</v>
      </c>
      <c r="D85" s="549">
        <f t="shared" si="12"/>
        <v>0</v>
      </c>
      <c r="E85" s="545">
        <f t="shared" si="21"/>
        <v>4</v>
      </c>
      <c r="F85" s="546">
        <f t="shared" si="13"/>
        <v>0</v>
      </c>
      <c r="G85" s="547">
        <f t="shared" si="14"/>
        <v>0</v>
      </c>
      <c r="H85" s="557">
        <f t="shared" si="22"/>
        <v>1.7000000000000004</v>
      </c>
      <c r="I85" s="546">
        <f t="shared" si="15"/>
        <v>0</v>
      </c>
      <c r="J85" s="549">
        <f t="shared" si="16"/>
        <v>0</v>
      </c>
      <c r="K85" s="548">
        <f t="shared" si="17"/>
        <v>6.9</v>
      </c>
      <c r="L85" s="546">
        <f>'global path'!C78</f>
        <v>0</v>
      </c>
      <c r="M85" s="549">
        <f t="shared" si="18"/>
        <v>0</v>
      </c>
    </row>
    <row r="86" spans="1:13" x14ac:dyDescent="0.2">
      <c r="A86" s="544">
        <f t="shared" si="19"/>
        <v>2092</v>
      </c>
      <c r="B86" s="555">
        <f t="shared" si="20"/>
        <v>1.2</v>
      </c>
      <c r="C86" s="546">
        <f t="shared" si="11"/>
        <v>0</v>
      </c>
      <c r="D86" s="549">
        <f t="shared" si="12"/>
        <v>0</v>
      </c>
      <c r="E86" s="545">
        <f t="shared" si="21"/>
        <v>4</v>
      </c>
      <c r="F86" s="546">
        <f t="shared" si="13"/>
        <v>0</v>
      </c>
      <c r="G86" s="547">
        <f t="shared" si="14"/>
        <v>0</v>
      </c>
      <c r="H86" s="557">
        <f t="shared" si="22"/>
        <v>1.7000000000000004</v>
      </c>
      <c r="I86" s="546">
        <f t="shared" si="15"/>
        <v>0</v>
      </c>
      <c r="J86" s="549">
        <f t="shared" si="16"/>
        <v>0</v>
      </c>
      <c r="K86" s="548">
        <f t="shared" si="17"/>
        <v>6.9</v>
      </c>
      <c r="L86" s="546">
        <f>'global path'!C79</f>
        <v>0</v>
      </c>
      <c r="M86" s="549">
        <f t="shared" si="18"/>
        <v>0</v>
      </c>
    </row>
    <row r="87" spans="1:13" x14ac:dyDescent="0.2">
      <c r="A87" s="544">
        <f t="shared" si="19"/>
        <v>2093</v>
      </c>
      <c r="B87" s="555">
        <f t="shared" si="20"/>
        <v>1.2</v>
      </c>
      <c r="C87" s="546">
        <f t="shared" si="11"/>
        <v>0</v>
      </c>
      <c r="D87" s="549">
        <f t="shared" si="12"/>
        <v>0</v>
      </c>
      <c r="E87" s="545">
        <f t="shared" si="21"/>
        <v>4</v>
      </c>
      <c r="F87" s="546">
        <f t="shared" si="13"/>
        <v>0</v>
      </c>
      <c r="G87" s="547">
        <f t="shared" si="14"/>
        <v>0</v>
      </c>
      <c r="H87" s="557">
        <f t="shared" si="22"/>
        <v>1.7000000000000004</v>
      </c>
      <c r="I87" s="546">
        <f t="shared" si="15"/>
        <v>0</v>
      </c>
      <c r="J87" s="549">
        <f t="shared" si="16"/>
        <v>0</v>
      </c>
      <c r="K87" s="548">
        <f t="shared" si="17"/>
        <v>6.9</v>
      </c>
      <c r="L87" s="546">
        <f>'global path'!C80</f>
        <v>0</v>
      </c>
      <c r="M87" s="549">
        <f t="shared" si="18"/>
        <v>0</v>
      </c>
    </row>
    <row r="88" spans="1:13" x14ac:dyDescent="0.2">
      <c r="A88" s="544">
        <f t="shared" si="19"/>
        <v>2094</v>
      </c>
      <c r="B88" s="555">
        <f t="shared" si="20"/>
        <v>1.2</v>
      </c>
      <c r="C88" s="546">
        <f t="shared" si="11"/>
        <v>0</v>
      </c>
      <c r="D88" s="549">
        <f t="shared" si="12"/>
        <v>0</v>
      </c>
      <c r="E88" s="545">
        <f t="shared" si="21"/>
        <v>4</v>
      </c>
      <c r="F88" s="546">
        <f t="shared" si="13"/>
        <v>0</v>
      </c>
      <c r="G88" s="547">
        <f t="shared" si="14"/>
        <v>0</v>
      </c>
      <c r="H88" s="557">
        <f t="shared" si="22"/>
        <v>1.7000000000000004</v>
      </c>
      <c r="I88" s="546">
        <f t="shared" si="15"/>
        <v>0</v>
      </c>
      <c r="J88" s="549">
        <f t="shared" si="16"/>
        <v>0</v>
      </c>
      <c r="K88" s="548">
        <f t="shared" si="17"/>
        <v>6.9</v>
      </c>
      <c r="L88" s="546">
        <f>'global path'!C81</f>
        <v>0</v>
      </c>
      <c r="M88" s="549">
        <f t="shared" si="18"/>
        <v>0</v>
      </c>
    </row>
    <row r="89" spans="1:13" x14ac:dyDescent="0.2">
      <c r="A89" s="544">
        <f t="shared" si="19"/>
        <v>2095</v>
      </c>
      <c r="B89" s="555">
        <f t="shared" si="20"/>
        <v>1.2</v>
      </c>
      <c r="C89" s="546">
        <f t="shared" si="11"/>
        <v>0</v>
      </c>
      <c r="D89" s="549">
        <f t="shared" si="12"/>
        <v>0</v>
      </c>
      <c r="E89" s="545">
        <f t="shared" si="21"/>
        <v>4</v>
      </c>
      <c r="F89" s="546">
        <f t="shared" si="13"/>
        <v>0</v>
      </c>
      <c r="G89" s="547">
        <f t="shared" si="14"/>
        <v>0</v>
      </c>
      <c r="H89" s="557">
        <f t="shared" si="22"/>
        <v>1.7000000000000004</v>
      </c>
      <c r="I89" s="546">
        <f t="shared" si="15"/>
        <v>0</v>
      </c>
      <c r="J89" s="549">
        <f t="shared" si="16"/>
        <v>0</v>
      </c>
      <c r="K89" s="548">
        <f t="shared" si="17"/>
        <v>6.9</v>
      </c>
      <c r="L89" s="546">
        <f>'global path'!C82</f>
        <v>0</v>
      </c>
      <c r="M89" s="549">
        <f t="shared" si="18"/>
        <v>0</v>
      </c>
    </row>
    <row r="90" spans="1:13" x14ac:dyDescent="0.2">
      <c r="A90" s="544">
        <f t="shared" si="19"/>
        <v>2096</v>
      </c>
      <c r="B90" s="555">
        <f t="shared" si="20"/>
        <v>1.2</v>
      </c>
      <c r="C90" s="546">
        <f t="shared" si="11"/>
        <v>0</v>
      </c>
      <c r="D90" s="549">
        <f t="shared" si="12"/>
        <v>0</v>
      </c>
      <c r="E90" s="545">
        <f t="shared" si="21"/>
        <v>4</v>
      </c>
      <c r="F90" s="546">
        <f t="shared" si="13"/>
        <v>0</v>
      </c>
      <c r="G90" s="547">
        <f t="shared" si="14"/>
        <v>0</v>
      </c>
      <c r="H90" s="557">
        <f t="shared" si="22"/>
        <v>1.7000000000000004</v>
      </c>
      <c r="I90" s="546">
        <f t="shared" si="15"/>
        <v>0</v>
      </c>
      <c r="J90" s="549">
        <f t="shared" si="16"/>
        <v>0</v>
      </c>
      <c r="K90" s="548">
        <f t="shared" si="17"/>
        <v>6.9</v>
      </c>
      <c r="L90" s="546">
        <f>'global path'!C83</f>
        <v>0</v>
      </c>
      <c r="M90" s="549">
        <f t="shared" si="18"/>
        <v>0</v>
      </c>
    </row>
    <row r="91" spans="1:13" x14ac:dyDescent="0.2">
      <c r="A91" s="544">
        <f t="shared" si="19"/>
        <v>2097</v>
      </c>
      <c r="B91" s="555">
        <f t="shared" si="20"/>
        <v>1.2</v>
      </c>
      <c r="C91" s="546">
        <f t="shared" si="11"/>
        <v>0</v>
      </c>
      <c r="D91" s="549">
        <f t="shared" si="12"/>
        <v>0</v>
      </c>
      <c r="E91" s="545">
        <f t="shared" si="21"/>
        <v>4</v>
      </c>
      <c r="F91" s="546">
        <f t="shared" si="13"/>
        <v>0</v>
      </c>
      <c r="G91" s="547">
        <f t="shared" si="14"/>
        <v>0</v>
      </c>
      <c r="H91" s="557">
        <f t="shared" si="22"/>
        <v>1.7000000000000004</v>
      </c>
      <c r="I91" s="546">
        <f t="shared" si="15"/>
        <v>0</v>
      </c>
      <c r="J91" s="549">
        <f t="shared" si="16"/>
        <v>0</v>
      </c>
      <c r="K91" s="548">
        <f t="shared" si="17"/>
        <v>6.9</v>
      </c>
      <c r="L91" s="546">
        <f>'global path'!C84</f>
        <v>0</v>
      </c>
      <c r="M91" s="549">
        <f t="shared" si="18"/>
        <v>0</v>
      </c>
    </row>
    <row r="92" spans="1:13" x14ac:dyDescent="0.2">
      <c r="A92" s="544">
        <f t="shared" si="19"/>
        <v>2098</v>
      </c>
      <c r="B92" s="555">
        <f t="shared" si="20"/>
        <v>1.2</v>
      </c>
      <c r="C92" s="546">
        <f t="shared" si="11"/>
        <v>0</v>
      </c>
      <c r="D92" s="549">
        <f t="shared" si="12"/>
        <v>0</v>
      </c>
      <c r="E92" s="545">
        <f t="shared" si="21"/>
        <v>4</v>
      </c>
      <c r="F92" s="546">
        <f t="shared" si="13"/>
        <v>0</v>
      </c>
      <c r="G92" s="547">
        <f t="shared" si="14"/>
        <v>0</v>
      </c>
      <c r="H92" s="557">
        <f t="shared" si="22"/>
        <v>1.7000000000000004</v>
      </c>
      <c r="I92" s="546">
        <f t="shared" si="15"/>
        <v>0</v>
      </c>
      <c r="J92" s="549">
        <f t="shared" si="16"/>
        <v>0</v>
      </c>
      <c r="K92" s="548">
        <f t="shared" si="17"/>
        <v>6.9</v>
      </c>
      <c r="L92" s="546">
        <f>'global path'!C85</f>
        <v>0</v>
      </c>
      <c r="M92" s="549">
        <f t="shared" si="18"/>
        <v>0</v>
      </c>
    </row>
    <row r="93" spans="1:13" x14ac:dyDescent="0.2">
      <c r="A93" s="544">
        <f t="shared" si="19"/>
        <v>2099</v>
      </c>
      <c r="B93" s="555">
        <f t="shared" si="20"/>
        <v>1.2</v>
      </c>
      <c r="C93" s="546">
        <f t="shared" si="11"/>
        <v>0</v>
      </c>
      <c r="D93" s="549">
        <f t="shared" si="12"/>
        <v>0</v>
      </c>
      <c r="E93" s="545">
        <f t="shared" si="21"/>
        <v>4</v>
      </c>
      <c r="F93" s="546">
        <f t="shared" si="13"/>
        <v>0</v>
      </c>
      <c r="G93" s="547">
        <f t="shared" si="14"/>
        <v>0</v>
      </c>
      <c r="H93" s="557">
        <f t="shared" si="22"/>
        <v>1.7000000000000004</v>
      </c>
      <c r="I93" s="546">
        <f t="shared" si="15"/>
        <v>0</v>
      </c>
      <c r="J93" s="549">
        <f t="shared" si="16"/>
        <v>0</v>
      </c>
      <c r="K93" s="548">
        <f t="shared" si="17"/>
        <v>6.9</v>
      </c>
      <c r="L93" s="546">
        <f>'global path'!C86</f>
        <v>0</v>
      </c>
      <c r="M93" s="549">
        <f t="shared" si="18"/>
        <v>0</v>
      </c>
    </row>
    <row r="94" spans="1:13" ht="13.5" thickBot="1" x14ac:dyDescent="0.25">
      <c r="A94" s="339">
        <f t="shared" si="19"/>
        <v>2100</v>
      </c>
      <c r="B94" s="556">
        <f t="shared" si="20"/>
        <v>1.2</v>
      </c>
      <c r="C94" s="551">
        <f t="shared" si="11"/>
        <v>0</v>
      </c>
      <c r="D94" s="554">
        <f t="shared" si="12"/>
        <v>0</v>
      </c>
      <c r="E94" s="550">
        <f t="shared" si="21"/>
        <v>4</v>
      </c>
      <c r="F94" s="551">
        <f t="shared" si="13"/>
        <v>0</v>
      </c>
      <c r="G94" s="552">
        <f t="shared" si="14"/>
        <v>0</v>
      </c>
      <c r="H94" s="558">
        <f t="shared" si="22"/>
        <v>1.7000000000000004</v>
      </c>
      <c r="I94" s="551">
        <f t="shared" si="15"/>
        <v>0</v>
      </c>
      <c r="J94" s="554">
        <f t="shared" si="16"/>
        <v>0</v>
      </c>
      <c r="K94" s="553">
        <f t="shared" si="17"/>
        <v>6.9</v>
      </c>
      <c r="L94" s="551">
        <f>'global path'!C87</f>
        <v>0</v>
      </c>
      <c r="M94" s="554">
        <f t="shared" si="18"/>
        <v>0</v>
      </c>
    </row>
    <row r="95" spans="1:13" ht="13.5" thickBot="1" x14ac:dyDescent="0.25">
      <c r="A95" s="143" t="s">
        <v>1</v>
      </c>
      <c r="B95" s="120"/>
      <c r="C95" s="121">
        <f>SUM(C45:C94)</f>
        <v>4.730879831791162</v>
      </c>
      <c r="D95" s="122"/>
      <c r="E95" s="120"/>
      <c r="F95" s="121">
        <f>SUM(F45:F94)</f>
        <v>15.769599439303878</v>
      </c>
      <c r="G95" s="122"/>
      <c r="H95" s="120"/>
      <c r="I95" s="121">
        <f>SUM(I45:I94)</f>
        <v>6.7020797617041437</v>
      </c>
      <c r="J95" s="122"/>
      <c r="K95" s="120"/>
      <c r="L95" s="121">
        <f>SUM(L45:L94)</f>
        <v>27.202559032799176</v>
      </c>
      <c r="M95" s="124"/>
    </row>
    <row r="96" spans="1:13" ht="13.5" thickBot="1" x14ac:dyDescent="0.25"/>
    <row r="97" spans="1:50" ht="13.5" thickBot="1" x14ac:dyDescent="0.25">
      <c r="A97" s="143" t="s">
        <v>1</v>
      </c>
      <c r="B97" s="144"/>
      <c r="C97" s="145">
        <f>C95+C40</f>
        <v>188.04469928745851</v>
      </c>
      <c r="D97" s="146"/>
      <c r="E97" s="144"/>
      <c r="F97" s="145">
        <f>F95+F40</f>
        <v>372.92289572789423</v>
      </c>
      <c r="G97" s="146"/>
      <c r="H97" s="144"/>
      <c r="I97" s="145">
        <f>I95+I40</f>
        <v>122.9986103752896</v>
      </c>
      <c r="J97" s="146"/>
      <c r="K97" s="144"/>
      <c r="L97" s="145">
        <f>L95+L40</f>
        <v>683.96620539064224</v>
      </c>
      <c r="M97" s="148"/>
    </row>
    <row r="99" spans="1:50" x14ac:dyDescent="0.2">
      <c r="J99" s="687" t="s">
        <v>41</v>
      </c>
      <c r="K99" s="688"/>
      <c r="L99" s="689">
        <f>'C&amp;C-exp'!L102</f>
        <v>683.96620539064213</v>
      </c>
    </row>
    <row r="100" spans="1:50" x14ac:dyDescent="0.2">
      <c r="J100" s="690" t="s">
        <v>215</v>
      </c>
      <c r="K100" s="691"/>
      <c r="L100" s="692">
        <f>L97-L99</f>
        <v>0</v>
      </c>
    </row>
    <row r="101" spans="1:50" x14ac:dyDescent="0.2">
      <c r="A101" s="617" t="s">
        <v>41</v>
      </c>
      <c r="B101" s="634"/>
      <c r="C101" s="636">
        <f>'global path'!C2</f>
        <v>3</v>
      </c>
    </row>
    <row r="102" spans="1:50" x14ac:dyDescent="0.2">
      <c r="A102" s="655">
        <v>2</v>
      </c>
      <c r="B102" s="618"/>
      <c r="C102" s="684">
        <v>190.35337161271687</v>
      </c>
      <c r="D102" s="619"/>
      <c r="E102" s="619"/>
      <c r="F102" s="684">
        <v>371.9548274247735</v>
      </c>
      <c r="G102" s="619"/>
      <c r="H102" s="619"/>
      <c r="I102" s="684">
        <v>121.37602418369821</v>
      </c>
      <c r="J102" s="619"/>
      <c r="K102" s="619"/>
      <c r="L102" s="648">
        <f>SUM(C102:I102)</f>
        <v>683.68422322118852</v>
      </c>
      <c r="M102" s="617" t="s">
        <v>217</v>
      </c>
      <c r="N102" s="634"/>
    </row>
    <row r="103" spans="1:50" x14ac:dyDescent="0.2">
      <c r="A103" s="656">
        <v>1</v>
      </c>
      <c r="B103" s="11"/>
      <c r="C103" s="685">
        <v>180.61976629338523</v>
      </c>
      <c r="D103" s="621"/>
      <c r="E103" s="621"/>
      <c r="F103" s="685">
        <v>375.50006647903422</v>
      </c>
      <c r="G103" s="621"/>
      <c r="H103" s="621"/>
      <c r="I103" s="685">
        <v>127.91415182401498</v>
      </c>
      <c r="J103" s="621"/>
      <c r="K103" s="621"/>
      <c r="L103" s="649">
        <f>SUM(C103:I103)</f>
        <v>684.03398459643438</v>
      </c>
      <c r="M103" s="462" t="s">
        <v>217</v>
      </c>
      <c r="N103" s="97"/>
    </row>
    <row r="104" spans="1:50" x14ac:dyDescent="0.2">
      <c r="A104" s="656">
        <v>3</v>
      </c>
      <c r="B104" s="11"/>
      <c r="C104" s="685">
        <v>188.04469928745851</v>
      </c>
      <c r="D104" s="621"/>
      <c r="E104" s="621"/>
      <c r="F104" s="685">
        <v>372.92289572789423</v>
      </c>
      <c r="G104" s="621"/>
      <c r="H104" s="621"/>
      <c r="I104" s="685">
        <v>122.9986103752896</v>
      </c>
      <c r="J104" s="621"/>
      <c r="K104" s="621"/>
      <c r="L104" s="649">
        <f>SUM(C104:I104)</f>
        <v>683.96620539064236</v>
      </c>
      <c r="M104" s="462" t="s">
        <v>217</v>
      </c>
      <c r="N104" s="97"/>
    </row>
    <row r="105" spans="1:50" x14ac:dyDescent="0.2">
      <c r="A105" s="657">
        <v>6</v>
      </c>
      <c r="B105" s="35"/>
      <c r="C105" s="686">
        <v>189.76782748081885</v>
      </c>
      <c r="D105" s="624"/>
      <c r="E105" s="624"/>
      <c r="F105" s="686">
        <v>372.24412918873077</v>
      </c>
      <c r="G105" s="624"/>
      <c r="H105" s="624"/>
      <c r="I105" s="686">
        <v>121.81228018866248</v>
      </c>
      <c r="J105" s="624"/>
      <c r="K105" s="624"/>
      <c r="L105" s="695">
        <f>SUM(C105:I105)</f>
        <v>683.82423685821209</v>
      </c>
      <c r="M105" s="623" t="s">
        <v>217</v>
      </c>
      <c r="N105" s="60"/>
    </row>
    <row r="106" spans="1:50" ht="11.25" x14ac:dyDescent="0.2">
      <c r="A106" s="656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R106" s="3"/>
      <c r="AS106" s="3"/>
      <c r="AT106" s="3"/>
      <c r="AU106" s="3"/>
      <c r="AV106" s="3"/>
      <c r="AW106" s="3"/>
      <c r="AX106" s="3"/>
    </row>
    <row r="107" spans="1:50" x14ac:dyDescent="0.2">
      <c r="A107" s="655">
        <v>2</v>
      </c>
      <c r="B107" s="618"/>
      <c r="C107" s="619">
        <f>$L107*'input data'!$C$11*$L$97+(1-$L107)*'input data'!$C$10*$L$97</f>
        <v>190.43965666161904</v>
      </c>
      <c r="D107" s="625"/>
      <c r="E107" s="618"/>
      <c r="F107" s="619">
        <f>$L107*'input data'!$D$11*$L$97+(1-$L107)*'input data'!$D$10*$L$97</f>
        <v>372.10558511648219</v>
      </c>
      <c r="G107" s="625"/>
      <c r="H107" s="618"/>
      <c r="I107" s="619">
        <f>$L107*'input data'!$E$11*$L$97+(1-$L107)*'input data'!$E$10*$L$97</f>
        <v>121.42096361254102</v>
      </c>
      <c r="J107" s="618"/>
      <c r="K107" s="618"/>
      <c r="L107" s="650">
        <v>0.68264338827503857</v>
      </c>
      <c r="M107" s="617" t="s">
        <v>200</v>
      </c>
      <c r="N107" s="634"/>
      <c r="O107" s="677" t="s">
        <v>170</v>
      </c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R107" s="3"/>
      <c r="AS107" s="3"/>
      <c r="AT107" s="3"/>
      <c r="AU107" s="3"/>
      <c r="AV107" s="3"/>
      <c r="AW107" s="3"/>
      <c r="AX107" s="3"/>
    </row>
    <row r="108" spans="1:50" x14ac:dyDescent="0.2">
      <c r="A108" s="656">
        <v>1</v>
      </c>
      <c r="B108" s="11"/>
      <c r="C108" s="621">
        <f>$L108*'input data'!$C$11*$L$97+(1-$L108)*'input data'!$C$10*$L$97</f>
        <v>180.60097705651509</v>
      </c>
      <c r="D108" s="519"/>
      <c r="E108" s="11"/>
      <c r="F108" s="621">
        <f>$L108*'input data'!$D$11*$L$97+(1-$L108)*'input data'!$D$10*$L$97</f>
        <v>375.46316355620399</v>
      </c>
      <c r="G108" s="519"/>
      <c r="H108" s="11"/>
      <c r="I108" s="621">
        <f>$L108*'input data'!$E$11*$L$97+(1-$L108)*'input data'!$E$10*$L$97</f>
        <v>127.90206477792321</v>
      </c>
      <c r="J108" s="11"/>
      <c r="K108" s="11"/>
      <c r="L108" s="696">
        <v>0.72631961102917653</v>
      </c>
      <c r="M108" s="462" t="s">
        <v>200</v>
      </c>
      <c r="N108" s="97"/>
      <c r="O108" s="681" t="s">
        <v>170</v>
      </c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R108" s="3"/>
      <c r="AS108" s="3"/>
      <c r="AT108" s="3"/>
      <c r="AU108" s="3"/>
      <c r="AV108" s="3"/>
      <c r="AW108" s="3"/>
      <c r="AX108" s="3"/>
    </row>
    <row r="109" spans="1:50" x14ac:dyDescent="0.2">
      <c r="A109" s="656">
        <f>A104</f>
        <v>3</v>
      </c>
      <c r="B109" s="11"/>
      <c r="C109" s="621">
        <f>$L109*'input data'!$C$11*$L$97+(1-$L109)*'input data'!$C$10*$L$97</f>
        <v>188.04469928745849</v>
      </c>
      <c r="D109" s="519"/>
      <c r="E109" s="11"/>
      <c r="F109" s="621">
        <f>$L109*'input data'!$D$11*$L$97+(1-$L109)*'input data'!$D$10*$L$97</f>
        <v>372.92289572789417</v>
      </c>
      <c r="G109" s="519"/>
      <c r="H109" s="11"/>
      <c r="I109" s="621">
        <f>$L109*'input data'!$E$11*$L$97+(1-$L109)*'input data'!$E$10*$L$97</f>
        <v>122.99861037528959</v>
      </c>
      <c r="J109" s="11"/>
      <c r="K109" s="11"/>
      <c r="L109" s="696">
        <v>0.69327516977001047</v>
      </c>
      <c r="M109" s="462" t="s">
        <v>200</v>
      </c>
      <c r="N109" s="97"/>
      <c r="O109" s="681" t="s">
        <v>170</v>
      </c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R109" s="3"/>
      <c r="AS109" s="3"/>
      <c r="AT109" s="3"/>
      <c r="AU109" s="3"/>
      <c r="AV109" s="3"/>
      <c r="AW109" s="3"/>
      <c r="AX109" s="3"/>
    </row>
    <row r="110" spans="1:50" x14ac:dyDescent="0.2">
      <c r="A110" s="657">
        <f>A105</f>
        <v>6</v>
      </c>
      <c r="B110" s="35"/>
      <c r="C110" s="624">
        <f>$L110*'input data'!$C$11*$L$97+(1-$L110)*'input data'!$C$10*$L$97</f>
        <v>189.81101095648745</v>
      </c>
      <c r="D110" s="627"/>
      <c r="E110" s="35"/>
      <c r="F110" s="624">
        <f>$L110*'input data'!$D$11*$L$97+(1-$L110)*'input data'!$D$10*$L$97</f>
        <v>372.32011870742042</v>
      </c>
      <c r="G110" s="627"/>
      <c r="H110" s="35"/>
      <c r="I110" s="624">
        <f>$L110*'input data'!$E$11*$L$97+(1-$L110)*'input data'!$E$10*$L$97</f>
        <v>121.8350757267344</v>
      </c>
      <c r="J110" s="35"/>
      <c r="K110" s="35"/>
      <c r="L110" s="651">
        <v>0.68543409505204511</v>
      </c>
      <c r="M110" s="623" t="s">
        <v>200</v>
      </c>
      <c r="N110" s="60"/>
      <c r="O110" s="678" t="s">
        <v>170</v>
      </c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R110" s="3"/>
      <c r="AS110" s="3"/>
      <c r="AT110" s="3"/>
      <c r="AU110" s="3"/>
      <c r="AV110" s="3"/>
      <c r="AW110" s="3"/>
      <c r="AX110" s="3"/>
    </row>
    <row r="111" spans="1:50" ht="11.25" x14ac:dyDescent="0.2">
      <c r="A111" s="656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R111" s="3"/>
      <c r="AS111" s="3"/>
      <c r="AT111" s="3"/>
      <c r="AU111" s="3"/>
      <c r="AV111" s="3"/>
      <c r="AW111" s="3"/>
      <c r="AX111" s="3"/>
    </row>
    <row r="112" spans="1:50" ht="11.25" x14ac:dyDescent="0.2">
      <c r="A112" s="655">
        <v>2</v>
      </c>
      <c r="B112" s="618"/>
      <c r="C112" s="629">
        <f>(C102-C107)^2/C102^2</f>
        <v>2.0547072433649496E-7</v>
      </c>
      <c r="D112" s="618"/>
      <c r="E112" s="618"/>
      <c r="F112" s="629">
        <f>(F102-F107)^2/F102^2</f>
        <v>1.6427767938064629E-7</v>
      </c>
      <c r="G112" s="618"/>
      <c r="H112" s="618"/>
      <c r="I112" s="629">
        <f>(I102-I107)^2/I102^2</f>
        <v>1.3708479338316843E-7</v>
      </c>
      <c r="J112" s="618"/>
      <c r="K112" s="618"/>
      <c r="L112" s="653">
        <f>C112+F112+I112</f>
        <v>5.0683319710030966E-7</v>
      </c>
      <c r="M112" s="617" t="s">
        <v>184</v>
      </c>
      <c r="N112" s="634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R112" s="3"/>
      <c r="AS112" s="3"/>
      <c r="AT112" s="3"/>
      <c r="AU112" s="3"/>
      <c r="AV112" s="3"/>
      <c r="AW112" s="3"/>
      <c r="AX112" s="3"/>
    </row>
    <row r="113" spans="1:50" ht="11.25" x14ac:dyDescent="0.2">
      <c r="A113" s="656">
        <v>1</v>
      </c>
      <c r="B113" s="11"/>
      <c r="C113" s="682">
        <f>(C103-C108)^2/C103^2</f>
        <v>1.0821506656951386E-8</v>
      </c>
      <c r="D113" s="11"/>
      <c r="E113" s="11"/>
      <c r="F113" s="682">
        <f>(F103-F108)^2/F103^2</f>
        <v>9.6583178484754672E-9</v>
      </c>
      <c r="G113" s="11"/>
      <c r="H113" s="11"/>
      <c r="I113" s="682">
        <f>(I103-I108)^2/I103^2</f>
        <v>8.9290070431075488E-9</v>
      </c>
      <c r="J113" s="11"/>
      <c r="K113" s="11"/>
      <c r="L113" s="697">
        <f>C113+F113+I113</f>
        <v>2.9408831548534405E-8</v>
      </c>
      <c r="M113" s="462" t="s">
        <v>184</v>
      </c>
      <c r="N113" s="97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R113" s="3"/>
      <c r="AS113" s="3"/>
      <c r="AT113" s="3"/>
      <c r="AU113" s="3"/>
      <c r="AV113" s="3"/>
      <c r="AW113" s="3"/>
      <c r="AX113" s="3"/>
    </row>
    <row r="114" spans="1:50" ht="11.25" x14ac:dyDescent="0.2">
      <c r="A114" s="656">
        <f>A104</f>
        <v>3</v>
      </c>
      <c r="B114" s="11"/>
      <c r="C114" s="682">
        <f>(C104-C109)^2/C104^2</f>
        <v>2.284431808511195E-32</v>
      </c>
      <c r="D114" s="11"/>
      <c r="E114" s="11"/>
      <c r="F114" s="682">
        <f>(F104-F109)^2/F104^2</f>
        <v>2.3233909099903466E-32</v>
      </c>
      <c r="G114" s="11"/>
      <c r="H114" s="11"/>
      <c r="I114" s="682">
        <f>(I104-I109)^2/I104^2</f>
        <v>1.3348731240900982E-32</v>
      </c>
      <c r="J114" s="11"/>
      <c r="K114" s="11"/>
      <c r="L114" s="697">
        <f>C114+F114+I114</f>
        <v>5.9426958425916403E-32</v>
      </c>
      <c r="M114" s="462" t="s">
        <v>184</v>
      </c>
      <c r="N114" s="97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R114" s="3"/>
      <c r="AS114" s="3"/>
      <c r="AT114" s="3"/>
      <c r="AU114" s="3"/>
      <c r="AV114" s="3"/>
      <c r="AW114" s="3"/>
      <c r="AX114" s="3"/>
    </row>
    <row r="115" spans="1:50" ht="11.25" x14ac:dyDescent="0.2">
      <c r="A115" s="657">
        <f>A105</f>
        <v>6</v>
      </c>
      <c r="B115" s="35"/>
      <c r="C115" s="631">
        <f>(C105-C110)^2/C105^2</f>
        <v>5.1783334988230039E-8</v>
      </c>
      <c r="D115" s="35"/>
      <c r="E115" s="35"/>
      <c r="F115" s="631">
        <f>(F105-F110)^2/F105^2</f>
        <v>4.167270324419097E-8</v>
      </c>
      <c r="G115" s="35"/>
      <c r="H115" s="35"/>
      <c r="I115" s="631">
        <f>(I105-I110)^2/I105^2</f>
        <v>3.5020113570779291E-8</v>
      </c>
      <c r="J115" s="35"/>
      <c r="K115" s="35"/>
      <c r="L115" s="654">
        <f>C115+F115+I115</f>
        <v>1.284761518032003E-7</v>
      </c>
      <c r="M115" s="623" t="s">
        <v>184</v>
      </c>
      <c r="N115" s="60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R115" s="3"/>
      <c r="AS115" s="3"/>
      <c r="AT115" s="3"/>
      <c r="AU115" s="3"/>
      <c r="AV115" s="3"/>
      <c r="AW115" s="3"/>
      <c r="AX115" s="3"/>
    </row>
  </sheetData>
  <sheetProtection selectLockedCells="1"/>
  <mergeCells count="5">
    <mergeCell ref="B4:D4"/>
    <mergeCell ref="E4:G4"/>
    <mergeCell ref="H4:J4"/>
    <mergeCell ref="K4:N4"/>
    <mergeCell ref="G1:J1"/>
  </mergeCells>
  <conditionalFormatting sqref="L43">
    <cfRule type="cellIs" dxfId="72" priority="3" stopIfTrue="1" operator="equal">
      <formula>0</formula>
    </cfRule>
  </conditionalFormatting>
  <conditionalFormatting sqref="N8:N39">
    <cfRule type="expression" dxfId="71" priority="4" stopIfTrue="1">
      <formula>AND(N8=-100,N9=-100)</formula>
    </cfRule>
  </conditionalFormatting>
  <conditionalFormatting sqref="L100">
    <cfRule type="cellIs" dxfId="70" priority="2" stopIfTrue="1" operator="equal">
      <formula>0</formula>
    </cfRule>
  </conditionalFormatting>
  <conditionalFormatting sqref="L112:L115">
    <cfRule type="cellIs" dxfId="69" priority="1" operator="between">
      <formula>-0.001</formula>
      <formula>0.001</formula>
    </cfRule>
  </conditionalFormatting>
  <hyperlinks>
    <hyperlink ref="G1:J1" r:id="rId1" display="www.gci.org.uk"/>
  </hyperlink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2"/>
  <headerFooter>
    <oddHeader>&amp;LRegensburger Modell</oddHeader>
    <oddFooter>&amp;LSargl/Wolfsteiner/Wittmann&amp;R&amp;18Anlage 1.3.1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00B0F0"/>
    <pageSetUpPr fitToPage="1"/>
  </sheetPr>
  <dimension ref="A1:BH48"/>
  <sheetViews>
    <sheetView zoomScaleNormal="100" workbookViewId="0"/>
  </sheetViews>
  <sheetFormatPr baseColWidth="10" defaultColWidth="11.7109375" defaultRowHeight="12.75" x14ac:dyDescent="0.2"/>
  <cols>
    <col min="1" max="1" width="8.5703125" style="3" customWidth="1"/>
    <col min="2" max="2" width="5.42578125" style="3" customWidth="1"/>
    <col min="3" max="3" width="5.28515625" style="3" customWidth="1"/>
    <col min="4" max="4" width="2.7109375" style="3" customWidth="1"/>
    <col min="5" max="5" width="5.42578125" style="3" bestFit="1" customWidth="1"/>
    <col min="6" max="6" width="5" style="3" customWidth="1"/>
    <col min="7" max="7" width="5.28515625" style="3" customWidth="1"/>
    <col min="8" max="8" width="2.7109375" style="3" customWidth="1"/>
    <col min="9" max="9" width="5.85546875" style="3" customWidth="1"/>
    <col min="10" max="10" width="5.140625" style="3" customWidth="1"/>
    <col min="11" max="11" width="5.7109375" style="3" bestFit="1" customWidth="1"/>
    <col min="12" max="12" width="2.7109375" style="3" customWidth="1"/>
    <col min="13" max="13" width="4.42578125" style="3" customWidth="1"/>
    <col min="14" max="14" width="5.42578125" style="3" customWidth="1"/>
    <col min="15" max="15" width="6.140625" style="3" bestFit="1" customWidth="1"/>
    <col min="16" max="16" width="5.7109375" style="3" customWidth="1"/>
    <col min="17" max="17" width="5.5703125" style="3" customWidth="1"/>
    <col min="18" max="18" width="4.42578125" style="3" customWidth="1"/>
    <col min="19" max="19" width="5" style="3" bestFit="1" customWidth="1"/>
    <col min="20" max="20" width="5.7109375" style="3" customWidth="1"/>
    <col min="21" max="21" width="5.28515625" style="3" customWidth="1"/>
    <col min="22" max="22" width="5.7109375" style="3" customWidth="1"/>
    <col min="23" max="23" width="5.28515625" style="3" customWidth="1"/>
    <col min="24" max="24" width="4.28515625" style="3" customWidth="1"/>
    <col min="25" max="26" width="5.42578125" style="3" customWidth="1"/>
    <col min="27" max="27" width="5.28515625" style="3" customWidth="1"/>
    <col min="28" max="28" width="6.140625" style="3" customWidth="1"/>
    <col min="29" max="29" width="6.28515625" style="3" customWidth="1"/>
    <col min="30" max="32" width="5.7109375" style="3" customWidth="1"/>
    <col min="33" max="33" width="8.28515625" style="3" customWidth="1"/>
    <col min="34" max="34" width="7.28515625" style="3" bestFit="1" customWidth="1"/>
    <col min="35" max="35" width="5.140625" style="3" bestFit="1" customWidth="1"/>
    <col min="36" max="36" width="6.7109375" style="3" customWidth="1"/>
    <col min="37" max="37" width="4.28515625" style="3" customWidth="1"/>
    <col min="38" max="40" width="30.28515625" style="1" bestFit="1" customWidth="1"/>
    <col min="41" max="41" width="22.42578125" style="1" bestFit="1" customWidth="1"/>
    <col min="42" max="42" width="23.28515625" style="1" customWidth="1"/>
    <col min="43" max="43" width="23.42578125" style="1" customWidth="1"/>
    <col min="44" max="44" width="20.42578125" style="1" bestFit="1" customWidth="1"/>
    <col min="45" max="45" width="21.42578125" style="1" bestFit="1" customWidth="1"/>
    <col min="46" max="46" width="21.7109375" style="1" customWidth="1"/>
    <col min="47" max="52" width="8.42578125" style="1" bestFit="1" customWidth="1"/>
    <col min="53" max="53" width="8.42578125" style="3" bestFit="1" customWidth="1"/>
    <col min="54" max="60" width="8.42578125" style="1" bestFit="1" customWidth="1"/>
    <col min="61" max="61" width="8.42578125" style="3" bestFit="1" customWidth="1"/>
    <col min="62" max="16384" width="11.7109375" style="3"/>
  </cols>
  <sheetData>
    <row r="1" spans="1:60" ht="15.75" x14ac:dyDescent="0.25">
      <c r="A1" s="51" t="s">
        <v>209</v>
      </c>
      <c r="I1" s="1"/>
      <c r="J1" s="763"/>
      <c r="K1" s="763"/>
      <c r="L1" s="763"/>
      <c r="M1" s="763"/>
      <c r="N1" s="763"/>
      <c r="O1" s="7"/>
    </row>
    <row r="2" spans="1:60" ht="15" x14ac:dyDescent="0.25">
      <c r="A2" s="1" t="s">
        <v>116</v>
      </c>
      <c r="B2" s="3" t="s">
        <v>117</v>
      </c>
      <c r="J2" s="763" t="s">
        <v>118</v>
      </c>
      <c r="K2" s="763"/>
      <c r="L2" s="763"/>
      <c r="M2" s="763"/>
      <c r="N2" s="763"/>
      <c r="O2" s="763"/>
      <c r="P2" s="763"/>
      <c r="Q2" s="763"/>
      <c r="R2" s="763"/>
      <c r="S2" s="763"/>
      <c r="T2" s="763"/>
      <c r="U2" s="763"/>
      <c r="V2" s="763"/>
      <c r="W2" s="763"/>
      <c r="X2" s="763"/>
      <c r="Y2" s="763"/>
      <c r="Z2" s="763"/>
      <c r="AA2" s="763"/>
      <c r="AB2" s="763"/>
      <c r="AC2" s="763"/>
      <c r="AD2" s="763"/>
      <c r="AE2" s="763"/>
      <c r="AF2" s="763"/>
      <c r="AG2" s="763"/>
      <c r="AH2" s="763"/>
      <c r="AI2" s="763"/>
      <c r="AJ2" s="763"/>
    </row>
    <row r="3" spans="1:60" ht="13.5" thickBot="1" x14ac:dyDescent="0.25">
      <c r="A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60" ht="19.5" thickBot="1" x14ac:dyDescent="0.35">
      <c r="A4" s="311" t="s">
        <v>137</v>
      </c>
      <c r="B4" s="312"/>
      <c r="C4" s="313"/>
      <c r="D4" s="313"/>
      <c r="E4" s="314"/>
      <c r="F4" s="314"/>
      <c r="G4" s="319">
        <v>0.95</v>
      </c>
      <c r="H4" s="360"/>
      <c r="I4" s="106"/>
      <c r="J4" s="315"/>
      <c r="K4" s="743" t="s">
        <v>134</v>
      </c>
      <c r="L4" s="774"/>
      <c r="M4" s="744"/>
      <c r="N4" s="369"/>
      <c r="O4" s="369"/>
      <c r="P4" s="369"/>
      <c r="Q4" s="369"/>
    </row>
    <row r="5" spans="1:60" s="43" customFormat="1" ht="15" thickBot="1" x14ac:dyDescent="0.25">
      <c r="A5" s="400" t="s">
        <v>211</v>
      </c>
      <c r="B5" s="401"/>
      <c r="C5" s="401"/>
      <c r="D5" s="401"/>
      <c r="E5" s="402"/>
      <c r="F5" s="403"/>
      <c r="G5" s="399">
        <f>'C&amp;C-exp'!E5</f>
        <v>4</v>
      </c>
      <c r="H5" s="355"/>
      <c r="I5" s="304"/>
      <c r="J5" s="102"/>
      <c r="K5" s="1"/>
      <c r="L5" s="1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B5" s="10"/>
      <c r="BC5" s="10"/>
      <c r="BD5" s="10"/>
      <c r="BE5" s="10"/>
      <c r="BF5" s="10"/>
      <c r="BG5" s="10"/>
      <c r="BH5" s="10"/>
    </row>
    <row r="6" spans="1:60" s="43" customFormat="1" ht="13.5" thickBot="1" x14ac:dyDescent="0.25">
      <c r="A6" s="138"/>
      <c r="B6" s="52"/>
      <c r="C6" s="52"/>
      <c r="D6" s="52"/>
      <c r="E6" s="11"/>
      <c r="F6" s="52"/>
      <c r="G6" s="355"/>
      <c r="H6" s="355"/>
      <c r="I6" s="304"/>
      <c r="J6" s="102"/>
      <c r="K6" s="1"/>
      <c r="L6" s="1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B6" s="10"/>
      <c r="BC6" s="10"/>
      <c r="BD6" s="10"/>
      <c r="BE6" s="10"/>
      <c r="BF6" s="10"/>
      <c r="BG6" s="10"/>
      <c r="BH6" s="10"/>
    </row>
    <row r="7" spans="1:60" s="43" customFormat="1" ht="13.5" thickBot="1" x14ac:dyDescent="0.3">
      <c r="A7" s="101"/>
      <c r="B7" s="768" t="s">
        <v>121</v>
      </c>
      <c r="C7" s="769"/>
      <c r="D7" s="769"/>
      <c r="E7" s="769"/>
      <c r="F7" s="769"/>
      <c r="G7" s="769"/>
      <c r="H7" s="769"/>
      <c r="I7" s="769"/>
      <c r="J7" s="769"/>
      <c r="K7" s="769"/>
      <c r="L7" s="769"/>
      <c r="M7" s="770"/>
      <c r="T7" s="771" t="s">
        <v>116</v>
      </c>
      <c r="U7" s="772"/>
      <c r="V7" s="772"/>
      <c r="W7" s="772"/>
      <c r="X7" s="772"/>
      <c r="Y7" s="772"/>
      <c r="Z7" s="772"/>
      <c r="AA7" s="772"/>
      <c r="AB7" s="773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B7" s="10"/>
      <c r="BC7" s="10"/>
      <c r="BD7" s="10"/>
      <c r="BE7" s="10"/>
      <c r="BF7" s="10"/>
      <c r="BG7" s="10"/>
      <c r="BH7" s="10"/>
    </row>
    <row r="8" spans="1:60" s="7" customFormat="1" ht="16.5" thickBot="1" x14ac:dyDescent="0.25">
      <c r="A8" s="6"/>
      <c r="B8" s="754" t="s">
        <v>7</v>
      </c>
      <c r="C8" s="755"/>
      <c r="D8" s="755"/>
      <c r="E8" s="755"/>
      <c r="F8" s="756" t="s">
        <v>8</v>
      </c>
      <c r="G8" s="757"/>
      <c r="H8" s="757"/>
      <c r="I8" s="757"/>
      <c r="J8" s="758" t="s">
        <v>9</v>
      </c>
      <c r="K8" s="759"/>
      <c r="L8" s="759"/>
      <c r="M8" s="759"/>
      <c r="N8" s="751" t="s">
        <v>5</v>
      </c>
      <c r="O8" s="752"/>
      <c r="P8" s="752"/>
      <c r="Q8" s="753"/>
      <c r="S8" s="6"/>
      <c r="T8" s="754" t="s">
        <v>7</v>
      </c>
      <c r="U8" s="755"/>
      <c r="V8" s="755"/>
      <c r="W8" s="756" t="s">
        <v>8</v>
      </c>
      <c r="X8" s="757"/>
      <c r="Y8" s="757"/>
      <c r="Z8" s="758" t="s">
        <v>9</v>
      </c>
      <c r="AA8" s="759"/>
      <c r="AB8" s="759"/>
      <c r="AC8" s="766" t="s">
        <v>115</v>
      </c>
      <c r="AD8" s="767"/>
      <c r="AE8" s="767"/>
      <c r="AF8" s="767"/>
      <c r="AG8" s="764" t="s">
        <v>5</v>
      </c>
      <c r="AH8" s="765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B8" s="1"/>
      <c r="BC8" s="1"/>
      <c r="BD8" s="1"/>
      <c r="BE8" s="1"/>
      <c r="BF8" s="1"/>
      <c r="BG8" s="1"/>
      <c r="BH8" s="1"/>
    </row>
    <row r="9" spans="1:60" s="7" customFormat="1" ht="25.5" thickBot="1" x14ac:dyDescent="0.25">
      <c r="A9" s="363" t="s">
        <v>120</v>
      </c>
      <c r="B9" s="87"/>
      <c r="C9" s="503">
        <v>0</v>
      </c>
      <c r="D9" s="321"/>
      <c r="E9" s="90"/>
      <c r="F9" s="87"/>
      <c r="G9" s="503">
        <v>0.03</v>
      </c>
      <c r="H9" s="321"/>
      <c r="I9" s="308"/>
      <c r="J9" s="87"/>
      <c r="K9" s="503">
        <v>0.02</v>
      </c>
      <c r="L9" s="321"/>
      <c r="M9" s="90"/>
      <c r="N9" s="87"/>
      <c r="O9" s="89"/>
      <c r="P9" s="90"/>
      <c r="Q9" s="179"/>
      <c r="S9" s="44"/>
      <c r="T9" s="87"/>
      <c r="U9" s="321"/>
      <c r="V9" s="90"/>
      <c r="W9" s="87"/>
      <c r="X9" s="321"/>
      <c r="Y9" s="308"/>
      <c r="Z9" s="87"/>
      <c r="AA9" s="321"/>
      <c r="AB9" s="90"/>
      <c r="AC9" s="87"/>
      <c r="AD9" s="89"/>
      <c r="AE9" s="89"/>
      <c r="AF9" s="90"/>
      <c r="AG9" s="325"/>
      <c r="AH9" s="125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B9" s="1"/>
      <c r="BC9" s="1"/>
      <c r="BD9" s="1"/>
      <c r="BE9" s="1"/>
      <c r="BF9" s="1"/>
      <c r="BG9" s="1"/>
      <c r="BH9" s="1"/>
    </row>
    <row r="10" spans="1:60" s="7" customFormat="1" ht="35.25" x14ac:dyDescent="0.25">
      <c r="A10" s="46" t="s">
        <v>10</v>
      </c>
      <c r="B10" s="126" t="s">
        <v>13</v>
      </c>
      <c r="C10" s="20" t="s">
        <v>122</v>
      </c>
      <c r="D10" s="14" t="s">
        <v>123</v>
      </c>
      <c r="E10" s="14" t="s">
        <v>11</v>
      </c>
      <c r="F10" s="13" t="s">
        <v>13</v>
      </c>
      <c r="G10" s="20" t="s">
        <v>122</v>
      </c>
      <c r="H10" s="14" t="s">
        <v>123</v>
      </c>
      <c r="I10" s="14" t="s">
        <v>11</v>
      </c>
      <c r="J10" s="13" t="s">
        <v>13</v>
      </c>
      <c r="K10" s="20" t="s">
        <v>122</v>
      </c>
      <c r="L10" s="14" t="s">
        <v>123</v>
      </c>
      <c r="M10" s="14" t="s">
        <v>11</v>
      </c>
      <c r="N10" s="126" t="s">
        <v>22</v>
      </c>
      <c r="O10" s="20" t="s">
        <v>23</v>
      </c>
      <c r="P10" s="14" t="s">
        <v>11</v>
      </c>
      <c r="Q10" s="356" t="s">
        <v>124</v>
      </c>
      <c r="S10" s="46" t="s">
        <v>10</v>
      </c>
      <c r="T10" s="126" t="s">
        <v>13</v>
      </c>
      <c r="U10" s="20" t="s">
        <v>12</v>
      </c>
      <c r="V10" s="14" t="s">
        <v>11</v>
      </c>
      <c r="W10" s="13" t="s">
        <v>13</v>
      </c>
      <c r="X10" s="20" t="s">
        <v>12</v>
      </c>
      <c r="Y10" s="14" t="s">
        <v>11</v>
      </c>
      <c r="Z10" s="13" t="s">
        <v>13</v>
      </c>
      <c r="AA10" s="20" t="s">
        <v>12</v>
      </c>
      <c r="AB10" s="14" t="s">
        <v>11</v>
      </c>
      <c r="AC10" s="126" t="s">
        <v>127</v>
      </c>
      <c r="AD10" s="20" t="s">
        <v>126</v>
      </c>
      <c r="AE10" s="20" t="s">
        <v>125</v>
      </c>
      <c r="AF10" s="14" t="s">
        <v>11</v>
      </c>
      <c r="AG10" s="322" t="s">
        <v>23</v>
      </c>
      <c r="AH10" s="91" t="s">
        <v>30</v>
      </c>
      <c r="AI10" s="46" t="s">
        <v>119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B10" s="1"/>
      <c r="BC10" s="1"/>
      <c r="BD10" s="1"/>
      <c r="BE10" s="1"/>
      <c r="BF10" s="1"/>
      <c r="BG10" s="1"/>
      <c r="BH10" s="1"/>
    </row>
    <row r="11" spans="1:60" s="7" customFormat="1" x14ac:dyDescent="0.2">
      <c r="A11" s="47"/>
      <c r="B11" s="127" t="s">
        <v>6</v>
      </c>
      <c r="C11" s="108" t="s">
        <v>21</v>
      </c>
      <c r="D11" s="108"/>
      <c r="E11" s="30" t="s">
        <v>0</v>
      </c>
      <c r="F11" s="109" t="s">
        <v>6</v>
      </c>
      <c r="G11" s="108" t="s">
        <v>21</v>
      </c>
      <c r="H11" s="108"/>
      <c r="I11" s="30" t="s">
        <v>0</v>
      </c>
      <c r="J11" s="109" t="s">
        <v>6</v>
      </c>
      <c r="K11" s="108" t="s">
        <v>21</v>
      </c>
      <c r="L11" s="108"/>
      <c r="M11" s="30" t="s">
        <v>0</v>
      </c>
      <c r="N11" s="202" t="s">
        <v>6</v>
      </c>
      <c r="O11" s="108" t="s">
        <v>21</v>
      </c>
      <c r="P11" s="30" t="s">
        <v>0</v>
      </c>
      <c r="Q11" s="357" t="s">
        <v>0</v>
      </c>
      <c r="S11" s="47"/>
      <c r="T11" s="127" t="s">
        <v>6</v>
      </c>
      <c r="U11" s="108" t="s">
        <v>21</v>
      </c>
      <c r="V11" s="30" t="s">
        <v>0</v>
      </c>
      <c r="W11" s="109" t="s">
        <v>6</v>
      </c>
      <c r="X11" s="108" t="s">
        <v>21</v>
      </c>
      <c r="Y11" s="30" t="s">
        <v>0</v>
      </c>
      <c r="Z11" s="109" t="s">
        <v>6</v>
      </c>
      <c r="AA11" s="108" t="s">
        <v>21</v>
      </c>
      <c r="AB11" s="30" t="s">
        <v>0</v>
      </c>
      <c r="AC11" s="202" t="s">
        <v>6</v>
      </c>
      <c r="AD11" s="108" t="s">
        <v>21</v>
      </c>
      <c r="AE11" s="108" t="s">
        <v>21</v>
      </c>
      <c r="AF11" s="30" t="s">
        <v>0</v>
      </c>
      <c r="AG11" s="326" t="s">
        <v>21</v>
      </c>
      <c r="AH11" s="33"/>
      <c r="AI11" s="326" t="s">
        <v>21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B11" s="1"/>
      <c r="BC11" s="1"/>
      <c r="BD11" s="1"/>
      <c r="BE11" s="1"/>
      <c r="BF11" s="1"/>
      <c r="BG11" s="1"/>
      <c r="BH11" s="1"/>
    </row>
    <row r="12" spans="1:60" s="7" customFormat="1" x14ac:dyDescent="0.2">
      <c r="A12" s="48">
        <v>2019</v>
      </c>
      <c r="B12" s="131">
        <f>RF!B9</f>
        <v>1.2</v>
      </c>
      <c r="C12" s="132">
        <f>RF!C9</f>
        <v>21</v>
      </c>
      <c r="D12" s="361">
        <f>IF(E12&gt;$Q12,1,0)</f>
        <v>1</v>
      </c>
      <c r="E12" s="130">
        <f>C12/B12</f>
        <v>17.5</v>
      </c>
      <c r="F12" s="133">
        <f>RF!E9</f>
        <v>4</v>
      </c>
      <c r="G12" s="132">
        <f>RF!F9</f>
        <v>19.5</v>
      </c>
      <c r="H12" s="361">
        <f>IF(I12&gt;$Q12,1,0)</f>
        <v>0</v>
      </c>
      <c r="I12" s="130">
        <f>G12/F12</f>
        <v>4.875</v>
      </c>
      <c r="J12" s="137">
        <f>N12-F12-B12</f>
        <v>1.7000000000000004</v>
      </c>
      <c r="K12" s="117">
        <f>'global path'!$C$6-C12-G12</f>
        <v>1.2277171013052595</v>
      </c>
      <c r="L12" s="361">
        <f>IF(M12&gt;$Q12,1,0)</f>
        <v>0</v>
      </c>
      <c r="M12" s="130">
        <f>K12/J12</f>
        <v>0.72218653017956425</v>
      </c>
      <c r="N12" s="131">
        <f>RF!K9</f>
        <v>6.9</v>
      </c>
      <c r="O12" s="32">
        <f>'global path'!C6</f>
        <v>41.727717101305259</v>
      </c>
      <c r="P12" s="31">
        <f>O12/N12</f>
        <v>6.047495232073226</v>
      </c>
      <c r="Q12" s="358">
        <f>P12*G4</f>
        <v>5.7451204704695646</v>
      </c>
      <c r="S12" s="48">
        <v>2019</v>
      </c>
      <c r="T12" s="272">
        <f>B12</f>
        <v>1.2</v>
      </c>
      <c r="U12" s="117">
        <f>C12</f>
        <v>21</v>
      </c>
      <c r="V12" s="130">
        <f>U12/T12</f>
        <v>17.5</v>
      </c>
      <c r="W12" s="137">
        <f>F12</f>
        <v>4</v>
      </c>
      <c r="X12" s="117">
        <f>G12</f>
        <v>19.5</v>
      </c>
      <c r="Y12" s="130">
        <f>X12/W12</f>
        <v>4.875</v>
      </c>
      <c r="Z12" s="137">
        <f>J12</f>
        <v>1.7000000000000004</v>
      </c>
      <c r="AA12" s="117">
        <f>K12</f>
        <v>1.2277171013052595</v>
      </c>
      <c r="AB12" s="323">
        <f t="shared" ref="AB12:AB43" si="0">IF(Z12&lt;&gt;0,AA12/Z12,AA12/J12)</f>
        <v>0.72218653017956425</v>
      </c>
      <c r="AC12" s="362">
        <f>N12-((1-D12)*B12+(1-H12)*F12+(1-L12)*J12)</f>
        <v>1.2000000000000002</v>
      </c>
      <c r="AD12" s="32">
        <f>O12-((1-D12)*C12+(1-H12)*G12+(1-L12)*K12)</f>
        <v>21</v>
      </c>
      <c r="AE12" s="32"/>
      <c r="AF12" s="203">
        <f>AD12/AC12</f>
        <v>17.499999999999996</v>
      </c>
      <c r="AG12" s="353">
        <f>U12+X12+AA12</f>
        <v>41.727717101305259</v>
      </c>
      <c r="AH12" s="367">
        <f t="shared" ref="AH12:AH43" si="1">EXP(-$G$5*(1-((A12-2019)/(2050-2019))))</f>
        <v>1.8315638888734179E-2</v>
      </c>
      <c r="AI12" s="328">
        <f t="shared" ref="AI12:AI43" si="2">O12-AG12</f>
        <v>0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B12" s="1"/>
      <c r="BC12" s="1"/>
      <c r="BD12" s="1"/>
      <c r="BE12" s="1"/>
      <c r="BF12" s="1"/>
      <c r="BG12" s="1"/>
      <c r="BH12" s="1"/>
    </row>
    <row r="13" spans="1:60" x14ac:dyDescent="0.2">
      <c r="A13" s="49">
        <f>A12+1</f>
        <v>2020</v>
      </c>
      <c r="B13" s="128">
        <f>B$12*(B$43/B$12)^(($A13-2019)/31)</f>
        <v>1.2</v>
      </c>
      <c r="C13" s="5">
        <f>C12*(1+C$9)</f>
        <v>21</v>
      </c>
      <c r="D13" s="211">
        <f t="shared" ref="D13:D43" si="3">IF(E13&gt;$Q13,1,0)</f>
        <v>1</v>
      </c>
      <c r="E13" s="320">
        <f t="shared" ref="E13:E43" si="4">C13/B13</f>
        <v>17.5</v>
      </c>
      <c r="F13" s="128">
        <f>F$12*(F$43/F$12)^(($A13-2019)/31)</f>
        <v>4</v>
      </c>
      <c r="G13" s="5">
        <f>G12*(1+G$9)</f>
        <v>20.085000000000001</v>
      </c>
      <c r="H13" s="211">
        <f t="shared" ref="H13:H43" si="5">IF(I13&gt;$Q13,1,0)</f>
        <v>0</v>
      </c>
      <c r="I13" s="320">
        <f t="shared" ref="I13:I43" si="6">G13/F13</f>
        <v>5.0212500000000002</v>
      </c>
      <c r="J13" s="128">
        <f>J$12*(J$43/J$12)^(($A13-2019)/31)</f>
        <v>1.7000000000000004</v>
      </c>
      <c r="K13" s="5">
        <f>K12*(1+K$9)</f>
        <v>1.2522714433313646</v>
      </c>
      <c r="L13" s="211">
        <f t="shared" ref="L13:L43" si="7">IF(M13&gt;$Q13,1,0)</f>
        <v>0</v>
      </c>
      <c r="M13" s="140">
        <f t="shared" ref="M13:M43" si="8">K13/J13</f>
        <v>0.73663026078315552</v>
      </c>
      <c r="N13" s="128">
        <f>B13+F13+J13</f>
        <v>6.9</v>
      </c>
      <c r="O13" s="19">
        <f>'global path'!C7</f>
        <v>40.89316275927915</v>
      </c>
      <c r="P13" s="4">
        <f t="shared" ref="P13:P43" si="9">O13/N13</f>
        <v>5.9265453274317608</v>
      </c>
      <c r="Q13" s="359">
        <f>P13*$G$4</f>
        <v>5.6302180610601722</v>
      </c>
      <c r="S13" s="49">
        <f>S12+1</f>
        <v>2020</v>
      </c>
      <c r="T13" s="128">
        <f t="shared" ref="T13:T43" si="10">B13</f>
        <v>1.2</v>
      </c>
      <c r="U13" s="5">
        <f t="shared" ref="U13:U43" si="11">IF(D13=1,((1-$AH13)*(U12/AE13)+$AH13*(T13/$AC13))*AD13,C13)</f>
        <v>19.555891315947786</v>
      </c>
      <c r="V13" s="323">
        <f t="shared" ref="V13:V43" si="12">IF(T13&lt;&gt;0,U13/T13,U13/B13)</f>
        <v>16.296576096623156</v>
      </c>
      <c r="W13" s="128">
        <f t="shared" ref="W13:W43" si="13">F13</f>
        <v>4</v>
      </c>
      <c r="X13" s="5">
        <f t="shared" ref="X13:X43" si="14">IF(H13=1,((1-$AH13)*(X12/AE13)+$AH13*(W13/AC13))*AD13,G13)</f>
        <v>20.085000000000001</v>
      </c>
      <c r="Y13" s="323">
        <f t="shared" ref="Y13:Y43" si="15">IF(W13&lt;&gt;0,X13/W13,X13/F13)</f>
        <v>5.0212500000000002</v>
      </c>
      <c r="Z13" s="128">
        <f t="shared" ref="Z13:Z43" si="16">J13</f>
        <v>1.7000000000000004</v>
      </c>
      <c r="AA13" s="5">
        <f t="shared" ref="AA13:AA43" si="17">IF(L13=1,((1-$AH13)*(AA12/AE13)+$AH13*(Z13/AC13))*AD13,K13)</f>
        <v>1.2522714433313646</v>
      </c>
      <c r="AB13" s="323">
        <f t="shared" si="0"/>
        <v>0.73663026078315552</v>
      </c>
      <c r="AC13" s="128">
        <f t="shared" ref="AC13:AC43" si="18">N13-((1-D13)*B13+(1-H13)*F13+(1-L13)*J13)</f>
        <v>1.2000000000000002</v>
      </c>
      <c r="AD13" s="19">
        <f t="shared" ref="AD13:AD43" si="19">O13-((1-D13)*C13+(1-H13)*G13+(1-L13)*K13)</f>
        <v>19.555891315947786</v>
      </c>
      <c r="AE13" s="19">
        <f>U12*D13+X12*H13+AA12*L13</f>
        <v>21</v>
      </c>
      <c r="AF13" s="4">
        <f t="shared" ref="AF13:AF43" si="20">AD13/AC13</f>
        <v>16.296576096623152</v>
      </c>
      <c r="AG13" s="354">
        <f t="shared" ref="AG13:AG43" si="21">U13+X13+AA13</f>
        <v>40.89316275927915</v>
      </c>
      <c r="AH13" s="367">
        <f t="shared" si="1"/>
        <v>2.0838193670452695E-2</v>
      </c>
      <c r="AI13" s="329">
        <f t="shared" si="2"/>
        <v>0</v>
      </c>
      <c r="AJ13" s="352"/>
    </row>
    <row r="14" spans="1:60" x14ac:dyDescent="0.2">
      <c r="A14" s="49">
        <f t="shared" ref="A14:A43" si="22">A13+1</f>
        <v>2021</v>
      </c>
      <c r="B14" s="128">
        <f t="shared" ref="B14:B42" si="23">B$12*(B$43/B$12)^(($A14-2019)/31)</f>
        <v>1.2</v>
      </c>
      <c r="C14" s="5">
        <f t="shared" ref="C14:C43" si="24">C13*(1+$C$9)</f>
        <v>21</v>
      </c>
      <c r="D14" s="211">
        <f t="shared" si="3"/>
        <v>1</v>
      </c>
      <c r="E14" s="320">
        <f t="shared" si="4"/>
        <v>17.5</v>
      </c>
      <c r="F14" s="128">
        <f t="shared" ref="F14:F42" si="25">F$12*(F$43/F$12)^(($A14-2019)/31)</f>
        <v>4</v>
      </c>
      <c r="G14" s="5">
        <f t="shared" ref="G14:G43" si="26">G13*(1+G$9)</f>
        <v>20.687550000000002</v>
      </c>
      <c r="H14" s="211">
        <f t="shared" si="5"/>
        <v>0</v>
      </c>
      <c r="I14" s="320">
        <f t="shared" si="6"/>
        <v>5.1718875000000004</v>
      </c>
      <c r="J14" s="128">
        <f t="shared" ref="J14:J42" si="27">J$12*(J$43/J$12)^(($A14-2019)/31)</f>
        <v>1.7000000000000004</v>
      </c>
      <c r="K14" s="5">
        <f t="shared" ref="K14:K43" si="28">K13*(1+K$9)</f>
        <v>1.2773168721979919</v>
      </c>
      <c r="L14" s="211">
        <f t="shared" si="7"/>
        <v>0</v>
      </c>
      <c r="M14" s="140">
        <f t="shared" si="8"/>
        <v>0.75136286599881863</v>
      </c>
      <c r="N14" s="128">
        <f t="shared" ref="N14:N42" si="29">B14+F14+J14</f>
        <v>6.9</v>
      </c>
      <c r="O14" s="19">
        <f>'global path'!C8</f>
        <v>39.941126545569553</v>
      </c>
      <c r="P14" s="4">
        <f t="shared" si="9"/>
        <v>5.788569064575297</v>
      </c>
      <c r="Q14" s="359">
        <f t="shared" ref="Q14:Q43" si="30">P14*$G$4</f>
        <v>5.4991406113465322</v>
      </c>
      <c r="S14" s="49">
        <f t="shared" ref="S14:S43" si="31">S13+1</f>
        <v>2021</v>
      </c>
      <c r="T14" s="128">
        <f t="shared" si="10"/>
        <v>1.2</v>
      </c>
      <c r="U14" s="5">
        <f t="shared" si="11"/>
        <v>17.976259673371558</v>
      </c>
      <c r="V14" s="198">
        <f t="shared" si="12"/>
        <v>14.980216394476299</v>
      </c>
      <c r="W14" s="128">
        <f t="shared" si="13"/>
        <v>4</v>
      </c>
      <c r="X14" s="5">
        <f t="shared" si="14"/>
        <v>20.687550000000002</v>
      </c>
      <c r="Y14" s="198">
        <f t="shared" si="15"/>
        <v>5.1718875000000004</v>
      </c>
      <c r="Z14" s="128">
        <f t="shared" si="16"/>
        <v>1.7000000000000004</v>
      </c>
      <c r="AA14" s="5">
        <f t="shared" si="17"/>
        <v>1.2773168721979919</v>
      </c>
      <c r="AB14" s="198">
        <f t="shared" si="0"/>
        <v>0.75136286599881863</v>
      </c>
      <c r="AC14" s="128">
        <f t="shared" si="18"/>
        <v>1.2000000000000002</v>
      </c>
      <c r="AD14" s="19">
        <f t="shared" si="19"/>
        <v>17.976259673371558</v>
      </c>
      <c r="AE14" s="19">
        <f t="shared" ref="AE14:AE43" si="32">U13*D14+X13*H14+AA13*L14</f>
        <v>19.555891315947786</v>
      </c>
      <c r="AF14" s="4">
        <f t="shared" si="20"/>
        <v>14.980216394476296</v>
      </c>
      <c r="AG14" s="354">
        <f t="shared" si="21"/>
        <v>39.941126545569553</v>
      </c>
      <c r="AH14" s="368">
        <f t="shared" si="1"/>
        <v>2.3708171911730948E-2</v>
      </c>
      <c r="AI14" s="329">
        <f t="shared" si="2"/>
        <v>0</v>
      </c>
    </row>
    <row r="15" spans="1:60" x14ac:dyDescent="0.2">
      <c r="A15" s="49">
        <f t="shared" si="22"/>
        <v>2022</v>
      </c>
      <c r="B15" s="128">
        <f t="shared" si="23"/>
        <v>1.2</v>
      </c>
      <c r="C15" s="5">
        <f t="shared" si="24"/>
        <v>21</v>
      </c>
      <c r="D15" s="211">
        <f t="shared" si="3"/>
        <v>1</v>
      </c>
      <c r="E15" s="320">
        <f t="shared" si="4"/>
        <v>17.5</v>
      </c>
      <c r="F15" s="128">
        <f t="shared" si="25"/>
        <v>4</v>
      </c>
      <c r="G15" s="5">
        <f t="shared" si="26"/>
        <v>21.308176500000002</v>
      </c>
      <c r="H15" s="211">
        <f t="shared" si="5"/>
        <v>0</v>
      </c>
      <c r="I15" s="320">
        <f t="shared" si="6"/>
        <v>5.3270441250000005</v>
      </c>
      <c r="J15" s="128">
        <f t="shared" si="27"/>
        <v>1.7000000000000004</v>
      </c>
      <c r="K15" s="5">
        <f t="shared" si="28"/>
        <v>1.3028632096419519</v>
      </c>
      <c r="L15" s="211">
        <f t="shared" si="7"/>
        <v>0</v>
      </c>
      <c r="M15" s="140">
        <f t="shared" si="8"/>
        <v>0.76639012331879508</v>
      </c>
      <c r="N15" s="128">
        <f t="shared" si="29"/>
        <v>6.9</v>
      </c>
      <c r="O15" s="19">
        <f>'global path'!C9</f>
        <v>38.88020547525452</v>
      </c>
      <c r="P15" s="4">
        <f t="shared" si="9"/>
        <v>5.6348123877180463</v>
      </c>
      <c r="Q15" s="359">
        <f t="shared" si="30"/>
        <v>5.3530717683321436</v>
      </c>
      <c r="S15" s="49">
        <f t="shared" si="31"/>
        <v>2022</v>
      </c>
      <c r="T15" s="128">
        <f t="shared" si="10"/>
        <v>1.2</v>
      </c>
      <c r="U15" s="5">
        <f t="shared" si="11"/>
        <v>16.269165765612566</v>
      </c>
      <c r="V15" s="198">
        <f t="shared" si="12"/>
        <v>13.557638138010473</v>
      </c>
      <c r="W15" s="128">
        <f t="shared" si="13"/>
        <v>4</v>
      </c>
      <c r="X15" s="5">
        <f t="shared" si="14"/>
        <v>21.308176500000002</v>
      </c>
      <c r="Y15" s="198">
        <f t="shared" si="15"/>
        <v>5.3270441250000005</v>
      </c>
      <c r="Z15" s="128">
        <f t="shared" si="16"/>
        <v>1.7000000000000004</v>
      </c>
      <c r="AA15" s="5">
        <f t="shared" si="17"/>
        <v>1.3028632096419519</v>
      </c>
      <c r="AB15" s="198">
        <f t="shared" si="0"/>
        <v>0.76639012331879508</v>
      </c>
      <c r="AC15" s="128">
        <f t="shared" si="18"/>
        <v>1.2000000000000002</v>
      </c>
      <c r="AD15" s="19">
        <f t="shared" si="19"/>
        <v>16.269165765612566</v>
      </c>
      <c r="AE15" s="19">
        <f t="shared" si="32"/>
        <v>17.976259673371558</v>
      </c>
      <c r="AF15" s="4">
        <f t="shared" si="20"/>
        <v>13.55763813801047</v>
      </c>
      <c r="AG15" s="354">
        <f t="shared" si="21"/>
        <v>38.88020547525452</v>
      </c>
      <c r="AH15" s="368">
        <f t="shared" si="1"/>
        <v>2.6973423142389763E-2</v>
      </c>
      <c r="AI15" s="329">
        <f t="shared" si="2"/>
        <v>0</v>
      </c>
    </row>
    <row r="16" spans="1:60" x14ac:dyDescent="0.2">
      <c r="A16" s="49">
        <f t="shared" si="22"/>
        <v>2023</v>
      </c>
      <c r="B16" s="128">
        <f t="shared" si="23"/>
        <v>1.2</v>
      </c>
      <c r="C16" s="5">
        <f t="shared" si="24"/>
        <v>21</v>
      </c>
      <c r="D16" s="211">
        <f t="shared" si="3"/>
        <v>1</v>
      </c>
      <c r="E16" s="320">
        <f t="shared" si="4"/>
        <v>17.5</v>
      </c>
      <c r="F16" s="128">
        <f t="shared" si="25"/>
        <v>4</v>
      </c>
      <c r="G16" s="5">
        <f t="shared" si="26"/>
        <v>21.947421795000004</v>
      </c>
      <c r="H16" s="211">
        <f t="shared" si="5"/>
        <v>1</v>
      </c>
      <c r="I16" s="320">
        <f t="shared" si="6"/>
        <v>5.486855448750001</v>
      </c>
      <c r="J16" s="128">
        <f t="shared" si="27"/>
        <v>1.7000000000000004</v>
      </c>
      <c r="K16" s="5">
        <f t="shared" si="28"/>
        <v>1.3289204738347911</v>
      </c>
      <c r="L16" s="211">
        <f t="shared" si="7"/>
        <v>0</v>
      </c>
      <c r="M16" s="140">
        <f t="shared" si="8"/>
        <v>0.78171792578517107</v>
      </c>
      <c r="N16" s="128">
        <f t="shared" si="29"/>
        <v>6.9</v>
      </c>
      <c r="O16" s="19">
        <f>'global path'!C10</f>
        <v>37.719896396656317</v>
      </c>
      <c r="P16" s="4">
        <f t="shared" si="9"/>
        <v>5.4666516516893209</v>
      </c>
      <c r="Q16" s="359">
        <f t="shared" si="30"/>
        <v>5.193319069104855</v>
      </c>
      <c r="S16" s="49">
        <f t="shared" si="31"/>
        <v>2023</v>
      </c>
      <c r="T16" s="128">
        <f t="shared" si="10"/>
        <v>1.2</v>
      </c>
      <c r="U16" s="5">
        <f t="shared" si="11"/>
        <v>15.529733548917141</v>
      </c>
      <c r="V16" s="198">
        <f t="shared" si="12"/>
        <v>12.941444624097619</v>
      </c>
      <c r="W16" s="128">
        <f t="shared" si="13"/>
        <v>4</v>
      </c>
      <c r="X16" s="5">
        <f t="shared" si="14"/>
        <v>20.861242373904378</v>
      </c>
      <c r="Y16" s="198">
        <f t="shared" si="15"/>
        <v>5.2153105934760946</v>
      </c>
      <c r="Z16" s="128">
        <f t="shared" si="16"/>
        <v>1.7000000000000004</v>
      </c>
      <c r="AA16" s="5">
        <f t="shared" si="17"/>
        <v>1.3289204738347911</v>
      </c>
      <c r="AB16" s="198">
        <f t="shared" si="0"/>
        <v>0.78171792578517107</v>
      </c>
      <c r="AC16" s="128">
        <f t="shared" si="18"/>
        <v>5.2</v>
      </c>
      <c r="AD16" s="19">
        <f t="shared" si="19"/>
        <v>36.390975922821525</v>
      </c>
      <c r="AE16" s="19">
        <f t="shared" si="32"/>
        <v>37.577342265612572</v>
      </c>
      <c r="AF16" s="4">
        <f t="shared" si="20"/>
        <v>6.9982646005426004</v>
      </c>
      <c r="AG16" s="354">
        <f t="shared" si="21"/>
        <v>37.71989639665631</v>
      </c>
      <c r="AH16" s="368">
        <f t="shared" si="1"/>
        <v>3.0688387056043043E-2</v>
      </c>
      <c r="AI16" s="329">
        <f t="shared" si="2"/>
        <v>0</v>
      </c>
    </row>
    <row r="17" spans="1:35" x14ac:dyDescent="0.2">
      <c r="A17" s="49">
        <f t="shared" si="22"/>
        <v>2024</v>
      </c>
      <c r="B17" s="128">
        <f t="shared" si="23"/>
        <v>1.2</v>
      </c>
      <c r="C17" s="5">
        <f t="shared" si="24"/>
        <v>21</v>
      </c>
      <c r="D17" s="211">
        <f t="shared" si="3"/>
        <v>1</v>
      </c>
      <c r="E17" s="320">
        <f t="shared" si="4"/>
        <v>17.5</v>
      </c>
      <c r="F17" s="128">
        <f t="shared" si="25"/>
        <v>4</v>
      </c>
      <c r="G17" s="5">
        <f t="shared" si="26"/>
        <v>22.605844448850004</v>
      </c>
      <c r="H17" s="211">
        <f t="shared" si="5"/>
        <v>1</v>
      </c>
      <c r="I17" s="320">
        <f t="shared" si="6"/>
        <v>5.6514611122125009</v>
      </c>
      <c r="J17" s="128">
        <f t="shared" si="27"/>
        <v>1.7000000000000004</v>
      </c>
      <c r="K17" s="5">
        <f t="shared" si="28"/>
        <v>1.3554988833114869</v>
      </c>
      <c r="L17" s="211">
        <f t="shared" si="7"/>
        <v>0</v>
      </c>
      <c r="M17" s="140">
        <f t="shared" si="8"/>
        <v>0.79735228430087446</v>
      </c>
      <c r="N17" s="128">
        <f t="shared" si="29"/>
        <v>6.9</v>
      </c>
      <c r="O17" s="19">
        <f>'global path'!C11</f>
        <v>36.470453355724658</v>
      </c>
      <c r="P17" s="4">
        <f t="shared" si="9"/>
        <v>5.2855729501050224</v>
      </c>
      <c r="Q17" s="359">
        <f t="shared" si="30"/>
        <v>5.0212943025997712</v>
      </c>
      <c r="S17" s="49">
        <f t="shared" si="31"/>
        <v>2024</v>
      </c>
      <c r="T17" s="128">
        <f t="shared" si="10"/>
        <v>1.2</v>
      </c>
      <c r="U17" s="5">
        <f t="shared" si="11"/>
        <v>14.744919328271566</v>
      </c>
      <c r="V17" s="198">
        <f t="shared" si="12"/>
        <v>12.287432773559638</v>
      </c>
      <c r="W17" s="128">
        <f t="shared" si="13"/>
        <v>4</v>
      </c>
      <c r="X17" s="5">
        <f t="shared" si="14"/>
        <v>20.37003514414161</v>
      </c>
      <c r="Y17" s="198">
        <f t="shared" si="15"/>
        <v>5.0925087860354026</v>
      </c>
      <c r="Z17" s="128">
        <f t="shared" si="16"/>
        <v>1.7000000000000004</v>
      </c>
      <c r="AA17" s="5">
        <f t="shared" si="17"/>
        <v>1.3554988833114869</v>
      </c>
      <c r="AB17" s="198">
        <f t="shared" si="0"/>
        <v>0.79735228430087446</v>
      </c>
      <c r="AC17" s="128">
        <f t="shared" si="18"/>
        <v>5.2</v>
      </c>
      <c r="AD17" s="19">
        <f t="shared" si="19"/>
        <v>35.114954472413174</v>
      </c>
      <c r="AE17" s="19">
        <f t="shared" si="32"/>
        <v>36.390975922821518</v>
      </c>
      <c r="AF17" s="4">
        <f t="shared" si="20"/>
        <v>6.7528758600794561</v>
      </c>
      <c r="AG17" s="354">
        <f t="shared" si="21"/>
        <v>36.470453355724658</v>
      </c>
      <c r="AH17" s="368">
        <f t="shared" si="1"/>
        <v>3.4915001152429612E-2</v>
      </c>
      <c r="AI17" s="329">
        <f t="shared" si="2"/>
        <v>0</v>
      </c>
    </row>
    <row r="18" spans="1:35" x14ac:dyDescent="0.2">
      <c r="A18" s="49">
        <f t="shared" si="22"/>
        <v>2025</v>
      </c>
      <c r="B18" s="128">
        <f t="shared" si="23"/>
        <v>1.2</v>
      </c>
      <c r="C18" s="5">
        <f t="shared" si="24"/>
        <v>21</v>
      </c>
      <c r="D18" s="211">
        <f t="shared" si="3"/>
        <v>1</v>
      </c>
      <c r="E18" s="320">
        <f t="shared" si="4"/>
        <v>17.5</v>
      </c>
      <c r="F18" s="128">
        <f t="shared" si="25"/>
        <v>4</v>
      </c>
      <c r="G18" s="5">
        <f t="shared" si="26"/>
        <v>23.284019782315504</v>
      </c>
      <c r="H18" s="211">
        <f t="shared" si="5"/>
        <v>1</v>
      </c>
      <c r="I18" s="320">
        <f t="shared" si="6"/>
        <v>5.8210049455788759</v>
      </c>
      <c r="J18" s="128">
        <f t="shared" si="27"/>
        <v>1.7000000000000004</v>
      </c>
      <c r="K18" s="5">
        <f t="shared" si="28"/>
        <v>1.3826088609777167</v>
      </c>
      <c r="L18" s="211">
        <f t="shared" si="7"/>
        <v>0</v>
      </c>
      <c r="M18" s="140">
        <f t="shared" si="8"/>
        <v>0.81329932998689203</v>
      </c>
      <c r="N18" s="128">
        <f t="shared" si="29"/>
        <v>6.9</v>
      </c>
      <c r="O18" s="19">
        <f>'global path'!C12</f>
        <v>35.142735391074559</v>
      </c>
      <c r="P18" s="4">
        <f t="shared" si="9"/>
        <v>5.0931500566774721</v>
      </c>
      <c r="Q18" s="359">
        <f t="shared" si="30"/>
        <v>4.8384925538435981</v>
      </c>
      <c r="S18" s="49">
        <f t="shared" si="31"/>
        <v>2025</v>
      </c>
      <c r="T18" s="128">
        <f t="shared" si="10"/>
        <v>1.2</v>
      </c>
      <c r="U18" s="5">
        <f t="shared" si="11"/>
        <v>13.922376399502946</v>
      </c>
      <c r="V18" s="198">
        <f t="shared" si="12"/>
        <v>11.601980332919123</v>
      </c>
      <c r="W18" s="128">
        <f t="shared" si="13"/>
        <v>4</v>
      </c>
      <c r="X18" s="5">
        <f t="shared" si="14"/>
        <v>19.837750130593896</v>
      </c>
      <c r="Y18" s="198">
        <f t="shared" si="15"/>
        <v>4.9594375326484741</v>
      </c>
      <c r="Z18" s="128">
        <f t="shared" si="16"/>
        <v>1.7000000000000004</v>
      </c>
      <c r="AA18" s="5">
        <f t="shared" si="17"/>
        <v>1.3826088609777167</v>
      </c>
      <c r="AB18" s="198">
        <f t="shared" si="0"/>
        <v>0.81329932998689203</v>
      </c>
      <c r="AC18" s="128">
        <f t="shared" si="18"/>
        <v>5.2</v>
      </c>
      <c r="AD18" s="19">
        <f t="shared" si="19"/>
        <v>33.760126530096841</v>
      </c>
      <c r="AE18" s="19">
        <f t="shared" si="32"/>
        <v>35.114954472413174</v>
      </c>
      <c r="AF18" s="4">
        <f t="shared" si="20"/>
        <v>6.4923320250186229</v>
      </c>
      <c r="AG18" s="354">
        <f t="shared" si="21"/>
        <v>35.142735391074559</v>
      </c>
      <c r="AH18" s="368">
        <f t="shared" si="1"/>
        <v>3.9723733386441029E-2</v>
      </c>
      <c r="AI18" s="329">
        <f t="shared" si="2"/>
        <v>0</v>
      </c>
    </row>
    <row r="19" spans="1:35" x14ac:dyDescent="0.2">
      <c r="A19" s="49">
        <f t="shared" si="22"/>
        <v>2026</v>
      </c>
      <c r="B19" s="128">
        <f t="shared" si="23"/>
        <v>1.2</v>
      </c>
      <c r="C19" s="5">
        <f t="shared" si="24"/>
        <v>21</v>
      </c>
      <c r="D19" s="211">
        <f t="shared" si="3"/>
        <v>1</v>
      </c>
      <c r="E19" s="320">
        <f t="shared" si="4"/>
        <v>17.5</v>
      </c>
      <c r="F19" s="128">
        <f t="shared" si="25"/>
        <v>4</v>
      </c>
      <c r="G19" s="5">
        <f t="shared" si="26"/>
        <v>23.982540375784968</v>
      </c>
      <c r="H19" s="211">
        <f t="shared" si="5"/>
        <v>1</v>
      </c>
      <c r="I19" s="320">
        <f t="shared" si="6"/>
        <v>5.9956350939462419</v>
      </c>
      <c r="J19" s="128">
        <f t="shared" si="27"/>
        <v>1.7000000000000004</v>
      </c>
      <c r="K19" s="5">
        <f t="shared" si="28"/>
        <v>1.4102610381972711</v>
      </c>
      <c r="L19" s="211">
        <f t="shared" si="7"/>
        <v>0</v>
      </c>
      <c r="M19" s="140">
        <f t="shared" si="8"/>
        <v>0.82956531658662991</v>
      </c>
      <c r="N19" s="128">
        <f t="shared" si="29"/>
        <v>6.9</v>
      </c>
      <c r="O19" s="19">
        <f>'global path'!C13</f>
        <v>33.748047947428226</v>
      </c>
      <c r="P19" s="4">
        <f t="shared" si="9"/>
        <v>4.8910214416562647</v>
      </c>
      <c r="Q19" s="359">
        <f t="shared" si="30"/>
        <v>4.6464703695734517</v>
      </c>
      <c r="S19" s="49">
        <f t="shared" si="31"/>
        <v>2026</v>
      </c>
      <c r="T19" s="128">
        <f t="shared" si="10"/>
        <v>1.2</v>
      </c>
      <c r="U19" s="5">
        <f t="shared" si="11"/>
        <v>13.070376064895578</v>
      </c>
      <c r="V19" s="198">
        <f t="shared" si="12"/>
        <v>10.891980054079649</v>
      </c>
      <c r="W19" s="128">
        <f t="shared" si="13"/>
        <v>4</v>
      </c>
      <c r="X19" s="5">
        <f t="shared" si="14"/>
        <v>19.267410844335377</v>
      </c>
      <c r="Y19" s="198">
        <f t="shared" si="15"/>
        <v>4.8168527110838442</v>
      </c>
      <c r="Z19" s="128">
        <f t="shared" si="16"/>
        <v>1.7000000000000004</v>
      </c>
      <c r="AA19" s="5">
        <f t="shared" si="17"/>
        <v>1.4102610381972711</v>
      </c>
      <c r="AB19" s="198">
        <f t="shared" si="0"/>
        <v>0.82956531658662991</v>
      </c>
      <c r="AC19" s="128">
        <f t="shared" si="18"/>
        <v>5.2</v>
      </c>
      <c r="AD19" s="19">
        <f t="shared" si="19"/>
        <v>32.337786909230957</v>
      </c>
      <c r="AE19" s="19">
        <f t="shared" si="32"/>
        <v>33.760126530096841</v>
      </c>
      <c r="AF19" s="4">
        <f t="shared" si="20"/>
        <v>6.2188051748521067</v>
      </c>
      <c r="AG19" s="354">
        <f t="shared" si="21"/>
        <v>33.748047947428226</v>
      </c>
      <c r="AH19" s="368">
        <f t="shared" si="1"/>
        <v>4.5194757040620724E-2</v>
      </c>
      <c r="AI19" s="329">
        <f t="shared" si="2"/>
        <v>0</v>
      </c>
    </row>
    <row r="20" spans="1:35" x14ac:dyDescent="0.2">
      <c r="A20" s="49">
        <f t="shared" si="22"/>
        <v>2027</v>
      </c>
      <c r="B20" s="128">
        <f t="shared" si="23"/>
        <v>1.2</v>
      </c>
      <c r="C20" s="5">
        <f t="shared" si="24"/>
        <v>21</v>
      </c>
      <c r="D20" s="211">
        <f t="shared" si="3"/>
        <v>1</v>
      </c>
      <c r="E20" s="320">
        <f t="shared" si="4"/>
        <v>17.5</v>
      </c>
      <c r="F20" s="128">
        <f t="shared" si="25"/>
        <v>4</v>
      </c>
      <c r="G20" s="5">
        <f t="shared" si="26"/>
        <v>24.702016587058516</v>
      </c>
      <c r="H20" s="211">
        <f t="shared" si="5"/>
        <v>1</v>
      </c>
      <c r="I20" s="320">
        <f t="shared" si="6"/>
        <v>6.175504146764629</v>
      </c>
      <c r="J20" s="128">
        <f t="shared" si="27"/>
        <v>1.7000000000000004</v>
      </c>
      <c r="K20" s="5">
        <f t="shared" si="28"/>
        <v>1.4384662589612165</v>
      </c>
      <c r="L20" s="211">
        <f t="shared" si="7"/>
        <v>0</v>
      </c>
      <c r="M20" s="140">
        <f t="shared" si="8"/>
        <v>0.84615662291836247</v>
      </c>
      <c r="N20" s="128">
        <f t="shared" si="29"/>
        <v>6.9</v>
      </c>
      <c r="O20" s="19">
        <f>'global path'!C14</f>
        <v>32.297981178024223</v>
      </c>
      <c r="P20" s="4">
        <f t="shared" si="9"/>
        <v>4.6808668373948148</v>
      </c>
      <c r="Q20" s="359">
        <f t="shared" si="30"/>
        <v>4.4468234955250736</v>
      </c>
      <c r="S20" s="49">
        <f t="shared" si="31"/>
        <v>2027</v>
      </c>
      <c r="T20" s="128">
        <f t="shared" si="10"/>
        <v>1.2</v>
      </c>
      <c r="U20" s="5">
        <f t="shared" si="11"/>
        <v>12.197715876714794</v>
      </c>
      <c r="V20" s="198">
        <f t="shared" si="12"/>
        <v>10.164763230595662</v>
      </c>
      <c r="W20" s="128">
        <f t="shared" si="13"/>
        <v>4</v>
      </c>
      <c r="X20" s="5">
        <f t="shared" si="14"/>
        <v>18.661799042348211</v>
      </c>
      <c r="Y20" s="198">
        <f t="shared" si="15"/>
        <v>4.6654497605870526</v>
      </c>
      <c r="Z20" s="128">
        <f t="shared" si="16"/>
        <v>1.7000000000000004</v>
      </c>
      <c r="AA20" s="5">
        <f t="shared" si="17"/>
        <v>1.4384662589612165</v>
      </c>
      <c r="AB20" s="198">
        <f t="shared" si="0"/>
        <v>0.84615662291836247</v>
      </c>
      <c r="AC20" s="128">
        <f t="shared" si="18"/>
        <v>5.2</v>
      </c>
      <c r="AD20" s="19">
        <f t="shared" si="19"/>
        <v>30.859514919063006</v>
      </c>
      <c r="AE20" s="19">
        <f t="shared" si="32"/>
        <v>32.337786909230957</v>
      </c>
      <c r="AF20" s="4">
        <f t="shared" si="20"/>
        <v>5.9345220998198087</v>
      </c>
      <c r="AG20" s="354">
        <f t="shared" si="21"/>
        <v>32.297981178024216</v>
      </c>
      <c r="AH20" s="368">
        <f t="shared" si="1"/>
        <v>5.1419287409121751E-2</v>
      </c>
      <c r="AI20" s="329">
        <f t="shared" si="2"/>
        <v>0</v>
      </c>
    </row>
    <row r="21" spans="1:35" x14ac:dyDescent="0.2">
      <c r="A21" s="49">
        <f t="shared" si="22"/>
        <v>2028</v>
      </c>
      <c r="B21" s="128">
        <f t="shared" si="23"/>
        <v>1.2</v>
      </c>
      <c r="C21" s="5">
        <f t="shared" si="24"/>
        <v>21</v>
      </c>
      <c r="D21" s="211">
        <f t="shared" si="3"/>
        <v>1</v>
      </c>
      <c r="E21" s="320">
        <f t="shared" si="4"/>
        <v>17.5</v>
      </c>
      <c r="F21" s="128">
        <f t="shared" si="25"/>
        <v>4</v>
      </c>
      <c r="G21" s="5">
        <f t="shared" si="26"/>
        <v>25.443077084670271</v>
      </c>
      <c r="H21" s="211">
        <f t="shared" si="5"/>
        <v>1</v>
      </c>
      <c r="I21" s="320">
        <f t="shared" si="6"/>
        <v>6.3607692711675679</v>
      </c>
      <c r="J21" s="128">
        <f t="shared" si="27"/>
        <v>1.7000000000000004</v>
      </c>
      <c r="K21" s="5">
        <f t="shared" si="28"/>
        <v>1.4672355841404408</v>
      </c>
      <c r="L21" s="211">
        <f t="shared" si="7"/>
        <v>0</v>
      </c>
      <c r="M21" s="140">
        <f t="shared" si="8"/>
        <v>0.86307975537672965</v>
      </c>
      <c r="N21" s="128">
        <f t="shared" si="29"/>
        <v>6.9</v>
      </c>
      <c r="O21" s="19">
        <f>'global path'!C15</f>
        <v>30.80424840186744</v>
      </c>
      <c r="P21" s="4">
        <f t="shared" si="9"/>
        <v>4.4643838263575999</v>
      </c>
      <c r="Q21" s="359">
        <f t="shared" si="30"/>
        <v>4.2411646350397199</v>
      </c>
      <c r="S21" s="49">
        <f t="shared" si="31"/>
        <v>2028</v>
      </c>
      <c r="T21" s="128">
        <f t="shared" si="10"/>
        <v>1.2</v>
      </c>
      <c r="U21" s="5">
        <f t="shared" si="11"/>
        <v>11.313605496760797</v>
      </c>
      <c r="V21" s="198">
        <f t="shared" si="12"/>
        <v>9.4280045806339974</v>
      </c>
      <c r="W21" s="128">
        <f t="shared" si="13"/>
        <v>4</v>
      </c>
      <c r="X21" s="5">
        <f t="shared" si="14"/>
        <v>18.023407320966207</v>
      </c>
      <c r="Y21" s="198">
        <f t="shared" si="15"/>
        <v>4.5058518302415518</v>
      </c>
      <c r="Z21" s="128">
        <f t="shared" si="16"/>
        <v>1.7000000000000004</v>
      </c>
      <c r="AA21" s="5">
        <f t="shared" si="17"/>
        <v>1.4672355841404408</v>
      </c>
      <c r="AB21" s="198">
        <f t="shared" si="0"/>
        <v>0.86307975537672965</v>
      </c>
      <c r="AC21" s="128">
        <f t="shared" si="18"/>
        <v>5.2</v>
      </c>
      <c r="AD21" s="19">
        <f t="shared" si="19"/>
        <v>29.337012817727</v>
      </c>
      <c r="AE21" s="19">
        <f t="shared" si="32"/>
        <v>30.859514919063002</v>
      </c>
      <c r="AF21" s="4">
        <f t="shared" si="20"/>
        <v>5.6417332341782691</v>
      </c>
      <c r="AG21" s="354">
        <f t="shared" si="21"/>
        <v>30.804248401867444</v>
      </c>
      <c r="AH21" s="368">
        <f t="shared" si="1"/>
        <v>5.8501102578901121E-2</v>
      </c>
      <c r="AI21" s="329">
        <f t="shared" si="2"/>
        <v>0</v>
      </c>
    </row>
    <row r="22" spans="1:35" x14ac:dyDescent="0.2">
      <c r="A22" s="49">
        <f t="shared" si="22"/>
        <v>2029</v>
      </c>
      <c r="B22" s="128">
        <f t="shared" si="23"/>
        <v>1.2</v>
      </c>
      <c r="C22" s="5">
        <f t="shared" si="24"/>
        <v>21</v>
      </c>
      <c r="D22" s="211">
        <f t="shared" si="3"/>
        <v>1</v>
      </c>
      <c r="E22" s="320">
        <f t="shared" si="4"/>
        <v>17.5</v>
      </c>
      <c r="F22" s="128">
        <f t="shared" si="25"/>
        <v>4</v>
      </c>
      <c r="G22" s="5">
        <f t="shared" si="26"/>
        <v>26.206369397210381</v>
      </c>
      <c r="H22" s="211">
        <f t="shared" si="5"/>
        <v>1</v>
      </c>
      <c r="I22" s="320">
        <f t="shared" si="6"/>
        <v>6.5515923493025952</v>
      </c>
      <c r="J22" s="128">
        <f t="shared" si="27"/>
        <v>1.7000000000000004</v>
      </c>
      <c r="K22" s="5">
        <f t="shared" si="28"/>
        <v>1.4965802958232497</v>
      </c>
      <c r="L22" s="211">
        <f t="shared" si="7"/>
        <v>0</v>
      </c>
      <c r="M22" s="140">
        <f t="shared" si="8"/>
        <v>0.88034135048426432</v>
      </c>
      <c r="N22" s="128">
        <f t="shared" si="29"/>
        <v>6.9</v>
      </c>
      <c r="O22" s="19">
        <f>'global path'!C16</f>
        <v>29.278527891388606</v>
      </c>
      <c r="P22" s="4">
        <f t="shared" si="9"/>
        <v>4.2432649117954497</v>
      </c>
      <c r="Q22" s="359">
        <f t="shared" si="30"/>
        <v>4.0311016662056769</v>
      </c>
      <c r="S22" s="49">
        <f t="shared" si="31"/>
        <v>2029</v>
      </c>
      <c r="T22" s="128">
        <f t="shared" si="10"/>
        <v>1.2</v>
      </c>
      <c r="U22" s="5">
        <f t="shared" si="11"/>
        <v>10.427526476168079</v>
      </c>
      <c r="V22" s="198">
        <f t="shared" si="12"/>
        <v>8.6896053968067335</v>
      </c>
      <c r="W22" s="128">
        <f t="shared" si="13"/>
        <v>4</v>
      </c>
      <c r="X22" s="5">
        <f t="shared" si="14"/>
        <v>17.354421119397273</v>
      </c>
      <c r="Y22" s="198">
        <f t="shared" si="15"/>
        <v>4.3386052798493182</v>
      </c>
      <c r="Z22" s="128">
        <f t="shared" si="16"/>
        <v>1.7000000000000004</v>
      </c>
      <c r="AA22" s="5">
        <f t="shared" si="17"/>
        <v>1.4965802958232497</v>
      </c>
      <c r="AB22" s="198">
        <f t="shared" si="0"/>
        <v>0.88034135048426432</v>
      </c>
      <c r="AC22" s="128">
        <f t="shared" si="18"/>
        <v>5.2</v>
      </c>
      <c r="AD22" s="19">
        <f t="shared" si="19"/>
        <v>27.781947595565356</v>
      </c>
      <c r="AE22" s="19">
        <f t="shared" si="32"/>
        <v>29.337012817727004</v>
      </c>
      <c r="AF22" s="4">
        <f t="shared" si="20"/>
        <v>5.3426822299164147</v>
      </c>
      <c r="AG22" s="354">
        <f t="shared" si="21"/>
        <v>29.278527891388602</v>
      </c>
      <c r="AH22" s="368">
        <f t="shared" si="1"/>
        <v>6.6558273663278794E-2</v>
      </c>
      <c r="AI22" s="329">
        <f t="shared" si="2"/>
        <v>0</v>
      </c>
    </row>
    <row r="23" spans="1:35" x14ac:dyDescent="0.2">
      <c r="A23" s="49">
        <f t="shared" si="22"/>
        <v>2030</v>
      </c>
      <c r="B23" s="128">
        <f t="shared" si="23"/>
        <v>1.2</v>
      </c>
      <c r="C23" s="5">
        <f t="shared" si="24"/>
        <v>21</v>
      </c>
      <c r="D23" s="211">
        <f t="shared" si="3"/>
        <v>1</v>
      </c>
      <c r="E23" s="320">
        <f t="shared" si="4"/>
        <v>17.5</v>
      </c>
      <c r="F23" s="128">
        <f t="shared" si="25"/>
        <v>4</v>
      </c>
      <c r="G23" s="5">
        <f t="shared" si="26"/>
        <v>26.992560479126691</v>
      </c>
      <c r="H23" s="211">
        <f t="shared" si="5"/>
        <v>1</v>
      </c>
      <c r="I23" s="320">
        <f t="shared" si="6"/>
        <v>6.7481401197816728</v>
      </c>
      <c r="J23" s="128">
        <f t="shared" si="27"/>
        <v>1.7000000000000004</v>
      </c>
      <c r="K23" s="5">
        <f t="shared" si="28"/>
        <v>1.5265119017397146</v>
      </c>
      <c r="L23" s="211">
        <f t="shared" si="7"/>
        <v>0</v>
      </c>
      <c r="M23" s="140">
        <f t="shared" si="8"/>
        <v>0.89794817749394962</v>
      </c>
      <c r="N23" s="128">
        <f t="shared" si="29"/>
        <v>6.9</v>
      </c>
      <c r="O23" s="19">
        <f>'global path'!C17</f>
        <v>27.732310994821948</v>
      </c>
      <c r="P23" s="4">
        <f t="shared" si="9"/>
        <v>4.0191755064959338</v>
      </c>
      <c r="Q23" s="359">
        <f t="shared" si="30"/>
        <v>3.818216731171137</v>
      </c>
      <c r="S23" s="49">
        <f t="shared" si="31"/>
        <v>2030</v>
      </c>
      <c r="T23" s="128">
        <f t="shared" si="10"/>
        <v>1.2</v>
      </c>
      <c r="U23" s="5">
        <f t="shared" si="11"/>
        <v>9.5490624127509847</v>
      </c>
      <c r="V23" s="198">
        <f t="shared" si="12"/>
        <v>7.9575520106258208</v>
      </c>
      <c r="W23" s="128">
        <f t="shared" si="13"/>
        <v>4</v>
      </c>
      <c r="X23" s="5">
        <f t="shared" si="14"/>
        <v>16.656736680331246</v>
      </c>
      <c r="Y23" s="198">
        <f t="shared" si="15"/>
        <v>4.1641841700828115</v>
      </c>
      <c r="Z23" s="128">
        <f t="shared" si="16"/>
        <v>1.7000000000000004</v>
      </c>
      <c r="AA23" s="5">
        <f t="shared" si="17"/>
        <v>1.5265119017397146</v>
      </c>
      <c r="AB23" s="198">
        <f t="shared" si="0"/>
        <v>0.89794817749394962</v>
      </c>
      <c r="AC23" s="128">
        <f t="shared" si="18"/>
        <v>5.2</v>
      </c>
      <c r="AD23" s="19">
        <f t="shared" si="19"/>
        <v>26.205799093082234</v>
      </c>
      <c r="AE23" s="19">
        <f t="shared" si="32"/>
        <v>27.781947595565352</v>
      </c>
      <c r="AF23" s="4">
        <f t="shared" si="20"/>
        <v>5.0395767486696599</v>
      </c>
      <c r="AG23" s="354">
        <f t="shared" si="21"/>
        <v>27.732310994821944</v>
      </c>
      <c r="AH23" s="368">
        <f t="shared" si="1"/>
        <v>7.5725133335070319E-2</v>
      </c>
      <c r="AI23" s="329">
        <f t="shared" si="2"/>
        <v>0</v>
      </c>
    </row>
    <row r="24" spans="1:35" x14ac:dyDescent="0.2">
      <c r="A24" s="49">
        <f t="shared" si="22"/>
        <v>2031</v>
      </c>
      <c r="B24" s="128">
        <f t="shared" si="23"/>
        <v>1.2</v>
      </c>
      <c r="C24" s="5">
        <f t="shared" si="24"/>
        <v>21</v>
      </c>
      <c r="D24" s="211">
        <f t="shared" si="3"/>
        <v>1</v>
      </c>
      <c r="E24" s="320">
        <f t="shared" si="4"/>
        <v>17.5</v>
      </c>
      <c r="F24" s="128">
        <f t="shared" si="25"/>
        <v>4</v>
      </c>
      <c r="G24" s="5">
        <f t="shared" si="26"/>
        <v>27.802337293500493</v>
      </c>
      <c r="H24" s="211">
        <f t="shared" si="5"/>
        <v>1</v>
      </c>
      <c r="I24" s="320">
        <f t="shared" si="6"/>
        <v>6.9505843233751232</v>
      </c>
      <c r="J24" s="128">
        <f t="shared" si="27"/>
        <v>1.7000000000000004</v>
      </c>
      <c r="K24" s="5">
        <f t="shared" si="28"/>
        <v>1.5570421397745089</v>
      </c>
      <c r="L24" s="211">
        <f t="shared" si="7"/>
        <v>0</v>
      </c>
      <c r="M24" s="140">
        <f t="shared" si="8"/>
        <v>0.91590714104382853</v>
      </c>
      <c r="N24" s="128">
        <f t="shared" si="29"/>
        <v>6.9</v>
      </c>
      <c r="O24" s="19">
        <f>'global path'!C18</f>
        <v>26.17675935260209</v>
      </c>
      <c r="P24" s="4">
        <f t="shared" si="9"/>
        <v>3.7937332395075489</v>
      </c>
      <c r="Q24" s="359">
        <f t="shared" si="30"/>
        <v>3.6040465775321713</v>
      </c>
      <c r="S24" s="49">
        <f t="shared" si="31"/>
        <v>2031</v>
      </c>
      <c r="T24" s="128">
        <f t="shared" si="10"/>
        <v>1.2</v>
      </c>
      <c r="U24" s="5">
        <f t="shared" si="11"/>
        <v>8.6876967697279337</v>
      </c>
      <c r="V24" s="198">
        <f t="shared" si="12"/>
        <v>7.2397473081066117</v>
      </c>
      <c r="W24" s="128">
        <f t="shared" si="13"/>
        <v>4</v>
      </c>
      <c r="X24" s="5">
        <f t="shared" si="14"/>
        <v>15.932020443099645</v>
      </c>
      <c r="Y24" s="198">
        <f t="shared" si="15"/>
        <v>3.9830051107749114</v>
      </c>
      <c r="Z24" s="128">
        <f t="shared" si="16"/>
        <v>1.7000000000000004</v>
      </c>
      <c r="AA24" s="5">
        <f t="shared" si="17"/>
        <v>1.5570421397745089</v>
      </c>
      <c r="AB24" s="198">
        <f t="shared" si="0"/>
        <v>0.91590714104382853</v>
      </c>
      <c r="AC24" s="128">
        <f t="shared" si="18"/>
        <v>5.2</v>
      </c>
      <c r="AD24" s="19">
        <f t="shared" si="19"/>
        <v>24.619717212827581</v>
      </c>
      <c r="AE24" s="19">
        <f t="shared" si="32"/>
        <v>26.205799093082231</v>
      </c>
      <c r="AF24" s="4">
        <f t="shared" si="20"/>
        <v>4.7345610024668421</v>
      </c>
      <c r="AG24" s="354">
        <f t="shared" si="21"/>
        <v>26.17675935260209</v>
      </c>
      <c r="AH24" s="368">
        <f t="shared" si="1"/>
        <v>8.6154515479536453E-2</v>
      </c>
      <c r="AI24" s="329">
        <f t="shared" si="2"/>
        <v>0</v>
      </c>
    </row>
    <row r="25" spans="1:35" x14ac:dyDescent="0.2">
      <c r="A25" s="49">
        <f t="shared" si="22"/>
        <v>2032</v>
      </c>
      <c r="B25" s="128">
        <f t="shared" si="23"/>
        <v>1.2</v>
      </c>
      <c r="C25" s="5">
        <f t="shared" si="24"/>
        <v>21</v>
      </c>
      <c r="D25" s="211">
        <f t="shared" si="3"/>
        <v>1</v>
      </c>
      <c r="E25" s="320">
        <f t="shared" si="4"/>
        <v>17.5</v>
      </c>
      <c r="F25" s="128">
        <f t="shared" si="25"/>
        <v>4</v>
      </c>
      <c r="G25" s="5">
        <f t="shared" si="26"/>
        <v>28.636407412305509</v>
      </c>
      <c r="H25" s="211">
        <f t="shared" si="5"/>
        <v>1</v>
      </c>
      <c r="I25" s="320">
        <f t="shared" si="6"/>
        <v>7.1591018530763773</v>
      </c>
      <c r="J25" s="128">
        <f t="shared" si="27"/>
        <v>1.7000000000000004</v>
      </c>
      <c r="K25" s="5">
        <f t="shared" si="28"/>
        <v>1.5881829825699991</v>
      </c>
      <c r="L25" s="211">
        <f t="shared" si="7"/>
        <v>0</v>
      </c>
      <c r="M25" s="140">
        <f t="shared" si="8"/>
        <v>0.93422528386470516</v>
      </c>
      <c r="N25" s="128">
        <f t="shared" si="29"/>
        <v>6.9</v>
      </c>
      <c r="O25" s="19">
        <f>'global path'!C19</f>
        <v>24.622573657761826</v>
      </c>
      <c r="P25" s="4">
        <f t="shared" si="9"/>
        <v>3.5684889359075109</v>
      </c>
      <c r="Q25" s="359">
        <f t="shared" si="30"/>
        <v>3.3900644891121354</v>
      </c>
      <c r="S25" s="49">
        <f t="shared" si="31"/>
        <v>2032</v>
      </c>
      <c r="T25" s="128">
        <f t="shared" si="10"/>
        <v>1.2</v>
      </c>
      <c r="U25" s="5">
        <f t="shared" si="11"/>
        <v>7.8525774322875748</v>
      </c>
      <c r="V25" s="198">
        <f t="shared" si="12"/>
        <v>6.5438145269063126</v>
      </c>
      <c r="W25" s="128">
        <f t="shared" si="13"/>
        <v>4</v>
      </c>
      <c r="X25" s="5">
        <f t="shared" si="14"/>
        <v>15.18181324290425</v>
      </c>
      <c r="Y25" s="198">
        <f t="shared" si="15"/>
        <v>3.7954533107260624</v>
      </c>
      <c r="Z25" s="128">
        <f t="shared" si="16"/>
        <v>1.7000000000000004</v>
      </c>
      <c r="AA25" s="5">
        <f t="shared" si="17"/>
        <v>1.5881829825699991</v>
      </c>
      <c r="AB25" s="198">
        <f t="shared" si="0"/>
        <v>0.93422528386470516</v>
      </c>
      <c r="AC25" s="128">
        <f t="shared" si="18"/>
        <v>5.2</v>
      </c>
      <c r="AD25" s="19">
        <f t="shared" si="19"/>
        <v>23.034390675191826</v>
      </c>
      <c r="AE25" s="19">
        <f t="shared" si="32"/>
        <v>24.619717212827581</v>
      </c>
      <c r="AF25" s="4">
        <f t="shared" si="20"/>
        <v>4.4296905144599661</v>
      </c>
      <c r="AG25" s="354">
        <f t="shared" si="21"/>
        <v>24.622573657761823</v>
      </c>
      <c r="AH25" s="368">
        <f t="shared" si="1"/>
        <v>9.8020303307621723E-2</v>
      </c>
      <c r="AI25" s="329">
        <f t="shared" si="2"/>
        <v>0</v>
      </c>
    </row>
    <row r="26" spans="1:35" x14ac:dyDescent="0.2">
      <c r="A26" s="49">
        <f t="shared" si="22"/>
        <v>2033</v>
      </c>
      <c r="B26" s="128">
        <f t="shared" si="23"/>
        <v>1.2</v>
      </c>
      <c r="C26" s="5">
        <f t="shared" si="24"/>
        <v>21</v>
      </c>
      <c r="D26" s="211">
        <f t="shared" si="3"/>
        <v>1</v>
      </c>
      <c r="E26" s="320">
        <f t="shared" si="4"/>
        <v>17.5</v>
      </c>
      <c r="F26" s="128">
        <f t="shared" si="25"/>
        <v>4</v>
      </c>
      <c r="G26" s="5">
        <f t="shared" si="26"/>
        <v>29.495499634674676</v>
      </c>
      <c r="H26" s="211">
        <f t="shared" si="5"/>
        <v>1</v>
      </c>
      <c r="I26" s="320">
        <f t="shared" si="6"/>
        <v>7.373874908668669</v>
      </c>
      <c r="J26" s="128">
        <f t="shared" si="27"/>
        <v>1.7000000000000004</v>
      </c>
      <c r="K26" s="5">
        <f t="shared" si="28"/>
        <v>1.6199466422213991</v>
      </c>
      <c r="L26" s="211">
        <f t="shared" si="7"/>
        <v>0</v>
      </c>
      <c r="M26" s="140">
        <f t="shared" si="8"/>
        <v>0.95290978954199923</v>
      </c>
      <c r="N26" s="128">
        <f t="shared" si="29"/>
        <v>6.9</v>
      </c>
      <c r="O26" s="19">
        <f>'global path'!C20</f>
        <v>23.079876047945504</v>
      </c>
      <c r="P26" s="4">
        <f t="shared" si="9"/>
        <v>3.3449095721660149</v>
      </c>
      <c r="Q26" s="359">
        <f t="shared" si="30"/>
        <v>3.1776640935577141</v>
      </c>
      <c r="S26" s="49">
        <f t="shared" si="31"/>
        <v>2033</v>
      </c>
      <c r="T26" s="128">
        <f t="shared" si="10"/>
        <v>1.2</v>
      </c>
      <c r="U26" s="5">
        <f t="shared" si="11"/>
        <v>7.0522501385020755</v>
      </c>
      <c r="V26" s="198">
        <f t="shared" si="12"/>
        <v>5.8768751154183967</v>
      </c>
      <c r="W26" s="128">
        <f t="shared" si="13"/>
        <v>4</v>
      </c>
      <c r="X26" s="5">
        <f t="shared" si="14"/>
        <v>14.407679267222031</v>
      </c>
      <c r="Y26" s="198">
        <f t="shared" si="15"/>
        <v>3.6019198168055078</v>
      </c>
      <c r="Z26" s="128">
        <f t="shared" si="16"/>
        <v>1.7000000000000004</v>
      </c>
      <c r="AA26" s="5">
        <f t="shared" si="17"/>
        <v>1.6199466422213991</v>
      </c>
      <c r="AB26" s="198">
        <f t="shared" si="0"/>
        <v>0.95290978954199923</v>
      </c>
      <c r="AC26" s="128">
        <f t="shared" si="18"/>
        <v>5.2</v>
      </c>
      <c r="AD26" s="19">
        <f t="shared" si="19"/>
        <v>21.459929405724104</v>
      </c>
      <c r="AE26" s="19">
        <f t="shared" si="32"/>
        <v>23.034390675191823</v>
      </c>
      <c r="AF26" s="4">
        <f t="shared" si="20"/>
        <v>4.1269095011007888</v>
      </c>
      <c r="AG26" s="354">
        <f t="shared" si="21"/>
        <v>23.079876047945508</v>
      </c>
      <c r="AH26" s="368">
        <f t="shared" si="1"/>
        <v>0.11152032841273718</v>
      </c>
      <c r="AI26" s="329">
        <f t="shared" si="2"/>
        <v>0</v>
      </c>
    </row>
    <row r="27" spans="1:35" x14ac:dyDescent="0.2">
      <c r="A27" s="49">
        <f t="shared" si="22"/>
        <v>2034</v>
      </c>
      <c r="B27" s="128">
        <f t="shared" si="23"/>
        <v>1.2</v>
      </c>
      <c r="C27" s="5">
        <f t="shared" si="24"/>
        <v>21</v>
      </c>
      <c r="D27" s="211">
        <f t="shared" si="3"/>
        <v>1</v>
      </c>
      <c r="E27" s="320">
        <f t="shared" si="4"/>
        <v>17.5</v>
      </c>
      <c r="F27" s="128">
        <f t="shared" si="25"/>
        <v>4</v>
      </c>
      <c r="G27" s="5">
        <f t="shared" si="26"/>
        <v>30.380364623714918</v>
      </c>
      <c r="H27" s="211">
        <f t="shared" si="5"/>
        <v>1</v>
      </c>
      <c r="I27" s="320">
        <f t="shared" si="6"/>
        <v>7.5950911559287295</v>
      </c>
      <c r="J27" s="128">
        <f t="shared" si="27"/>
        <v>1.7000000000000004</v>
      </c>
      <c r="K27" s="5">
        <f t="shared" si="28"/>
        <v>1.6523455750658271</v>
      </c>
      <c r="L27" s="211">
        <f t="shared" si="7"/>
        <v>0</v>
      </c>
      <c r="M27" s="140">
        <f t="shared" si="8"/>
        <v>0.97196798533283923</v>
      </c>
      <c r="N27" s="128">
        <f t="shared" si="29"/>
        <v>6.9</v>
      </c>
      <c r="O27" s="19">
        <f>'global path'!C21</f>
        <v>21.558107813870304</v>
      </c>
      <c r="P27" s="4">
        <f t="shared" si="9"/>
        <v>3.1243634512855514</v>
      </c>
      <c r="Q27" s="359">
        <f t="shared" si="30"/>
        <v>2.9681452787212739</v>
      </c>
      <c r="S27" s="49">
        <f t="shared" si="31"/>
        <v>2034</v>
      </c>
      <c r="T27" s="128">
        <f t="shared" si="10"/>
        <v>1.2</v>
      </c>
      <c r="U27" s="5">
        <f t="shared" si="11"/>
        <v>6.2943674912338894</v>
      </c>
      <c r="V27" s="198">
        <f t="shared" si="12"/>
        <v>5.245306242694908</v>
      </c>
      <c r="W27" s="128">
        <f t="shared" si="13"/>
        <v>4</v>
      </c>
      <c r="X27" s="5">
        <f t="shared" si="14"/>
        <v>13.611394747570589</v>
      </c>
      <c r="Y27" s="198">
        <f t="shared" si="15"/>
        <v>3.4028486868926473</v>
      </c>
      <c r="Z27" s="128">
        <f t="shared" si="16"/>
        <v>1.7000000000000004</v>
      </c>
      <c r="AA27" s="5">
        <f t="shared" si="17"/>
        <v>1.6523455750658271</v>
      </c>
      <c r="AB27" s="198">
        <f t="shared" si="0"/>
        <v>0.97196798533283923</v>
      </c>
      <c r="AC27" s="128">
        <f t="shared" si="18"/>
        <v>5.2</v>
      </c>
      <c r="AD27" s="19">
        <f t="shared" si="19"/>
        <v>19.905762238804478</v>
      </c>
      <c r="AE27" s="19">
        <f t="shared" si="32"/>
        <v>21.459929405724107</v>
      </c>
      <c r="AF27" s="4">
        <f t="shared" si="20"/>
        <v>3.8280311997700918</v>
      </c>
      <c r="AG27" s="354">
        <f t="shared" si="21"/>
        <v>21.558107813870304</v>
      </c>
      <c r="AH27" s="368">
        <f t="shared" si="1"/>
        <v>0.12687966910542819</v>
      </c>
      <c r="AI27" s="329">
        <f t="shared" si="2"/>
        <v>0</v>
      </c>
    </row>
    <row r="28" spans="1:35" x14ac:dyDescent="0.2">
      <c r="A28" s="49">
        <f t="shared" si="22"/>
        <v>2035</v>
      </c>
      <c r="B28" s="128">
        <f t="shared" si="23"/>
        <v>1.2</v>
      </c>
      <c r="C28" s="5">
        <f t="shared" si="24"/>
        <v>21</v>
      </c>
      <c r="D28" s="211">
        <f t="shared" si="3"/>
        <v>1</v>
      </c>
      <c r="E28" s="320">
        <f t="shared" si="4"/>
        <v>17.5</v>
      </c>
      <c r="F28" s="128">
        <f t="shared" si="25"/>
        <v>4</v>
      </c>
      <c r="G28" s="5">
        <f t="shared" si="26"/>
        <v>31.291775562426366</v>
      </c>
      <c r="H28" s="211">
        <f t="shared" si="5"/>
        <v>1</v>
      </c>
      <c r="I28" s="320">
        <f t="shared" si="6"/>
        <v>7.8229438906065916</v>
      </c>
      <c r="J28" s="128">
        <f t="shared" si="27"/>
        <v>1.7000000000000004</v>
      </c>
      <c r="K28" s="5">
        <f t="shared" si="28"/>
        <v>1.6853924865671437</v>
      </c>
      <c r="L28" s="211">
        <f t="shared" si="7"/>
        <v>0</v>
      </c>
      <c r="M28" s="140">
        <f t="shared" si="8"/>
        <v>0.99140734503949601</v>
      </c>
      <c r="N28" s="128">
        <f t="shared" si="29"/>
        <v>6.9</v>
      </c>
      <c r="O28" s="19">
        <f>'global path'!C22</f>
        <v>20.065943679367219</v>
      </c>
      <c r="P28" s="4">
        <f t="shared" si="9"/>
        <v>2.9081077796184376</v>
      </c>
      <c r="Q28" s="359">
        <f t="shared" si="30"/>
        <v>2.7627023906375157</v>
      </c>
      <c r="S28" s="49">
        <f t="shared" si="31"/>
        <v>2035</v>
      </c>
      <c r="T28" s="128">
        <f t="shared" si="10"/>
        <v>1.2</v>
      </c>
      <c r="U28" s="5">
        <f t="shared" si="11"/>
        <v>5.5853864106696731</v>
      </c>
      <c r="V28" s="198">
        <f t="shared" si="12"/>
        <v>4.6544886755580608</v>
      </c>
      <c r="W28" s="128">
        <f t="shared" si="13"/>
        <v>4</v>
      </c>
      <c r="X28" s="5">
        <f t="shared" si="14"/>
        <v>12.795164782130405</v>
      </c>
      <c r="Y28" s="198">
        <f t="shared" si="15"/>
        <v>3.1987911955326012</v>
      </c>
      <c r="Z28" s="128">
        <f t="shared" si="16"/>
        <v>1.7000000000000004</v>
      </c>
      <c r="AA28" s="5">
        <f t="shared" si="17"/>
        <v>1.6853924865671437</v>
      </c>
      <c r="AB28" s="198">
        <f t="shared" si="0"/>
        <v>0.99140734503949601</v>
      </c>
      <c r="AC28" s="128">
        <f t="shared" si="18"/>
        <v>5.2</v>
      </c>
      <c r="AD28" s="19">
        <f t="shared" si="19"/>
        <v>18.380551192800077</v>
      </c>
      <c r="AE28" s="19">
        <f t="shared" si="32"/>
        <v>19.905762238804478</v>
      </c>
      <c r="AF28" s="4">
        <f t="shared" si="20"/>
        <v>3.5347213832307838</v>
      </c>
      <c r="AG28" s="354">
        <f t="shared" si="21"/>
        <v>20.065943679367219</v>
      </c>
      <c r="AH28" s="368">
        <f t="shared" si="1"/>
        <v>0.1443544030172017</v>
      </c>
      <c r="AI28" s="329">
        <f t="shared" si="2"/>
        <v>0</v>
      </c>
    </row>
    <row r="29" spans="1:35" x14ac:dyDescent="0.2">
      <c r="A29" s="49">
        <f t="shared" si="22"/>
        <v>2036</v>
      </c>
      <c r="B29" s="128">
        <f t="shared" si="23"/>
        <v>1.2</v>
      </c>
      <c r="C29" s="5">
        <f t="shared" si="24"/>
        <v>21</v>
      </c>
      <c r="D29" s="211">
        <f t="shared" si="3"/>
        <v>1</v>
      </c>
      <c r="E29" s="320">
        <f t="shared" si="4"/>
        <v>17.5</v>
      </c>
      <c r="F29" s="128">
        <f t="shared" si="25"/>
        <v>4</v>
      </c>
      <c r="G29" s="5">
        <f t="shared" si="26"/>
        <v>32.230528829299161</v>
      </c>
      <c r="H29" s="211">
        <f t="shared" si="5"/>
        <v>1</v>
      </c>
      <c r="I29" s="320">
        <f t="shared" si="6"/>
        <v>8.0576322073247901</v>
      </c>
      <c r="J29" s="128">
        <f t="shared" si="27"/>
        <v>1.7000000000000004</v>
      </c>
      <c r="K29" s="5">
        <f t="shared" si="28"/>
        <v>1.7191003362984867</v>
      </c>
      <c r="L29" s="211">
        <f t="shared" si="7"/>
        <v>0</v>
      </c>
      <c r="M29" s="140">
        <f t="shared" si="8"/>
        <v>1.0112354919402859</v>
      </c>
      <c r="N29" s="128">
        <f t="shared" si="29"/>
        <v>6.9</v>
      </c>
      <c r="O29" s="19">
        <f>'global path'!C23</f>
        <v>18.611223465361014</v>
      </c>
      <c r="P29" s="4">
        <f t="shared" si="9"/>
        <v>2.6972787630957988</v>
      </c>
      <c r="Q29" s="359">
        <f t="shared" si="30"/>
        <v>2.5624148249410088</v>
      </c>
      <c r="S29" s="49">
        <f t="shared" si="31"/>
        <v>2036</v>
      </c>
      <c r="T29" s="128">
        <f t="shared" si="10"/>
        <v>1.2</v>
      </c>
      <c r="U29" s="5">
        <f t="shared" si="11"/>
        <v>4.9302743656073753</v>
      </c>
      <c r="V29" s="198">
        <f t="shared" si="12"/>
        <v>4.1085619713394799</v>
      </c>
      <c r="W29" s="128">
        <f t="shared" si="13"/>
        <v>4</v>
      </c>
      <c r="X29" s="5">
        <f t="shared" si="14"/>
        <v>11.961848763455153</v>
      </c>
      <c r="Y29" s="198">
        <f t="shared" si="15"/>
        <v>2.9904621908637883</v>
      </c>
      <c r="Z29" s="128">
        <f t="shared" si="16"/>
        <v>1.7000000000000004</v>
      </c>
      <c r="AA29" s="5">
        <f t="shared" si="17"/>
        <v>1.7191003362984867</v>
      </c>
      <c r="AB29" s="198">
        <f t="shared" si="0"/>
        <v>1.0112354919402859</v>
      </c>
      <c r="AC29" s="128">
        <f t="shared" si="18"/>
        <v>5.2</v>
      </c>
      <c r="AD29" s="19">
        <f t="shared" si="19"/>
        <v>16.892123129062529</v>
      </c>
      <c r="AE29" s="19">
        <f t="shared" si="32"/>
        <v>18.380551192800077</v>
      </c>
      <c r="AF29" s="4">
        <f t="shared" si="20"/>
        <v>3.2484852171274095</v>
      </c>
      <c r="AG29" s="354">
        <f t="shared" si="21"/>
        <v>18.611223465361014</v>
      </c>
      <c r="AH29" s="368">
        <f t="shared" si="1"/>
        <v>0.16423587653856192</v>
      </c>
      <c r="AI29" s="329">
        <f t="shared" si="2"/>
        <v>0</v>
      </c>
    </row>
    <row r="30" spans="1:35" x14ac:dyDescent="0.2">
      <c r="A30" s="49">
        <f t="shared" si="22"/>
        <v>2037</v>
      </c>
      <c r="B30" s="128">
        <f t="shared" si="23"/>
        <v>1.2</v>
      </c>
      <c r="C30" s="5">
        <f t="shared" si="24"/>
        <v>21</v>
      </c>
      <c r="D30" s="211">
        <f t="shared" si="3"/>
        <v>1</v>
      </c>
      <c r="E30" s="320">
        <f t="shared" si="4"/>
        <v>17.5</v>
      </c>
      <c r="F30" s="128">
        <f t="shared" si="25"/>
        <v>4</v>
      </c>
      <c r="G30" s="5">
        <f t="shared" si="26"/>
        <v>33.197444694178138</v>
      </c>
      <c r="H30" s="211">
        <f t="shared" si="5"/>
        <v>1</v>
      </c>
      <c r="I30" s="320">
        <f t="shared" si="6"/>
        <v>8.2993611735445345</v>
      </c>
      <c r="J30" s="128">
        <f t="shared" si="27"/>
        <v>1.7000000000000004</v>
      </c>
      <c r="K30" s="5">
        <f t="shared" si="28"/>
        <v>1.7534823430244564</v>
      </c>
      <c r="L30" s="211">
        <f t="shared" si="7"/>
        <v>0</v>
      </c>
      <c r="M30" s="140">
        <f t="shared" si="8"/>
        <v>1.0314602017790917</v>
      </c>
      <c r="N30" s="128">
        <f t="shared" si="29"/>
        <v>6.9</v>
      </c>
      <c r="O30" s="19">
        <f>'global path'!C24</f>
        <v>17.200901507982852</v>
      </c>
      <c r="P30" s="4">
        <f t="shared" si="9"/>
        <v>2.4928842765192538</v>
      </c>
      <c r="Q30" s="359">
        <f t="shared" si="30"/>
        <v>2.3682400626932911</v>
      </c>
      <c r="S30" s="49">
        <f t="shared" si="31"/>
        <v>2037</v>
      </c>
      <c r="T30" s="128">
        <f t="shared" si="10"/>
        <v>1.2</v>
      </c>
      <c r="U30" s="5">
        <f t="shared" si="11"/>
        <v>4.3322527403662958</v>
      </c>
      <c r="V30" s="198">
        <f t="shared" si="12"/>
        <v>3.6102106169719135</v>
      </c>
      <c r="W30" s="128">
        <f t="shared" si="13"/>
        <v>4</v>
      </c>
      <c r="X30" s="5">
        <f t="shared" si="14"/>
        <v>11.115166424592099</v>
      </c>
      <c r="Y30" s="198">
        <f t="shared" si="15"/>
        <v>2.7787916061480247</v>
      </c>
      <c r="Z30" s="128">
        <f t="shared" si="16"/>
        <v>1.7000000000000004</v>
      </c>
      <c r="AA30" s="5">
        <f t="shared" si="17"/>
        <v>1.7534823430244564</v>
      </c>
      <c r="AB30" s="198">
        <f t="shared" si="0"/>
        <v>1.0314602017790917</v>
      </c>
      <c r="AC30" s="128">
        <f t="shared" si="18"/>
        <v>5.2</v>
      </c>
      <c r="AD30" s="19">
        <f t="shared" si="19"/>
        <v>15.447419164958395</v>
      </c>
      <c r="AE30" s="19">
        <f t="shared" si="32"/>
        <v>16.892123129062529</v>
      </c>
      <c r="AF30" s="4">
        <f t="shared" si="20"/>
        <v>2.9706575317227681</v>
      </c>
      <c r="AG30" s="354">
        <f t="shared" si="21"/>
        <v>17.200901507982849</v>
      </c>
      <c r="AH30" s="368">
        <f t="shared" si="1"/>
        <v>0.18685556227318903</v>
      </c>
      <c r="AI30" s="329">
        <f t="shared" si="2"/>
        <v>0</v>
      </c>
    </row>
    <row r="31" spans="1:35" x14ac:dyDescent="0.2">
      <c r="A31" s="49">
        <f t="shared" si="22"/>
        <v>2038</v>
      </c>
      <c r="B31" s="128">
        <f t="shared" si="23"/>
        <v>1.2</v>
      </c>
      <c r="C31" s="5">
        <f t="shared" si="24"/>
        <v>21</v>
      </c>
      <c r="D31" s="211">
        <f t="shared" si="3"/>
        <v>1</v>
      </c>
      <c r="E31" s="320">
        <f t="shared" si="4"/>
        <v>17.5</v>
      </c>
      <c r="F31" s="128">
        <f t="shared" si="25"/>
        <v>4</v>
      </c>
      <c r="G31" s="5">
        <f t="shared" si="26"/>
        <v>34.193368035003481</v>
      </c>
      <c r="H31" s="211">
        <f t="shared" si="5"/>
        <v>1</v>
      </c>
      <c r="I31" s="320">
        <f t="shared" si="6"/>
        <v>8.5483420087508701</v>
      </c>
      <c r="J31" s="128">
        <f t="shared" si="27"/>
        <v>1.7000000000000004</v>
      </c>
      <c r="K31" s="5">
        <f t="shared" si="28"/>
        <v>1.7885519898849456</v>
      </c>
      <c r="L31" s="211">
        <f t="shared" si="7"/>
        <v>0</v>
      </c>
      <c r="M31" s="140">
        <f t="shared" si="8"/>
        <v>1.0520894058146737</v>
      </c>
      <c r="N31" s="128">
        <f t="shared" si="29"/>
        <v>6.9</v>
      </c>
      <c r="O31" s="19">
        <f>'global path'!C25</f>
        <v>15.841013772477746</v>
      </c>
      <c r="P31" s="4">
        <f t="shared" si="9"/>
        <v>2.2957990974605429</v>
      </c>
      <c r="Q31" s="359">
        <f t="shared" si="30"/>
        <v>2.1810091425875155</v>
      </c>
      <c r="S31" s="49">
        <f t="shared" si="31"/>
        <v>2038</v>
      </c>
      <c r="T31" s="128">
        <f t="shared" si="10"/>
        <v>1.2</v>
      </c>
      <c r="U31" s="5">
        <f t="shared" si="11"/>
        <v>3.792612746509024</v>
      </c>
      <c r="V31" s="198">
        <f t="shared" si="12"/>
        <v>3.1605106220908534</v>
      </c>
      <c r="W31" s="128">
        <f t="shared" si="13"/>
        <v>4</v>
      </c>
      <c r="X31" s="5">
        <f t="shared" si="14"/>
        <v>10.259849036083775</v>
      </c>
      <c r="Y31" s="198">
        <f t="shared" si="15"/>
        <v>2.5649622590209438</v>
      </c>
      <c r="Z31" s="128">
        <f t="shared" si="16"/>
        <v>1.7000000000000004</v>
      </c>
      <c r="AA31" s="5">
        <f t="shared" si="17"/>
        <v>1.7885519898849456</v>
      </c>
      <c r="AB31" s="198">
        <f t="shared" si="0"/>
        <v>1.0520894058146737</v>
      </c>
      <c r="AC31" s="128">
        <f t="shared" si="18"/>
        <v>5.2</v>
      </c>
      <c r="AD31" s="19">
        <f t="shared" si="19"/>
        <v>14.0524617825928</v>
      </c>
      <c r="AE31" s="19">
        <f t="shared" si="32"/>
        <v>15.447419164958394</v>
      </c>
      <c r="AF31" s="4">
        <f t="shared" si="20"/>
        <v>2.7023964966524616</v>
      </c>
      <c r="AG31" s="354">
        <f t="shared" si="21"/>
        <v>15.841013772477744</v>
      </c>
      <c r="AH31" s="368">
        <f t="shared" si="1"/>
        <v>0.21259058549385654</v>
      </c>
      <c r="AI31" s="329">
        <f t="shared" si="2"/>
        <v>0</v>
      </c>
    </row>
    <row r="32" spans="1:35" x14ac:dyDescent="0.2">
      <c r="A32" s="49">
        <f t="shared" si="22"/>
        <v>2039</v>
      </c>
      <c r="B32" s="128">
        <f t="shared" si="23"/>
        <v>1.2</v>
      </c>
      <c r="C32" s="5">
        <f t="shared" si="24"/>
        <v>21</v>
      </c>
      <c r="D32" s="211">
        <f t="shared" si="3"/>
        <v>1</v>
      </c>
      <c r="E32" s="320">
        <f t="shared" si="4"/>
        <v>17.5</v>
      </c>
      <c r="F32" s="128">
        <f t="shared" si="25"/>
        <v>4</v>
      </c>
      <c r="G32" s="5">
        <f t="shared" si="26"/>
        <v>35.219169076053589</v>
      </c>
      <c r="H32" s="211">
        <f t="shared" si="5"/>
        <v>1</v>
      </c>
      <c r="I32" s="320">
        <f t="shared" si="6"/>
        <v>8.8047922690133973</v>
      </c>
      <c r="J32" s="128">
        <f t="shared" si="27"/>
        <v>1.7000000000000004</v>
      </c>
      <c r="K32" s="5">
        <f t="shared" si="28"/>
        <v>1.8243230296826445</v>
      </c>
      <c r="L32" s="211">
        <f t="shared" si="7"/>
        <v>0</v>
      </c>
      <c r="M32" s="140">
        <f t="shared" si="8"/>
        <v>1.0731311939309671</v>
      </c>
      <c r="N32" s="128">
        <f t="shared" si="29"/>
        <v>6.9</v>
      </c>
      <c r="O32" s="19">
        <f>'global path'!C26</f>
        <v>14.536662201605862</v>
      </c>
      <c r="P32" s="4">
        <f t="shared" si="9"/>
        <v>2.1067626379138931</v>
      </c>
      <c r="Q32" s="359">
        <f t="shared" si="30"/>
        <v>2.0014245060181981</v>
      </c>
      <c r="S32" s="49">
        <f t="shared" si="31"/>
        <v>2039</v>
      </c>
      <c r="T32" s="128">
        <f t="shared" si="10"/>
        <v>1.2</v>
      </c>
      <c r="U32" s="5">
        <f t="shared" si="11"/>
        <v>3.3106430470752595</v>
      </c>
      <c r="V32" s="198">
        <f t="shared" si="12"/>
        <v>2.7588692058960498</v>
      </c>
      <c r="W32" s="128">
        <f t="shared" si="13"/>
        <v>4</v>
      </c>
      <c r="X32" s="5">
        <f t="shared" si="14"/>
        <v>9.4016961248479589</v>
      </c>
      <c r="Y32" s="198">
        <f t="shared" si="15"/>
        <v>2.3504240312119897</v>
      </c>
      <c r="Z32" s="128">
        <f t="shared" si="16"/>
        <v>1.7000000000000004</v>
      </c>
      <c r="AA32" s="5">
        <f t="shared" si="17"/>
        <v>1.8243230296826445</v>
      </c>
      <c r="AB32" s="198">
        <f t="shared" si="0"/>
        <v>1.0731311939309671</v>
      </c>
      <c r="AC32" s="128">
        <f t="shared" si="18"/>
        <v>5.2</v>
      </c>
      <c r="AD32" s="19">
        <f t="shared" si="19"/>
        <v>12.712339171923219</v>
      </c>
      <c r="AE32" s="19">
        <f t="shared" si="32"/>
        <v>14.052461782592799</v>
      </c>
      <c r="AF32" s="4">
        <f t="shared" si="20"/>
        <v>2.4446806099852343</v>
      </c>
      <c r="AG32" s="354">
        <f t="shared" si="21"/>
        <v>14.536662201605864</v>
      </c>
      <c r="AH32" s="368">
        <f t="shared" si="1"/>
        <v>0.24187001173957287</v>
      </c>
      <c r="AI32" s="329">
        <f t="shared" si="2"/>
        <v>0</v>
      </c>
    </row>
    <row r="33" spans="1:40" x14ac:dyDescent="0.2">
      <c r="A33" s="49">
        <f t="shared" si="22"/>
        <v>2040</v>
      </c>
      <c r="B33" s="128">
        <f t="shared" si="23"/>
        <v>1.2</v>
      </c>
      <c r="C33" s="5">
        <f t="shared" si="24"/>
        <v>21</v>
      </c>
      <c r="D33" s="211">
        <f t="shared" si="3"/>
        <v>1</v>
      </c>
      <c r="E33" s="320">
        <f t="shared" si="4"/>
        <v>17.5</v>
      </c>
      <c r="F33" s="128">
        <f t="shared" si="25"/>
        <v>4</v>
      </c>
      <c r="G33" s="5">
        <f t="shared" si="26"/>
        <v>36.2757441483352</v>
      </c>
      <c r="H33" s="211">
        <f t="shared" si="5"/>
        <v>1</v>
      </c>
      <c r="I33" s="320">
        <f t="shared" si="6"/>
        <v>9.0689360370837999</v>
      </c>
      <c r="J33" s="128">
        <f t="shared" si="27"/>
        <v>1.7000000000000004</v>
      </c>
      <c r="K33" s="5">
        <f t="shared" si="28"/>
        <v>1.8608094902762975</v>
      </c>
      <c r="L33" s="211">
        <f t="shared" si="7"/>
        <v>0</v>
      </c>
      <c r="M33" s="140">
        <f t="shared" si="8"/>
        <v>1.0945938178095864</v>
      </c>
      <c r="N33" s="128">
        <f t="shared" si="29"/>
        <v>6.9</v>
      </c>
      <c r="O33" s="19">
        <f>'global path'!C27</f>
        <v>13.292015470306927</v>
      </c>
      <c r="P33" s="4">
        <f t="shared" si="9"/>
        <v>1.9263790536676704</v>
      </c>
      <c r="Q33" s="359">
        <f t="shared" si="30"/>
        <v>1.8300601009842867</v>
      </c>
      <c r="S33" s="49">
        <f t="shared" si="31"/>
        <v>2040</v>
      </c>
      <c r="T33" s="128">
        <f t="shared" si="10"/>
        <v>1.2</v>
      </c>
      <c r="U33" s="5">
        <f t="shared" si="11"/>
        <v>2.8837057209461312</v>
      </c>
      <c r="V33" s="198">
        <f t="shared" si="12"/>
        <v>2.4030881007884428</v>
      </c>
      <c r="W33" s="128">
        <f t="shared" si="13"/>
        <v>4</v>
      </c>
      <c r="X33" s="5">
        <f t="shared" si="14"/>
        <v>8.5475002590844973</v>
      </c>
      <c r="Y33" s="198">
        <f t="shared" si="15"/>
        <v>2.1368750647711243</v>
      </c>
      <c r="Z33" s="128">
        <f t="shared" si="16"/>
        <v>1.7000000000000004</v>
      </c>
      <c r="AA33" s="5">
        <f t="shared" si="17"/>
        <v>1.8608094902762975</v>
      </c>
      <c r="AB33" s="198">
        <f t="shared" si="0"/>
        <v>1.0945938178095864</v>
      </c>
      <c r="AC33" s="128">
        <f t="shared" si="18"/>
        <v>5.2</v>
      </c>
      <c r="AD33" s="19">
        <f t="shared" si="19"/>
        <v>11.431205980030629</v>
      </c>
      <c r="AE33" s="19">
        <f t="shared" si="32"/>
        <v>12.712339171923219</v>
      </c>
      <c r="AF33" s="4">
        <f t="shared" si="20"/>
        <v>2.1983088423135824</v>
      </c>
      <c r="AG33" s="354">
        <f t="shared" si="21"/>
        <v>13.292015470306927</v>
      </c>
      <c r="AH33" s="368">
        <f t="shared" si="1"/>
        <v>0.27518200038351037</v>
      </c>
      <c r="AI33" s="329">
        <f t="shared" si="2"/>
        <v>0</v>
      </c>
    </row>
    <row r="34" spans="1:40" x14ac:dyDescent="0.2">
      <c r="A34" s="49">
        <f t="shared" si="22"/>
        <v>2041</v>
      </c>
      <c r="B34" s="128">
        <f t="shared" si="23"/>
        <v>1.2</v>
      </c>
      <c r="C34" s="5">
        <f t="shared" si="24"/>
        <v>21</v>
      </c>
      <c r="D34" s="211">
        <f t="shared" si="3"/>
        <v>1</v>
      </c>
      <c r="E34" s="320">
        <f t="shared" si="4"/>
        <v>17.5</v>
      </c>
      <c r="F34" s="128">
        <f t="shared" si="25"/>
        <v>4</v>
      </c>
      <c r="G34" s="5">
        <f t="shared" si="26"/>
        <v>37.364016472785259</v>
      </c>
      <c r="H34" s="211">
        <f t="shared" si="5"/>
        <v>1</v>
      </c>
      <c r="I34" s="320">
        <f t="shared" si="6"/>
        <v>9.3410041181963148</v>
      </c>
      <c r="J34" s="128">
        <f t="shared" si="27"/>
        <v>1.7000000000000004</v>
      </c>
      <c r="K34" s="5">
        <f t="shared" si="28"/>
        <v>1.8980256800818234</v>
      </c>
      <c r="L34" s="211">
        <f t="shared" si="7"/>
        <v>0</v>
      </c>
      <c r="M34" s="140">
        <f t="shared" si="8"/>
        <v>1.1164856941657781</v>
      </c>
      <c r="N34" s="128">
        <f t="shared" si="29"/>
        <v>6.9</v>
      </c>
      <c r="O34" s="19">
        <f>'global path'!C28</f>
        <v>12.110324996196645</v>
      </c>
      <c r="P34" s="4">
        <f t="shared" si="9"/>
        <v>1.7551195646661804</v>
      </c>
      <c r="Q34" s="359">
        <f t="shared" si="30"/>
        <v>1.6673635864328713</v>
      </c>
      <c r="S34" s="49">
        <f t="shared" si="31"/>
        <v>2041</v>
      </c>
      <c r="T34" s="128">
        <f t="shared" si="10"/>
        <v>1.2</v>
      </c>
      <c r="U34" s="5">
        <f t="shared" si="11"/>
        <v>2.5074852519934985</v>
      </c>
      <c r="V34" s="198">
        <f t="shared" si="12"/>
        <v>2.0895710433279153</v>
      </c>
      <c r="W34" s="128">
        <f t="shared" si="13"/>
        <v>4</v>
      </c>
      <c r="X34" s="5">
        <f t="shared" si="14"/>
        <v>7.7048140641213232</v>
      </c>
      <c r="Y34" s="198">
        <f t="shared" si="15"/>
        <v>1.9262035160303308</v>
      </c>
      <c r="Z34" s="128">
        <f t="shared" si="16"/>
        <v>1.7000000000000004</v>
      </c>
      <c r="AA34" s="5">
        <f t="shared" si="17"/>
        <v>1.8980256800818234</v>
      </c>
      <c r="AB34" s="198">
        <f t="shared" si="0"/>
        <v>1.1164856941657781</v>
      </c>
      <c r="AC34" s="128">
        <f t="shared" si="18"/>
        <v>5.2</v>
      </c>
      <c r="AD34" s="19">
        <f t="shared" si="19"/>
        <v>10.212299316114823</v>
      </c>
      <c r="AE34" s="19">
        <f t="shared" si="32"/>
        <v>11.431205980030629</v>
      </c>
      <c r="AF34" s="4">
        <f t="shared" si="20"/>
        <v>1.9639037146374658</v>
      </c>
      <c r="AG34" s="354">
        <f t="shared" si="21"/>
        <v>12.110324996196645</v>
      </c>
      <c r="AH34" s="368">
        <f t="shared" si="1"/>
        <v>0.3130819434391286</v>
      </c>
      <c r="AI34" s="329">
        <f t="shared" si="2"/>
        <v>0</v>
      </c>
    </row>
    <row r="35" spans="1:40" x14ac:dyDescent="0.2">
      <c r="A35" s="49">
        <f t="shared" si="22"/>
        <v>2042</v>
      </c>
      <c r="B35" s="128">
        <f t="shared" si="23"/>
        <v>1.2</v>
      </c>
      <c r="C35" s="5">
        <f t="shared" si="24"/>
        <v>21</v>
      </c>
      <c r="D35" s="211">
        <f t="shared" si="3"/>
        <v>1</v>
      </c>
      <c r="E35" s="320">
        <f t="shared" si="4"/>
        <v>17.5</v>
      </c>
      <c r="F35" s="128">
        <f t="shared" si="25"/>
        <v>4</v>
      </c>
      <c r="G35" s="5">
        <f t="shared" si="26"/>
        <v>38.484936966968817</v>
      </c>
      <c r="H35" s="211">
        <f t="shared" si="5"/>
        <v>1</v>
      </c>
      <c r="I35" s="320">
        <f t="shared" si="6"/>
        <v>9.6212342417422043</v>
      </c>
      <c r="J35" s="128">
        <f t="shared" si="27"/>
        <v>1.7000000000000004</v>
      </c>
      <c r="K35" s="5">
        <f t="shared" si="28"/>
        <v>1.9359861936834599</v>
      </c>
      <c r="L35" s="211">
        <f t="shared" si="7"/>
        <v>0</v>
      </c>
      <c r="M35" s="140">
        <f t="shared" si="8"/>
        <v>1.1388154080490938</v>
      </c>
      <c r="N35" s="128">
        <f t="shared" si="29"/>
        <v>6.9</v>
      </c>
      <c r="O35" s="19">
        <f>'global path'!C29</f>
        <v>10.993954784704982</v>
      </c>
      <c r="P35" s="4">
        <f t="shared" si="9"/>
        <v>1.5933267803920264</v>
      </c>
      <c r="Q35" s="359">
        <f t="shared" si="30"/>
        <v>1.5136604413724251</v>
      </c>
      <c r="S35" s="49">
        <f t="shared" si="31"/>
        <v>2042</v>
      </c>
      <c r="T35" s="128">
        <f t="shared" si="10"/>
        <v>1.2</v>
      </c>
      <c r="U35" s="5">
        <f t="shared" si="11"/>
        <v>2.1764118565869386</v>
      </c>
      <c r="V35" s="198">
        <f t="shared" si="12"/>
        <v>1.8136765471557823</v>
      </c>
      <c r="W35" s="128">
        <f t="shared" si="13"/>
        <v>4</v>
      </c>
      <c r="X35" s="5">
        <f t="shared" si="14"/>
        <v>6.8815567344345832</v>
      </c>
      <c r="Y35" s="198">
        <f t="shared" si="15"/>
        <v>1.7203891836086458</v>
      </c>
      <c r="Z35" s="128">
        <f t="shared" si="16"/>
        <v>1.7000000000000004</v>
      </c>
      <c r="AA35" s="5">
        <f t="shared" si="17"/>
        <v>1.9359861936834599</v>
      </c>
      <c r="AB35" s="198">
        <f t="shared" si="0"/>
        <v>1.1388154080490938</v>
      </c>
      <c r="AC35" s="128">
        <f t="shared" si="18"/>
        <v>5.2</v>
      </c>
      <c r="AD35" s="19">
        <f t="shared" si="19"/>
        <v>9.0579685910215222</v>
      </c>
      <c r="AE35" s="19">
        <f t="shared" si="32"/>
        <v>10.212299316114821</v>
      </c>
      <c r="AF35" s="4">
        <f t="shared" si="20"/>
        <v>1.7419170367349082</v>
      </c>
      <c r="AG35" s="354">
        <f t="shared" si="21"/>
        <v>10.993954784704982</v>
      </c>
      <c r="AH35" s="368">
        <f t="shared" si="1"/>
        <v>0.35620172529821947</v>
      </c>
      <c r="AI35" s="329">
        <f t="shared" si="2"/>
        <v>0</v>
      </c>
    </row>
    <row r="36" spans="1:40" x14ac:dyDescent="0.2">
      <c r="A36" s="49">
        <f t="shared" si="22"/>
        <v>2043</v>
      </c>
      <c r="B36" s="128">
        <f t="shared" si="23"/>
        <v>1.2</v>
      </c>
      <c r="C36" s="5">
        <f t="shared" si="24"/>
        <v>21</v>
      </c>
      <c r="D36" s="211">
        <f t="shared" si="3"/>
        <v>1</v>
      </c>
      <c r="E36" s="320">
        <f t="shared" si="4"/>
        <v>17.5</v>
      </c>
      <c r="F36" s="128">
        <f t="shared" si="25"/>
        <v>4</v>
      </c>
      <c r="G36" s="5">
        <f t="shared" si="26"/>
        <v>39.639485075977881</v>
      </c>
      <c r="H36" s="211">
        <f t="shared" si="5"/>
        <v>1</v>
      </c>
      <c r="I36" s="320">
        <f t="shared" si="6"/>
        <v>9.9098712689944701</v>
      </c>
      <c r="J36" s="128">
        <f t="shared" si="27"/>
        <v>1.7000000000000004</v>
      </c>
      <c r="K36" s="5">
        <f t="shared" si="28"/>
        <v>1.9747059175571291</v>
      </c>
      <c r="L36" s="211">
        <f t="shared" si="7"/>
        <v>0</v>
      </c>
      <c r="M36" s="140">
        <f t="shared" si="8"/>
        <v>1.1615917162100757</v>
      </c>
      <c r="N36" s="128">
        <f t="shared" si="29"/>
        <v>6.9</v>
      </c>
      <c r="O36" s="19">
        <f>'global path'!C30</f>
        <v>9.9444234729520211</v>
      </c>
      <c r="P36" s="4">
        <f t="shared" si="9"/>
        <v>1.4412207931814522</v>
      </c>
      <c r="Q36" s="359">
        <f t="shared" si="30"/>
        <v>1.3691597535223796</v>
      </c>
      <c r="S36" s="49">
        <f t="shared" si="31"/>
        <v>2043</v>
      </c>
      <c r="T36" s="128">
        <f t="shared" si="10"/>
        <v>1.2</v>
      </c>
      <c r="U36" s="5">
        <f t="shared" si="11"/>
        <v>1.884226482625019</v>
      </c>
      <c r="V36" s="198">
        <f t="shared" si="12"/>
        <v>1.5701887355208493</v>
      </c>
      <c r="W36" s="128">
        <f t="shared" si="13"/>
        <v>4</v>
      </c>
      <c r="X36" s="5">
        <f t="shared" si="14"/>
        <v>6.085491072769873</v>
      </c>
      <c r="Y36" s="198">
        <f t="shared" si="15"/>
        <v>1.5213727681924682</v>
      </c>
      <c r="Z36" s="128">
        <f t="shared" si="16"/>
        <v>1.7000000000000004</v>
      </c>
      <c r="AA36" s="5">
        <f t="shared" si="17"/>
        <v>1.9747059175571291</v>
      </c>
      <c r="AB36" s="198">
        <f t="shared" si="0"/>
        <v>1.1615917162100757</v>
      </c>
      <c r="AC36" s="128">
        <f t="shared" si="18"/>
        <v>5.2</v>
      </c>
      <c r="AD36" s="19">
        <f t="shared" si="19"/>
        <v>7.969717555394892</v>
      </c>
      <c r="AE36" s="19">
        <f t="shared" si="32"/>
        <v>9.0579685910215222</v>
      </c>
      <c r="AF36" s="4">
        <f t="shared" si="20"/>
        <v>1.5326379914220947</v>
      </c>
      <c r="AG36" s="354">
        <f t="shared" si="21"/>
        <v>9.9444234729520211</v>
      </c>
      <c r="AH36" s="368">
        <f t="shared" si="1"/>
        <v>0.40526025778326935</v>
      </c>
      <c r="AI36" s="329">
        <f t="shared" si="2"/>
        <v>0</v>
      </c>
    </row>
    <row r="37" spans="1:40" x14ac:dyDescent="0.2">
      <c r="A37" s="49">
        <f t="shared" si="22"/>
        <v>2044</v>
      </c>
      <c r="B37" s="128">
        <f t="shared" si="23"/>
        <v>1.2</v>
      </c>
      <c r="C37" s="5">
        <f t="shared" si="24"/>
        <v>21</v>
      </c>
      <c r="D37" s="211">
        <f t="shared" si="3"/>
        <v>1</v>
      </c>
      <c r="E37" s="320">
        <f t="shared" si="4"/>
        <v>17.5</v>
      </c>
      <c r="F37" s="128">
        <f t="shared" si="25"/>
        <v>4</v>
      </c>
      <c r="G37" s="5">
        <f t="shared" si="26"/>
        <v>40.828669628257217</v>
      </c>
      <c r="H37" s="211">
        <f t="shared" si="5"/>
        <v>1</v>
      </c>
      <c r="I37" s="320">
        <f t="shared" si="6"/>
        <v>10.207167407064304</v>
      </c>
      <c r="J37" s="128">
        <f t="shared" si="27"/>
        <v>1.7000000000000004</v>
      </c>
      <c r="K37" s="5">
        <f t="shared" si="28"/>
        <v>2.0142000359082717</v>
      </c>
      <c r="L37" s="211">
        <f t="shared" si="7"/>
        <v>0</v>
      </c>
      <c r="M37" s="140">
        <f t="shared" si="8"/>
        <v>1.1848235505342772</v>
      </c>
      <c r="N37" s="128">
        <f t="shared" si="29"/>
        <v>6.9</v>
      </c>
      <c r="O37" s="19">
        <f>'global path'!C31</f>
        <v>8.9624567802491004</v>
      </c>
      <c r="P37" s="4">
        <f t="shared" si="9"/>
        <v>1.2989067797462464</v>
      </c>
      <c r="Q37" s="359">
        <f t="shared" si="30"/>
        <v>1.2339614407589339</v>
      </c>
      <c r="S37" s="49">
        <f t="shared" si="31"/>
        <v>2044</v>
      </c>
      <c r="T37" s="128">
        <f t="shared" si="10"/>
        <v>1.2</v>
      </c>
      <c r="U37" s="5">
        <f t="shared" si="11"/>
        <v>1.6246158050930908</v>
      </c>
      <c r="V37" s="198">
        <f t="shared" si="12"/>
        <v>1.3538465042442425</v>
      </c>
      <c r="W37" s="128">
        <f t="shared" si="13"/>
        <v>4</v>
      </c>
      <c r="X37" s="5">
        <f t="shared" si="14"/>
        <v>5.3236409392477375</v>
      </c>
      <c r="Y37" s="198">
        <f t="shared" si="15"/>
        <v>1.3309102348119344</v>
      </c>
      <c r="Z37" s="128">
        <f t="shared" si="16"/>
        <v>1.7000000000000004</v>
      </c>
      <c r="AA37" s="5">
        <f t="shared" si="17"/>
        <v>2.0142000359082717</v>
      </c>
      <c r="AB37" s="198">
        <f t="shared" si="0"/>
        <v>1.1848235505342772</v>
      </c>
      <c r="AC37" s="128">
        <f t="shared" si="18"/>
        <v>5.2</v>
      </c>
      <c r="AD37" s="19">
        <f t="shared" si="19"/>
        <v>6.9482567443408287</v>
      </c>
      <c r="AE37" s="19">
        <f t="shared" si="32"/>
        <v>7.969717555394892</v>
      </c>
      <c r="AF37" s="4">
        <f t="shared" si="20"/>
        <v>1.336203220065544</v>
      </c>
      <c r="AG37" s="354">
        <f t="shared" si="21"/>
        <v>8.9624567802490986</v>
      </c>
      <c r="AH37" s="368">
        <f t="shared" si="1"/>
        <v>0.4610754661591272</v>
      </c>
      <c r="AI37" s="329">
        <f t="shared" si="2"/>
        <v>0</v>
      </c>
    </row>
    <row r="38" spans="1:40" x14ac:dyDescent="0.2">
      <c r="A38" s="49">
        <f t="shared" si="22"/>
        <v>2045</v>
      </c>
      <c r="B38" s="128">
        <f t="shared" si="23"/>
        <v>1.2</v>
      </c>
      <c r="C38" s="5">
        <f t="shared" si="24"/>
        <v>21</v>
      </c>
      <c r="D38" s="211">
        <f t="shared" si="3"/>
        <v>1</v>
      </c>
      <c r="E38" s="320">
        <f t="shared" si="4"/>
        <v>17.5</v>
      </c>
      <c r="F38" s="128">
        <f t="shared" si="25"/>
        <v>4</v>
      </c>
      <c r="G38" s="5">
        <f t="shared" si="26"/>
        <v>42.053529717104936</v>
      </c>
      <c r="H38" s="211">
        <f t="shared" si="5"/>
        <v>1</v>
      </c>
      <c r="I38" s="320">
        <f t="shared" si="6"/>
        <v>10.513382429276234</v>
      </c>
      <c r="J38" s="128">
        <f t="shared" si="27"/>
        <v>1.7000000000000004</v>
      </c>
      <c r="K38" s="5">
        <f t="shared" si="28"/>
        <v>2.054484036626437</v>
      </c>
      <c r="L38" s="211">
        <f t="shared" si="7"/>
        <v>1</v>
      </c>
      <c r="M38" s="140">
        <f t="shared" si="8"/>
        <v>1.2085200215449627</v>
      </c>
      <c r="N38" s="128">
        <f t="shared" si="29"/>
        <v>6.9</v>
      </c>
      <c r="O38" s="19">
        <f>'global path'!C32</f>
        <v>8.0480484757823429</v>
      </c>
      <c r="P38" s="4">
        <f t="shared" si="9"/>
        <v>1.1663838370699047</v>
      </c>
      <c r="Q38" s="359">
        <f t="shared" si="30"/>
        <v>1.1080646452164093</v>
      </c>
      <c r="S38" s="49">
        <f t="shared" si="31"/>
        <v>2045</v>
      </c>
      <c r="T38" s="128">
        <f t="shared" si="10"/>
        <v>1.2</v>
      </c>
      <c r="U38" s="5">
        <f t="shared" si="11"/>
        <v>1.4278062086073191</v>
      </c>
      <c r="V38" s="198">
        <f t="shared" si="12"/>
        <v>1.189838507172766</v>
      </c>
      <c r="W38" s="128">
        <f t="shared" si="13"/>
        <v>4</v>
      </c>
      <c r="X38" s="5">
        <f t="shared" si="14"/>
        <v>4.7201865492149162</v>
      </c>
      <c r="Y38" s="198">
        <f t="shared" si="15"/>
        <v>1.1800466373037291</v>
      </c>
      <c r="Z38" s="128">
        <f t="shared" si="16"/>
        <v>1.7000000000000004</v>
      </c>
      <c r="AA38" s="5">
        <f t="shared" si="17"/>
        <v>1.9000557179601085</v>
      </c>
      <c r="AB38" s="198">
        <f t="shared" si="0"/>
        <v>1.1176798340941811</v>
      </c>
      <c r="AC38" s="128">
        <f t="shared" si="18"/>
        <v>6.9</v>
      </c>
      <c r="AD38" s="19">
        <f t="shared" si="19"/>
        <v>8.0480484757823429</v>
      </c>
      <c r="AE38" s="19">
        <f t="shared" si="32"/>
        <v>8.9624567802490986</v>
      </c>
      <c r="AF38" s="4">
        <f t="shared" si="20"/>
        <v>1.1663838370699047</v>
      </c>
      <c r="AG38" s="354">
        <f t="shared" si="21"/>
        <v>8.0480484757823447</v>
      </c>
      <c r="AH38" s="368">
        <f t="shared" si="1"/>
        <v>0.52457792593999841</v>
      </c>
      <c r="AI38" s="329">
        <f t="shared" si="2"/>
        <v>0</v>
      </c>
    </row>
    <row r="39" spans="1:40" x14ac:dyDescent="0.2">
      <c r="A39" s="49">
        <f t="shared" si="22"/>
        <v>2046</v>
      </c>
      <c r="B39" s="128">
        <f t="shared" si="23"/>
        <v>1.2</v>
      </c>
      <c r="C39" s="5">
        <f t="shared" si="24"/>
        <v>21</v>
      </c>
      <c r="D39" s="211">
        <f t="shared" si="3"/>
        <v>1</v>
      </c>
      <c r="E39" s="320">
        <f t="shared" si="4"/>
        <v>17.5</v>
      </c>
      <c r="F39" s="128">
        <f t="shared" si="25"/>
        <v>4</v>
      </c>
      <c r="G39" s="5">
        <f t="shared" si="26"/>
        <v>43.315135608618085</v>
      </c>
      <c r="H39" s="211">
        <f t="shared" si="5"/>
        <v>1</v>
      </c>
      <c r="I39" s="320">
        <f t="shared" si="6"/>
        <v>10.828783902154521</v>
      </c>
      <c r="J39" s="128">
        <f t="shared" si="27"/>
        <v>1.7000000000000004</v>
      </c>
      <c r="K39" s="5">
        <f t="shared" si="28"/>
        <v>2.0955737173589659</v>
      </c>
      <c r="L39" s="211">
        <f t="shared" si="7"/>
        <v>1</v>
      </c>
      <c r="M39" s="140">
        <f t="shared" si="8"/>
        <v>1.2326904219758621</v>
      </c>
      <c r="N39" s="128">
        <f t="shared" si="29"/>
        <v>6.9</v>
      </c>
      <c r="O39" s="19">
        <f>'global path'!C33</f>
        <v>7.2005279339949269</v>
      </c>
      <c r="P39" s="4">
        <f t="shared" si="9"/>
        <v>1.043554773042743</v>
      </c>
      <c r="Q39" s="359">
        <f t="shared" si="30"/>
        <v>0.99137703439060587</v>
      </c>
      <c r="S39" s="49">
        <f t="shared" si="31"/>
        <v>2046</v>
      </c>
      <c r="T39" s="128">
        <f t="shared" si="10"/>
        <v>1.2</v>
      </c>
      <c r="U39" s="5">
        <f t="shared" si="11"/>
        <v>1.2624183081405727</v>
      </c>
      <c r="V39" s="198">
        <f t="shared" si="12"/>
        <v>1.0520152567838106</v>
      </c>
      <c r="W39" s="128">
        <f t="shared" si="13"/>
        <v>4</v>
      </c>
      <c r="X39" s="5">
        <f t="shared" si="14"/>
        <v>4.1939326756456117</v>
      </c>
      <c r="Y39" s="198">
        <f t="shared" si="15"/>
        <v>1.0484831689114029</v>
      </c>
      <c r="Z39" s="128">
        <f t="shared" si="16"/>
        <v>1.7000000000000004</v>
      </c>
      <c r="AA39" s="5">
        <f t="shared" si="17"/>
        <v>1.7441769502087423</v>
      </c>
      <c r="AB39" s="198">
        <f t="shared" si="0"/>
        <v>1.0259864412992599</v>
      </c>
      <c r="AC39" s="128">
        <f t="shared" si="18"/>
        <v>6.9</v>
      </c>
      <c r="AD39" s="19">
        <f t="shared" si="19"/>
        <v>7.2005279339949269</v>
      </c>
      <c r="AE39" s="19">
        <f t="shared" si="32"/>
        <v>8.0480484757823447</v>
      </c>
      <c r="AF39" s="4">
        <f t="shared" si="20"/>
        <v>1.043554773042743</v>
      </c>
      <c r="AG39" s="354">
        <f t="shared" si="21"/>
        <v>7.2005279339949269</v>
      </c>
      <c r="AH39" s="368">
        <f t="shared" si="1"/>
        <v>0.59682637785056003</v>
      </c>
      <c r="AI39" s="329">
        <f t="shared" si="2"/>
        <v>0</v>
      </c>
    </row>
    <row r="40" spans="1:40" x14ac:dyDescent="0.2">
      <c r="A40" s="49">
        <f t="shared" si="22"/>
        <v>2047</v>
      </c>
      <c r="B40" s="128">
        <f t="shared" si="23"/>
        <v>1.2</v>
      </c>
      <c r="C40" s="5">
        <f t="shared" si="24"/>
        <v>21</v>
      </c>
      <c r="D40" s="211">
        <f t="shared" si="3"/>
        <v>1</v>
      </c>
      <c r="E40" s="320">
        <f t="shared" si="4"/>
        <v>17.5</v>
      </c>
      <c r="F40" s="128">
        <f t="shared" si="25"/>
        <v>4</v>
      </c>
      <c r="G40" s="5">
        <f t="shared" si="26"/>
        <v>44.614589676876626</v>
      </c>
      <c r="H40" s="211">
        <f t="shared" si="5"/>
        <v>1</v>
      </c>
      <c r="I40" s="320">
        <f t="shared" si="6"/>
        <v>11.153647419219157</v>
      </c>
      <c r="J40" s="128">
        <f t="shared" si="27"/>
        <v>1.7000000000000004</v>
      </c>
      <c r="K40" s="5">
        <f t="shared" si="28"/>
        <v>2.1374851917061455</v>
      </c>
      <c r="L40" s="211">
        <f t="shared" si="7"/>
        <v>1</v>
      </c>
      <c r="M40" s="140">
        <f t="shared" si="8"/>
        <v>1.2573442304153795</v>
      </c>
      <c r="N40" s="128">
        <f t="shared" si="29"/>
        <v>6.9</v>
      </c>
      <c r="O40" s="19">
        <f>'global path'!C34</f>
        <v>6.4186323620867087</v>
      </c>
      <c r="P40" s="4">
        <f t="shared" si="9"/>
        <v>0.93023657421546502</v>
      </c>
      <c r="Q40" s="359">
        <f t="shared" si="30"/>
        <v>0.88372474550469171</v>
      </c>
      <c r="S40" s="49">
        <f t="shared" si="31"/>
        <v>2047</v>
      </c>
      <c r="T40" s="128">
        <f t="shared" si="10"/>
        <v>1.2</v>
      </c>
      <c r="U40" s="5">
        <f t="shared" si="11"/>
        <v>1.1191887496651016</v>
      </c>
      <c r="V40" s="198">
        <f t="shared" si="12"/>
        <v>0.93265729138758469</v>
      </c>
      <c r="W40" s="128">
        <f t="shared" si="13"/>
        <v>4</v>
      </c>
      <c r="X40" s="5">
        <f t="shared" si="14"/>
        <v>3.7265867556703127</v>
      </c>
      <c r="Y40" s="198">
        <f t="shared" si="15"/>
        <v>0.93164668891757818</v>
      </c>
      <c r="Z40" s="128">
        <f t="shared" si="16"/>
        <v>1.7000000000000004</v>
      </c>
      <c r="AA40" s="5">
        <f t="shared" si="17"/>
        <v>1.5728568567512942</v>
      </c>
      <c r="AB40" s="198">
        <f t="shared" si="0"/>
        <v>0.92520991573605516</v>
      </c>
      <c r="AC40" s="128">
        <f t="shared" si="18"/>
        <v>6.9</v>
      </c>
      <c r="AD40" s="19">
        <f t="shared" si="19"/>
        <v>6.4186323620867087</v>
      </c>
      <c r="AE40" s="19">
        <f t="shared" si="32"/>
        <v>7.2005279339949269</v>
      </c>
      <c r="AF40" s="4">
        <f t="shared" si="20"/>
        <v>0.93023657421546502</v>
      </c>
      <c r="AG40" s="354">
        <f t="shared" si="21"/>
        <v>6.4186323620867078</v>
      </c>
      <c r="AH40" s="368">
        <f t="shared" si="1"/>
        <v>0.67902537961340381</v>
      </c>
      <c r="AI40" s="329">
        <f t="shared" si="2"/>
        <v>0</v>
      </c>
    </row>
    <row r="41" spans="1:40" x14ac:dyDescent="0.2">
      <c r="A41" s="49">
        <f t="shared" si="22"/>
        <v>2048</v>
      </c>
      <c r="B41" s="128">
        <f t="shared" si="23"/>
        <v>1.2</v>
      </c>
      <c r="C41" s="5">
        <f t="shared" si="24"/>
        <v>21</v>
      </c>
      <c r="D41" s="211">
        <f t="shared" si="3"/>
        <v>1</v>
      </c>
      <c r="E41" s="320">
        <f t="shared" si="4"/>
        <v>17.5</v>
      </c>
      <c r="F41" s="128">
        <f t="shared" si="25"/>
        <v>4</v>
      </c>
      <c r="G41" s="5">
        <f t="shared" si="26"/>
        <v>45.953027367182926</v>
      </c>
      <c r="H41" s="211">
        <f t="shared" si="5"/>
        <v>1</v>
      </c>
      <c r="I41" s="320">
        <f t="shared" si="6"/>
        <v>11.488256841795732</v>
      </c>
      <c r="J41" s="128">
        <f t="shared" si="27"/>
        <v>1.7000000000000004</v>
      </c>
      <c r="K41" s="5">
        <f t="shared" si="28"/>
        <v>2.1802348955402686</v>
      </c>
      <c r="L41" s="211">
        <f t="shared" si="7"/>
        <v>1</v>
      </c>
      <c r="M41" s="140">
        <f t="shared" si="8"/>
        <v>1.2824911150236871</v>
      </c>
      <c r="N41" s="128">
        <f t="shared" si="29"/>
        <v>6.9</v>
      </c>
      <c r="O41" s="19">
        <f>'global path'!C35</f>
        <v>5.7005818470428622</v>
      </c>
      <c r="P41" s="4">
        <f t="shared" si="9"/>
        <v>0.82617128218012492</v>
      </c>
      <c r="Q41" s="359">
        <f t="shared" si="30"/>
        <v>0.78486271807111863</v>
      </c>
      <c r="S41" s="49">
        <f t="shared" si="31"/>
        <v>2048</v>
      </c>
      <c r="T41" s="128">
        <f t="shared" si="10"/>
        <v>1.2</v>
      </c>
      <c r="U41" s="5">
        <f t="shared" si="11"/>
        <v>0.99199234756296861</v>
      </c>
      <c r="V41" s="198">
        <f t="shared" si="12"/>
        <v>0.82666028963580718</v>
      </c>
      <c r="W41" s="128">
        <f t="shared" si="13"/>
        <v>4</v>
      </c>
      <c r="X41" s="5">
        <f t="shared" si="14"/>
        <v>3.3058245540290696</v>
      </c>
      <c r="Y41" s="198">
        <f t="shared" si="15"/>
        <v>0.8264561385072674</v>
      </c>
      <c r="Z41" s="128">
        <f t="shared" si="16"/>
        <v>1.7000000000000004</v>
      </c>
      <c r="AA41" s="5">
        <f t="shared" si="17"/>
        <v>1.4027649454508244</v>
      </c>
      <c r="AB41" s="198">
        <f t="shared" si="0"/>
        <v>0.82515585026519067</v>
      </c>
      <c r="AC41" s="128">
        <f t="shared" si="18"/>
        <v>6.9</v>
      </c>
      <c r="AD41" s="19">
        <f t="shared" si="19"/>
        <v>5.7005818470428622</v>
      </c>
      <c r="AE41" s="19">
        <f t="shared" si="32"/>
        <v>6.4186323620867078</v>
      </c>
      <c r="AF41" s="4">
        <f t="shared" si="20"/>
        <v>0.82617128218012492</v>
      </c>
      <c r="AG41" s="354">
        <f t="shared" si="21"/>
        <v>5.7005818470428631</v>
      </c>
      <c r="AH41" s="368">
        <f t="shared" si="1"/>
        <v>0.77254538886110746</v>
      </c>
      <c r="AI41" s="329">
        <f t="shared" si="2"/>
        <v>0</v>
      </c>
    </row>
    <row r="42" spans="1:40" x14ac:dyDescent="0.2">
      <c r="A42" s="49">
        <f t="shared" si="22"/>
        <v>2049</v>
      </c>
      <c r="B42" s="128">
        <f t="shared" si="23"/>
        <v>1.2</v>
      </c>
      <c r="C42" s="5">
        <f t="shared" si="24"/>
        <v>21</v>
      </c>
      <c r="D42" s="211">
        <f t="shared" si="3"/>
        <v>1</v>
      </c>
      <c r="E42" s="320">
        <f t="shared" si="4"/>
        <v>17.5</v>
      </c>
      <c r="F42" s="128">
        <f t="shared" si="25"/>
        <v>4</v>
      </c>
      <c r="G42" s="5">
        <f t="shared" si="26"/>
        <v>47.331618188198412</v>
      </c>
      <c r="H42" s="211">
        <f t="shared" si="5"/>
        <v>1</v>
      </c>
      <c r="I42" s="320">
        <f t="shared" si="6"/>
        <v>11.832904547049603</v>
      </c>
      <c r="J42" s="128">
        <f t="shared" si="27"/>
        <v>1.7000000000000004</v>
      </c>
      <c r="K42" s="5">
        <f t="shared" si="28"/>
        <v>2.223839593451074</v>
      </c>
      <c r="L42" s="211">
        <f t="shared" si="7"/>
        <v>1</v>
      </c>
      <c r="M42" s="140">
        <f t="shared" si="8"/>
        <v>1.3081409373241608</v>
      </c>
      <c r="N42" s="128">
        <f t="shared" si="29"/>
        <v>6.9</v>
      </c>
      <c r="O42" s="19">
        <f>'global path'!C36</f>
        <v>5.0441554756236391</v>
      </c>
      <c r="P42" s="4">
        <f t="shared" si="9"/>
        <v>0.73103702545270133</v>
      </c>
      <c r="Q42" s="359">
        <f t="shared" si="30"/>
        <v>0.69448517418006628</v>
      </c>
      <c r="S42" s="49">
        <f t="shared" si="31"/>
        <v>2049</v>
      </c>
      <c r="T42" s="128">
        <f t="shared" si="10"/>
        <v>1.2</v>
      </c>
      <c r="U42" s="5">
        <f t="shared" si="11"/>
        <v>0.87730728651456102</v>
      </c>
      <c r="V42" s="198">
        <f t="shared" si="12"/>
        <v>0.73108940542880085</v>
      </c>
      <c r="W42" s="128">
        <f t="shared" si="13"/>
        <v>4</v>
      </c>
      <c r="X42" s="5">
        <f t="shared" si="14"/>
        <v>2.9242701512187166</v>
      </c>
      <c r="Y42" s="198">
        <f t="shared" si="15"/>
        <v>0.73106753780467915</v>
      </c>
      <c r="Z42" s="128">
        <f t="shared" si="16"/>
        <v>1.7000000000000004</v>
      </c>
      <c r="AA42" s="5">
        <f t="shared" si="17"/>
        <v>1.2425780378903617</v>
      </c>
      <c r="AB42" s="198">
        <f t="shared" si="0"/>
        <v>0.73092825758256552</v>
      </c>
      <c r="AC42" s="128">
        <f t="shared" si="18"/>
        <v>6.9</v>
      </c>
      <c r="AD42" s="19">
        <f t="shared" si="19"/>
        <v>5.0441554756236391</v>
      </c>
      <c r="AE42" s="19">
        <f t="shared" si="32"/>
        <v>5.7005818470428631</v>
      </c>
      <c r="AF42" s="4">
        <f t="shared" si="20"/>
        <v>0.73103702545270133</v>
      </c>
      <c r="AG42" s="354">
        <f t="shared" si="21"/>
        <v>5.0441554756236391</v>
      </c>
      <c r="AH42" s="368">
        <f t="shared" si="1"/>
        <v>0.87894561200401233</v>
      </c>
      <c r="AI42" s="329">
        <f t="shared" si="2"/>
        <v>0</v>
      </c>
    </row>
    <row r="43" spans="1:40" ht="13.5" thickBot="1" x14ac:dyDescent="0.25">
      <c r="A43" s="49">
        <f t="shared" si="22"/>
        <v>2050</v>
      </c>
      <c r="B43" s="139">
        <f>RF!B40</f>
        <v>1.2</v>
      </c>
      <c r="C43" s="5">
        <f t="shared" si="24"/>
        <v>21</v>
      </c>
      <c r="D43" s="211">
        <f t="shared" si="3"/>
        <v>1</v>
      </c>
      <c r="E43" s="320">
        <f t="shared" si="4"/>
        <v>17.5</v>
      </c>
      <c r="F43" s="141">
        <f>RF!E40</f>
        <v>4</v>
      </c>
      <c r="G43" s="5">
        <f t="shared" si="26"/>
        <v>48.751566733844363</v>
      </c>
      <c r="H43" s="211">
        <f t="shared" si="5"/>
        <v>1</v>
      </c>
      <c r="I43" s="320">
        <f t="shared" si="6"/>
        <v>12.187891683461091</v>
      </c>
      <c r="J43" s="149">
        <f>N43-F43-B43</f>
        <v>1.7000000000000004</v>
      </c>
      <c r="K43" s="5">
        <f t="shared" si="28"/>
        <v>2.2683163853200954</v>
      </c>
      <c r="L43" s="211">
        <f t="shared" si="7"/>
        <v>1</v>
      </c>
      <c r="M43" s="140">
        <f t="shared" si="8"/>
        <v>1.3343037560706441</v>
      </c>
      <c r="N43" s="139">
        <f>RF!K40</f>
        <v>6.9</v>
      </c>
      <c r="O43" s="19">
        <f>'global path'!C37</f>
        <v>4.446766922839263</v>
      </c>
      <c r="P43" s="4">
        <f t="shared" si="9"/>
        <v>0.64445897432453081</v>
      </c>
      <c r="Q43" s="359">
        <f t="shared" si="30"/>
        <v>0.61223602560830426</v>
      </c>
      <c r="S43" s="49">
        <f t="shared" si="31"/>
        <v>2050</v>
      </c>
      <c r="T43" s="128">
        <f t="shared" si="10"/>
        <v>1.2</v>
      </c>
      <c r="U43" s="5">
        <f t="shared" si="11"/>
        <v>0.77335076918943702</v>
      </c>
      <c r="V43" s="198">
        <f t="shared" si="12"/>
        <v>0.64445897432453092</v>
      </c>
      <c r="W43" s="128">
        <f t="shared" si="13"/>
        <v>4</v>
      </c>
      <c r="X43" s="5">
        <f t="shared" si="14"/>
        <v>2.5778358972981237</v>
      </c>
      <c r="Y43" s="198">
        <f t="shared" si="15"/>
        <v>0.64445897432453092</v>
      </c>
      <c r="Z43" s="128">
        <f t="shared" si="16"/>
        <v>1.7000000000000004</v>
      </c>
      <c r="AA43" s="5">
        <f t="shared" si="17"/>
        <v>1.0955802563517028</v>
      </c>
      <c r="AB43" s="198">
        <f t="shared" si="0"/>
        <v>0.64445897432453092</v>
      </c>
      <c r="AC43" s="128">
        <f t="shared" si="18"/>
        <v>6.9</v>
      </c>
      <c r="AD43" s="19">
        <f t="shared" si="19"/>
        <v>4.446766922839263</v>
      </c>
      <c r="AE43" s="19">
        <f t="shared" si="32"/>
        <v>5.0441554756236391</v>
      </c>
      <c r="AF43" s="4">
        <f t="shared" si="20"/>
        <v>0.64445897432453081</v>
      </c>
      <c r="AG43" s="354">
        <f t="shared" si="21"/>
        <v>4.446766922839263</v>
      </c>
      <c r="AH43" s="368">
        <f t="shared" si="1"/>
        <v>1</v>
      </c>
      <c r="AI43" s="330">
        <f t="shared" si="2"/>
        <v>0</v>
      </c>
    </row>
    <row r="44" spans="1:40" ht="13.5" thickBot="1" x14ac:dyDescent="0.25">
      <c r="A44" s="341" t="s">
        <v>1</v>
      </c>
      <c r="B44" s="331"/>
      <c r="C44" s="332"/>
      <c r="D44" s="332"/>
      <c r="E44" s="333"/>
      <c r="F44" s="331"/>
      <c r="G44" s="332"/>
      <c r="H44" s="332"/>
      <c r="I44" s="333"/>
      <c r="J44" s="331"/>
      <c r="K44" s="332"/>
      <c r="L44" s="332"/>
      <c r="M44" s="333"/>
      <c r="N44" s="199"/>
      <c r="O44" s="147">
        <f>ROUND(SUM(O13:O43),0)</f>
        <v>657</v>
      </c>
      <c r="P44" s="147"/>
      <c r="Q44" s="318"/>
      <c r="S44" s="143" t="s">
        <v>1</v>
      </c>
      <c r="T44" s="331"/>
      <c r="U44" s="332"/>
      <c r="V44" s="333"/>
      <c r="W44" s="331"/>
      <c r="X44" s="332"/>
      <c r="Y44" s="333"/>
      <c r="Z44" s="331"/>
      <c r="AA44" s="332"/>
      <c r="AB44" s="334"/>
      <c r="AC44" s="199"/>
      <c r="AD44" s="147">
        <f>ROUND(SUM(AD13:AD43),0)</f>
        <v>555</v>
      </c>
      <c r="AE44" s="147"/>
      <c r="AF44" s="147"/>
      <c r="AG44" s="324">
        <f>ROUND(SUM(AG13:AG43),0)</f>
        <v>657</v>
      </c>
      <c r="AH44" s="318"/>
      <c r="AI44" s="327">
        <f>ROUND(SUM(AI13:AI43),0)</f>
        <v>0</v>
      </c>
      <c r="AK44" s="11"/>
      <c r="AL44" s="11"/>
      <c r="AM44" s="11"/>
      <c r="AN44" s="11"/>
    </row>
    <row r="45" spans="1:40" ht="13.5" thickBot="1" x14ac:dyDescent="0.25">
      <c r="A45" s="335" t="s">
        <v>1</v>
      </c>
      <c r="B45" s="336"/>
      <c r="C45" s="337">
        <f>SUM(C13:C43)</f>
        <v>651</v>
      </c>
      <c r="D45" s="337"/>
      <c r="E45" s="338"/>
      <c r="F45" s="336"/>
      <c r="G45" s="337">
        <f>SUM(G13:G43)</f>
        <v>1004.3037911953223</v>
      </c>
      <c r="H45" s="337"/>
      <c r="I45" s="338"/>
      <c r="J45" s="336"/>
      <c r="K45" s="337">
        <f>SUM(K13:K43)</f>
        <v>53.070563484756583</v>
      </c>
      <c r="L45" s="337"/>
      <c r="M45" s="338"/>
      <c r="N45" s="339"/>
      <c r="O45" s="340">
        <f>ROUND(SUM(C45:K45),0)</f>
        <v>1708</v>
      </c>
      <c r="P45" s="316"/>
      <c r="Q45" s="317"/>
      <c r="S45" s="143" t="s">
        <v>1</v>
      </c>
      <c r="T45" s="144"/>
      <c r="U45" s="145">
        <f>SUM(U13:U43)</f>
        <v>223.92320228781759</v>
      </c>
      <c r="V45" s="146"/>
      <c r="W45" s="144"/>
      <c r="X45" s="145">
        <f>SUM(X13:X43)</f>
        <v>383.77180164065891</v>
      </c>
      <c r="Y45" s="146"/>
      <c r="Z45" s="144"/>
      <c r="AA45" s="145">
        <f>SUM(AA13:AA43)</f>
        <v>49.068642429366626</v>
      </c>
      <c r="AB45" s="146"/>
      <c r="AC45" s="309"/>
      <c r="AD45" s="312"/>
      <c r="AE45" s="312"/>
      <c r="AF45" s="310"/>
      <c r="AG45" s="345">
        <f>ROUND(SUM(U45:AA45),0)</f>
        <v>657</v>
      </c>
      <c r="AH45" s="317"/>
      <c r="AI45" s="344"/>
      <c r="AJ45" s="11"/>
      <c r="AK45" s="11"/>
      <c r="AL45" s="11"/>
      <c r="AM45" s="11"/>
      <c r="AN45" s="11"/>
    </row>
    <row r="46" spans="1:40" ht="13.5" thickBo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309" t="s">
        <v>114</v>
      </c>
      <c r="M46" s="364"/>
      <c r="N46" s="310"/>
      <c r="O46" s="342">
        <f>O45-O44</f>
        <v>1051</v>
      </c>
      <c r="P46" s="7"/>
      <c r="Q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113"/>
      <c r="AE46" s="113"/>
      <c r="AF46" s="7"/>
      <c r="AH46" s="7"/>
      <c r="AI46" s="11"/>
      <c r="AJ46" s="11"/>
      <c r="AK46" s="11"/>
    </row>
    <row r="47" spans="1:40" x14ac:dyDescent="0.2">
      <c r="A47" s="7"/>
      <c r="B47" s="7"/>
      <c r="C47" s="7"/>
      <c r="D47" s="7"/>
      <c r="E47" s="7"/>
      <c r="F47" s="7"/>
      <c r="G47" s="7"/>
      <c r="H47" s="7"/>
      <c r="J47" s="7"/>
      <c r="M47" s="7"/>
      <c r="N47" s="114"/>
      <c r="O47" s="113"/>
      <c r="P47" s="7"/>
      <c r="Q47" s="7"/>
      <c r="S47" s="7"/>
      <c r="T47" s="7"/>
      <c r="U47" s="7"/>
      <c r="V47" s="7"/>
      <c r="W47" s="7"/>
      <c r="X47" s="7"/>
      <c r="Z47" s="7"/>
      <c r="AC47" s="114"/>
      <c r="AD47" s="346" t="s">
        <v>41</v>
      </c>
      <c r="AE47" s="347"/>
      <c r="AF47" s="347"/>
      <c r="AG47" s="348">
        <f>'global path'!C89</f>
        <v>656.76364635784296</v>
      </c>
      <c r="AH47" s="7"/>
      <c r="AI47" s="344"/>
      <c r="AJ47" s="11"/>
      <c r="AK47" s="11"/>
    </row>
    <row r="48" spans="1:40" ht="13.5" thickBo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113"/>
      <c r="P48" s="7"/>
      <c r="Q48" s="7"/>
      <c r="S48" s="7"/>
      <c r="T48" s="7"/>
      <c r="U48" s="7"/>
      <c r="V48" s="7"/>
      <c r="W48" s="7"/>
      <c r="X48" s="7"/>
      <c r="Y48" s="7"/>
      <c r="Z48" s="7"/>
      <c r="AA48" s="7"/>
      <c r="AC48" s="7"/>
      <c r="AD48" s="349" t="s">
        <v>114</v>
      </c>
      <c r="AE48" s="350"/>
      <c r="AF48" s="350"/>
      <c r="AG48" s="351">
        <f>ROUND(AG45-AG47,0)</f>
        <v>0</v>
      </c>
      <c r="AH48" s="7"/>
    </row>
  </sheetData>
  <sheetProtection selectLockedCells="1"/>
  <mergeCells count="14">
    <mergeCell ref="AG8:AH8"/>
    <mergeCell ref="AC8:AF8"/>
    <mergeCell ref="T8:V8"/>
    <mergeCell ref="W8:Y8"/>
    <mergeCell ref="J1:N1"/>
    <mergeCell ref="B7:M7"/>
    <mergeCell ref="T7:AB7"/>
    <mergeCell ref="B8:E8"/>
    <mergeCell ref="F8:I8"/>
    <mergeCell ref="J8:M8"/>
    <mergeCell ref="Z8:AB8"/>
    <mergeCell ref="N8:Q8"/>
    <mergeCell ref="J2:AJ2"/>
    <mergeCell ref="K4:M4"/>
  </mergeCells>
  <conditionalFormatting sqref="AH12:AH42">
    <cfRule type="expression" dxfId="68" priority="28" stopIfTrue="1">
      <formula>AND(AH12=-100,AH13=-100)</formula>
    </cfRule>
  </conditionalFormatting>
  <conditionalFormatting sqref="AH43">
    <cfRule type="expression" dxfId="67" priority="35" stopIfTrue="1">
      <formula>AND(AH43=-100,#REF!=-100)</formula>
    </cfRule>
  </conditionalFormatting>
  <conditionalFormatting sqref="M12">
    <cfRule type="cellIs" dxfId="66" priority="23" operator="lessThan">
      <formula>$Q12</formula>
    </cfRule>
  </conditionalFormatting>
  <conditionalFormatting sqref="M13:M43">
    <cfRule type="cellIs" dxfId="65" priority="19" operator="lessThan">
      <formula>$Q13</formula>
    </cfRule>
  </conditionalFormatting>
  <conditionalFormatting sqref="I12">
    <cfRule type="cellIs" dxfId="64" priority="18" operator="lessThan">
      <formula>$Q12</formula>
    </cfRule>
  </conditionalFormatting>
  <conditionalFormatting sqref="I13:I43">
    <cfRule type="cellIs" dxfId="63" priority="17" operator="lessThan">
      <formula>$Q13</formula>
    </cfRule>
  </conditionalFormatting>
  <conditionalFormatting sqref="E12">
    <cfRule type="cellIs" dxfId="62" priority="16" operator="lessThan">
      <formula>$Q12</formula>
    </cfRule>
  </conditionalFormatting>
  <conditionalFormatting sqref="E13:E43">
    <cfRule type="cellIs" dxfId="61" priority="15" operator="lessThan">
      <formula>$Q13</formula>
    </cfRule>
  </conditionalFormatting>
  <conditionalFormatting sqref="AG48">
    <cfRule type="cellIs" dxfId="60" priority="12" stopIfTrue="1" operator="equal">
      <formula>0</formula>
    </cfRule>
  </conditionalFormatting>
  <conditionalFormatting sqref="AG45">
    <cfRule type="cellIs" dxfId="59" priority="10" operator="notEqual">
      <formula>$AG$44</formula>
    </cfRule>
    <cfRule type="cellIs" dxfId="58" priority="11" operator="equal">
      <formula>$AG$44</formula>
    </cfRule>
  </conditionalFormatting>
  <dataValidations count="1">
    <dataValidation type="decimal" operator="greaterThanOrEqual" allowBlank="1" showInputMessage="1" showErrorMessage="1" error="value &gt; 0" sqref="G5:H6">
      <formula1>0</formula1>
    </dataValidation>
  </dataValidations>
  <hyperlinks>
    <hyperlink ref="J2" r:id="rId1"/>
  </hyperlink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2"/>
  <headerFooter>
    <oddHeader>&amp;LRegensburger Modell</oddHeader>
    <oddFooter>&amp;LSargl/Wolfsteiner/Wittmann&amp;R&amp;18Anlage 1.3.1</oddFooter>
  </headerFooter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00B0F0"/>
    <pageSetUpPr fitToPage="1"/>
  </sheetPr>
  <dimension ref="A1:BC43"/>
  <sheetViews>
    <sheetView zoomScale="110" zoomScaleNormal="11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4" width="4.42578125" style="3" customWidth="1"/>
    <col min="5" max="5" width="5.42578125" style="3" bestFit="1" customWidth="1"/>
    <col min="6" max="6" width="4.42578125" style="3" customWidth="1"/>
    <col min="7" max="8" width="6" style="3" customWidth="1"/>
    <col min="9" max="9" width="4.42578125" style="3" bestFit="1" customWidth="1"/>
    <col min="10" max="10" width="4.7109375" style="3" customWidth="1"/>
    <col min="11" max="11" width="5.28515625" style="3" customWidth="1"/>
    <col min="12" max="12" width="4.42578125" style="3" customWidth="1"/>
    <col min="13" max="13" width="5.28515625" style="3" bestFit="1" customWidth="1"/>
    <col min="14" max="15" width="4.42578125" style="3" bestFit="1" customWidth="1"/>
    <col min="16" max="16" width="7.28515625" style="3" bestFit="1" customWidth="1"/>
    <col min="17" max="17" width="4.42578125" style="3" customWidth="1"/>
    <col min="18" max="18" width="5.28515625" style="3" bestFit="1" customWidth="1"/>
    <col min="19" max="20" width="4.42578125" style="3" bestFit="1" customWidth="1"/>
    <col min="21" max="21" width="5.42578125" style="3" bestFit="1" customWidth="1"/>
    <col min="22" max="22" width="4.42578125" style="3" customWidth="1"/>
    <col min="23" max="23" width="4.85546875" style="3" bestFit="1" customWidth="1"/>
    <col min="24" max="24" width="4.42578125" style="3" bestFit="1" customWidth="1"/>
    <col min="25" max="25" width="4.28515625" style="3" customWidth="1"/>
    <col min="26" max="26" width="5.42578125" style="3" customWidth="1"/>
    <col min="27" max="27" width="7.28515625" style="3" bestFit="1" customWidth="1"/>
    <col min="28" max="28" width="6.42578125" style="3" customWidth="1"/>
    <col min="29" max="32" width="10.140625" style="3" customWidth="1"/>
    <col min="33" max="36" width="10.140625" style="1" customWidth="1"/>
    <col min="37" max="37" width="23.28515625" style="1" customWidth="1"/>
    <col min="38" max="38" width="23.42578125" style="1" customWidth="1"/>
    <col min="39" max="39" width="20.42578125" style="1" bestFit="1" customWidth="1"/>
    <col min="40" max="40" width="21.42578125" style="1" bestFit="1" customWidth="1"/>
    <col min="41" max="41" width="21.7109375" style="1" customWidth="1"/>
    <col min="42" max="47" width="8.42578125" style="1" bestFit="1" customWidth="1"/>
    <col min="48" max="48" width="8.42578125" style="3" bestFit="1" customWidth="1"/>
    <col min="49" max="55" width="8.42578125" style="1" bestFit="1" customWidth="1"/>
    <col min="56" max="56" width="8.42578125" style="3" bestFit="1" customWidth="1"/>
    <col min="57" max="16384" width="11.7109375" style="3"/>
  </cols>
  <sheetData>
    <row r="1" spans="1:55" ht="15.75" x14ac:dyDescent="0.25">
      <c r="A1" s="51" t="s">
        <v>178</v>
      </c>
      <c r="G1" s="1"/>
      <c r="H1" s="1"/>
      <c r="I1" s="763"/>
      <c r="J1" s="763"/>
      <c r="K1" s="763"/>
      <c r="L1" s="763"/>
      <c r="M1" s="7" t="s">
        <v>111</v>
      </c>
    </row>
    <row r="2" spans="1:55" ht="15.75" x14ac:dyDescent="0.25">
      <c r="A2" s="166" t="s">
        <v>159</v>
      </c>
    </row>
    <row r="3" spans="1:55" s="43" customFormat="1" ht="13.5" thickBot="1" x14ac:dyDescent="0.3">
      <c r="A3" s="101"/>
      <c r="B3" s="101"/>
      <c r="C3" s="101"/>
      <c r="D3" s="101"/>
      <c r="E3" s="101"/>
      <c r="F3" s="101"/>
      <c r="G3" s="102"/>
      <c r="H3" s="102"/>
      <c r="I3" s="102"/>
      <c r="J3" s="102"/>
      <c r="K3" s="107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W3" s="10"/>
      <c r="AX3" s="10"/>
      <c r="AY3" s="10"/>
      <c r="AZ3" s="10"/>
      <c r="BA3" s="10"/>
      <c r="BB3" s="10"/>
      <c r="BC3" s="10"/>
    </row>
    <row r="4" spans="1:55" s="43" customFormat="1" ht="16.5" thickBot="1" x14ac:dyDescent="0.3">
      <c r="A4" s="6"/>
      <c r="B4" s="754" t="s">
        <v>7</v>
      </c>
      <c r="C4" s="755"/>
      <c r="D4" s="755"/>
      <c r="E4" s="755"/>
      <c r="F4" s="756" t="s">
        <v>8</v>
      </c>
      <c r="G4" s="757"/>
      <c r="H4" s="757"/>
      <c r="I4" s="757"/>
      <c r="J4" s="758" t="s">
        <v>9</v>
      </c>
      <c r="K4" s="759"/>
      <c r="L4" s="759"/>
      <c r="M4" s="751" t="s">
        <v>5</v>
      </c>
      <c r="N4" s="752"/>
      <c r="O4" s="752"/>
      <c r="P4" s="753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W4" s="10"/>
      <c r="AX4" s="10"/>
      <c r="AY4" s="10"/>
      <c r="AZ4" s="10"/>
      <c r="BA4" s="10"/>
      <c r="BB4" s="10"/>
      <c r="BC4" s="10"/>
    </row>
    <row r="5" spans="1:55" ht="13.5" thickBot="1" x14ac:dyDescent="0.25">
      <c r="A5" s="44"/>
      <c r="B5" s="87"/>
      <c r="C5" s="88"/>
      <c r="D5" s="88"/>
      <c r="E5" s="90"/>
      <c r="F5" s="87"/>
      <c r="G5" s="88"/>
      <c r="H5" s="88"/>
      <c r="I5" s="90"/>
      <c r="J5" s="87"/>
      <c r="K5" s="88"/>
      <c r="L5" s="90"/>
      <c r="M5" s="87"/>
      <c r="N5" s="89"/>
      <c r="O5" s="90"/>
      <c r="P5" s="125"/>
    </row>
    <row r="6" spans="1:55" s="43" customFormat="1" ht="46.5" x14ac:dyDescent="0.25">
      <c r="A6" s="46" t="s">
        <v>10</v>
      </c>
      <c r="B6" s="126" t="s">
        <v>13</v>
      </c>
      <c r="C6" s="20" t="s">
        <v>12</v>
      </c>
      <c r="D6" s="14"/>
      <c r="E6" s="14" t="s">
        <v>11</v>
      </c>
      <c r="F6" s="13" t="s">
        <v>13</v>
      </c>
      <c r="G6" s="20" t="s">
        <v>12</v>
      </c>
      <c r="H6" s="14"/>
      <c r="I6" s="14" t="s">
        <v>11</v>
      </c>
      <c r="J6" s="13" t="s">
        <v>13</v>
      </c>
      <c r="K6" s="20" t="s">
        <v>12</v>
      </c>
      <c r="L6" s="14" t="s">
        <v>11</v>
      </c>
      <c r="M6" s="13" t="s">
        <v>22</v>
      </c>
      <c r="N6" s="20" t="s">
        <v>23</v>
      </c>
      <c r="O6" s="14" t="s">
        <v>11</v>
      </c>
      <c r="P6" s="91" t="s">
        <v>30</v>
      </c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W6" s="10"/>
      <c r="AX6" s="10"/>
      <c r="AY6" s="10"/>
      <c r="AZ6" s="10"/>
      <c r="BA6" s="10"/>
      <c r="BB6" s="10"/>
      <c r="BC6" s="10"/>
    </row>
    <row r="7" spans="1:55" s="43" customFormat="1" x14ac:dyDescent="0.2">
      <c r="A7" s="47"/>
      <c r="B7" s="127" t="s">
        <v>6</v>
      </c>
      <c r="C7" s="108" t="s">
        <v>21</v>
      </c>
      <c r="D7" s="108"/>
      <c r="E7" s="30" t="s">
        <v>0</v>
      </c>
      <c r="F7" s="109" t="s">
        <v>6</v>
      </c>
      <c r="G7" s="108" t="s">
        <v>21</v>
      </c>
      <c r="H7" s="108"/>
      <c r="I7" s="30" t="s">
        <v>0</v>
      </c>
      <c r="J7" s="109" t="s">
        <v>6</v>
      </c>
      <c r="K7" s="108" t="s">
        <v>21</v>
      </c>
      <c r="L7" s="30" t="s">
        <v>0</v>
      </c>
      <c r="M7" s="29" t="s">
        <v>6</v>
      </c>
      <c r="N7" s="108" t="s">
        <v>21</v>
      </c>
      <c r="O7" s="30" t="s">
        <v>0</v>
      </c>
      <c r="P7" s="33"/>
      <c r="Q7" s="3"/>
      <c r="R7" s="3"/>
      <c r="S7" s="3"/>
      <c r="T7" s="3"/>
      <c r="U7" s="3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W7" s="10"/>
      <c r="AX7" s="10"/>
      <c r="AY7" s="10"/>
      <c r="AZ7" s="10"/>
      <c r="BA7" s="10"/>
      <c r="BB7" s="10"/>
      <c r="BC7" s="10"/>
    </row>
    <row r="8" spans="1:55" s="43" customFormat="1" x14ac:dyDescent="0.2">
      <c r="A8" s="48">
        <v>2019</v>
      </c>
      <c r="B8" s="131">
        <f>RF!B9</f>
        <v>1.2</v>
      </c>
      <c r="C8" s="132">
        <f>RF!C9</f>
        <v>21</v>
      </c>
      <c r="D8" s="132"/>
      <c r="E8" s="130">
        <f>C8/B8</f>
        <v>17.5</v>
      </c>
      <c r="F8" s="133">
        <f>RF!E9</f>
        <v>4</v>
      </c>
      <c r="G8" s="132">
        <f>RF!F9</f>
        <v>19.5</v>
      </c>
      <c r="H8" s="132"/>
      <c r="I8" s="130">
        <f>G8/F8</f>
        <v>4.875</v>
      </c>
      <c r="J8" s="137">
        <f>M8-F8-B8</f>
        <v>1.7000000000000004</v>
      </c>
      <c r="K8" s="117">
        <f>'global path'!$C$6-C8-G8</f>
        <v>1.2277171013052595</v>
      </c>
      <c r="L8" s="130">
        <f>K8/J8</f>
        <v>0.72218653017956425</v>
      </c>
      <c r="M8" s="133">
        <f>RF!K9</f>
        <v>6.9</v>
      </c>
      <c r="N8" s="32">
        <f>K8+G8+C8</f>
        <v>41.727717101305259</v>
      </c>
      <c r="O8" s="31">
        <f>N8/M8</f>
        <v>6.047495232073226</v>
      </c>
      <c r="P8" s="367">
        <f>(A8-2019)/(2050-2019)</f>
        <v>0</v>
      </c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W8" s="10"/>
      <c r="AX8" s="10"/>
      <c r="AY8" s="10"/>
      <c r="AZ8" s="10"/>
      <c r="BA8" s="10"/>
      <c r="BB8" s="10"/>
      <c r="BC8" s="10"/>
    </row>
    <row r="9" spans="1:55" x14ac:dyDescent="0.2">
      <c r="A9" s="49">
        <f>A8+1</f>
        <v>2020</v>
      </c>
      <c r="B9" s="128">
        <f>B$8*(B$39/B$8)^(($A9-2019)/31)</f>
        <v>1.2</v>
      </c>
      <c r="C9" s="5">
        <f>((1-$P9)*(C8/$N8)+$P9*(B9/$M9))*'global path'!$C7</f>
        <v>19.906592719645904</v>
      </c>
      <c r="D9" s="5"/>
      <c r="E9" s="4">
        <f t="shared" ref="E9:E39" si="0">C9/B9</f>
        <v>16.588827266371588</v>
      </c>
      <c r="F9" s="128">
        <f>F$8*(F$39/F$8)^(($A9-2019)/31)</f>
        <v>4</v>
      </c>
      <c r="G9" s="5">
        <f>((1-$P9)*(G8/$N8)+$P9*(F9/$M9))*'global path'!$C7</f>
        <v>19.339809065486349</v>
      </c>
      <c r="H9" s="5"/>
      <c r="I9" s="4">
        <f t="shared" ref="I9:I39" si="1">G9/F9</f>
        <v>4.8349522663715874</v>
      </c>
      <c r="J9" s="128">
        <f>J$8*(J$39/J$8)^(($A9-2019)/31)</f>
        <v>1.7000000000000004</v>
      </c>
      <c r="K9" s="5">
        <f>((1-$P9)*(K8/$N8)+$P9*(J9/$M9))*'global path'!$C7</f>
        <v>1.646760974146896</v>
      </c>
      <c r="L9" s="4">
        <f t="shared" ref="L9:L39" si="2">K9/J9</f>
        <v>0.96868292596876215</v>
      </c>
      <c r="M9" s="129">
        <f>B9+F9+J9</f>
        <v>6.9</v>
      </c>
      <c r="N9" s="19">
        <f>K9+G9+C9</f>
        <v>40.89316275927915</v>
      </c>
      <c r="O9" s="4">
        <f t="shared" ref="O9:O39" si="3">N9/M9</f>
        <v>5.9265453274317608</v>
      </c>
      <c r="P9" s="672">
        <v>0.05</v>
      </c>
      <c r="AF9" s="11"/>
      <c r="AG9" s="11"/>
      <c r="AH9" s="3"/>
      <c r="AI9" s="3"/>
      <c r="AJ9" s="3"/>
    </row>
    <row r="10" spans="1:55" x14ac:dyDescent="0.2">
      <c r="A10" s="49">
        <f t="shared" ref="A10:A39" si="4">A9+1</f>
        <v>2021</v>
      </c>
      <c r="B10" s="128">
        <f t="shared" ref="B10:B38" si="5">B$8*(B$39/B$8)^(($A10-2019)/31)</f>
        <v>1.2</v>
      </c>
      <c r="C10" s="5">
        <f>((1-$P10)*(C9/$N9)+$P10*(B10/$M10))*'global path'!$C8</f>
        <v>18.636896880123569</v>
      </c>
      <c r="D10" s="5"/>
      <c r="E10" s="4">
        <f t="shared" si="0"/>
        <v>15.530747400102975</v>
      </c>
      <c r="F10" s="128">
        <f t="shared" ref="F10:F38" si="6">F$8*(F$39/F$8)^(($A10-2019)/31)</f>
        <v>4</v>
      </c>
      <c r="G10" s="5">
        <f>((1-$P10)*(G9/$N9)+$P10*(F10/$M10))*'global path'!$C8</f>
        <v>19.164700919148164</v>
      </c>
      <c r="H10" s="5"/>
      <c r="I10" s="4">
        <f t="shared" si="1"/>
        <v>4.7911752297870409</v>
      </c>
      <c r="J10" s="128">
        <f t="shared" ref="J10:J38" si="7">J$8*(J$39/J$8)^(($A10-2019)/31)</f>
        <v>1.7000000000000004</v>
      </c>
      <c r="K10" s="5">
        <f>((1-$P10)*(K9/$N9)+$P10*(J10/$M10))*'global path'!$C8</f>
        <v>2.1395287462978207</v>
      </c>
      <c r="L10" s="4">
        <f t="shared" si="2"/>
        <v>1.258546321351659</v>
      </c>
      <c r="M10" s="129">
        <f t="shared" ref="M10:M38" si="8">B10+F10+J10</f>
        <v>6.9</v>
      </c>
      <c r="N10" s="19">
        <f t="shared" ref="N10:N39" si="9">K10+G10+C10</f>
        <v>39.941126545569553</v>
      </c>
      <c r="O10" s="4">
        <f t="shared" si="3"/>
        <v>5.788569064575297</v>
      </c>
      <c r="P10" s="673">
        <f t="shared" ref="P10:P39" si="10">(A10-2019)/(2050-2019)</f>
        <v>6.4516129032258063E-2</v>
      </c>
      <c r="AF10" s="11"/>
      <c r="AG10" s="11"/>
      <c r="AH10" s="3"/>
      <c r="AI10" s="3"/>
      <c r="AJ10" s="3"/>
    </row>
    <row r="11" spans="1:55" x14ac:dyDescent="0.2">
      <c r="A11" s="49">
        <f t="shared" si="4"/>
        <v>2022</v>
      </c>
      <c r="B11" s="128">
        <f t="shared" si="5"/>
        <v>1.2</v>
      </c>
      <c r="C11" s="5">
        <f>((1-$P11)*(C10/$N10)+$P11*(B11/$M11))*'global path'!$C9</f>
        <v>17.040562661723321</v>
      </c>
      <c r="D11" s="5"/>
      <c r="E11" s="4">
        <f t="shared" si="0"/>
        <v>14.200468884769435</v>
      </c>
      <c r="F11" s="128">
        <f t="shared" si="6"/>
        <v>4</v>
      </c>
      <c r="G11" s="5">
        <f>((1-$P11)*(G10/$N10)+$P11*(F11/$M11))*'global path'!$C9</f>
        <v>19.031478419269188</v>
      </c>
      <c r="H11" s="5"/>
      <c r="I11" s="4">
        <f t="shared" si="1"/>
        <v>4.757869604817297</v>
      </c>
      <c r="J11" s="128">
        <f t="shared" si="7"/>
        <v>1.7000000000000004</v>
      </c>
      <c r="K11" s="5">
        <f>((1-$P11)*(K10/$N10)+$P11*(J11/$M11))*'global path'!$C9</f>
        <v>2.8081643942620098</v>
      </c>
      <c r="L11" s="4">
        <f t="shared" si="2"/>
        <v>1.6518614083894172</v>
      </c>
      <c r="M11" s="129">
        <f t="shared" si="8"/>
        <v>6.9</v>
      </c>
      <c r="N11" s="19">
        <f t="shared" si="9"/>
        <v>38.88020547525452</v>
      </c>
      <c r="O11" s="4">
        <f t="shared" si="3"/>
        <v>5.6348123877180463</v>
      </c>
      <c r="P11" s="673">
        <f t="shared" si="10"/>
        <v>9.6774193548387094E-2</v>
      </c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F11" s="11"/>
      <c r="AG11" s="11"/>
      <c r="AH11" s="3"/>
      <c r="AI11" s="3"/>
      <c r="AJ11" s="3"/>
      <c r="AK11" s="28"/>
      <c r="AL11" s="28"/>
      <c r="AM11" s="28"/>
      <c r="AN11" s="28"/>
      <c r="AO11" s="28"/>
      <c r="AP11" s="58"/>
      <c r="AQ11" s="28"/>
      <c r="AW11" s="28"/>
      <c r="AX11" s="28"/>
      <c r="AY11" s="28"/>
    </row>
    <row r="12" spans="1:55" s="7" customFormat="1" x14ac:dyDescent="0.2">
      <c r="A12" s="49">
        <f t="shared" si="4"/>
        <v>2023</v>
      </c>
      <c r="B12" s="128">
        <f t="shared" si="5"/>
        <v>1.2</v>
      </c>
      <c r="C12" s="5">
        <f>((1-$P12)*(C11/$N11)+$P12*(B12/$M12))*'global path'!$C10</f>
        <v>15.245303706021431</v>
      </c>
      <c r="D12" s="5"/>
      <c r="E12" s="4">
        <f t="shared" si="0"/>
        <v>12.704419755017859</v>
      </c>
      <c r="F12" s="128">
        <f t="shared" si="6"/>
        <v>4</v>
      </c>
      <c r="G12" s="5">
        <f>((1-$P12)*(G11/$N11)+$P12*(F12/$M12))*'global path'!$C10</f>
        <v>18.90262666910365</v>
      </c>
      <c r="H12" s="5"/>
      <c r="I12" s="4">
        <f t="shared" si="1"/>
        <v>4.7256566672759126</v>
      </c>
      <c r="J12" s="128">
        <f t="shared" si="7"/>
        <v>1.7000000000000004</v>
      </c>
      <c r="K12" s="5">
        <f>((1-$P12)*(K11/$N11)+$P12*(J12/$M12))*'global path'!$C10</f>
        <v>3.5719660215312348</v>
      </c>
      <c r="L12" s="4">
        <f t="shared" si="2"/>
        <v>2.1011564832536669</v>
      </c>
      <c r="M12" s="129">
        <f t="shared" si="8"/>
        <v>6.9</v>
      </c>
      <c r="N12" s="19">
        <f t="shared" si="9"/>
        <v>37.719896396656317</v>
      </c>
      <c r="O12" s="4">
        <f t="shared" si="3"/>
        <v>5.4666516516893209</v>
      </c>
      <c r="P12" s="673">
        <f t="shared" si="10"/>
        <v>0.12903225806451613</v>
      </c>
      <c r="AC12" s="3"/>
      <c r="AD12" s="3"/>
      <c r="AE12" s="3"/>
      <c r="AF12" s="11"/>
      <c r="AG12" s="11"/>
      <c r="AH12" s="3"/>
      <c r="AI12" s="3"/>
      <c r="AJ12" s="3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W12" s="1"/>
      <c r="AX12" s="1"/>
      <c r="AY12" s="1"/>
      <c r="AZ12" s="1"/>
      <c r="BA12" s="1"/>
      <c r="BB12" s="1"/>
      <c r="BC12" s="1"/>
    </row>
    <row r="13" spans="1:55" s="7" customFormat="1" x14ac:dyDescent="0.2">
      <c r="A13" s="49">
        <f t="shared" si="4"/>
        <v>2024</v>
      </c>
      <c r="B13" s="128">
        <f t="shared" si="5"/>
        <v>1.2</v>
      </c>
      <c r="C13" s="5">
        <f>((1-$P13)*(C12/$N12)+$P13*(B13/$M13))*'global path'!$C11</f>
        <v>13.385858581203252</v>
      </c>
      <c r="D13" s="5"/>
      <c r="E13" s="4">
        <f t="shared" si="0"/>
        <v>11.15488215100271</v>
      </c>
      <c r="F13" s="128">
        <f t="shared" si="6"/>
        <v>4</v>
      </c>
      <c r="G13" s="5">
        <f>((1-$P13)*(G12/$N12)+$P13*(F13/$M13))*'global path'!$C11</f>
        <v>18.738717318481907</v>
      </c>
      <c r="H13" s="5"/>
      <c r="I13" s="4">
        <f t="shared" si="1"/>
        <v>4.6846793296204767</v>
      </c>
      <c r="J13" s="128">
        <f t="shared" si="7"/>
        <v>1.7000000000000004</v>
      </c>
      <c r="K13" s="5">
        <f>((1-$P13)*(K12/$N12)+$P13*(J13/$M13))*'global path'!$C11</f>
        <v>4.3458774560395028</v>
      </c>
      <c r="L13" s="4">
        <f t="shared" si="2"/>
        <v>2.5563985035526482</v>
      </c>
      <c r="M13" s="129">
        <f t="shared" si="8"/>
        <v>6.9</v>
      </c>
      <c r="N13" s="19">
        <f t="shared" si="9"/>
        <v>36.470453355724658</v>
      </c>
      <c r="O13" s="4">
        <f t="shared" si="3"/>
        <v>5.2855729501050224</v>
      </c>
      <c r="P13" s="673">
        <f t="shared" si="10"/>
        <v>0.16129032258064516</v>
      </c>
      <c r="AF13" s="344"/>
      <c r="AG13" s="25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W13" s="1"/>
      <c r="AX13" s="1"/>
      <c r="AY13" s="1"/>
      <c r="AZ13" s="1"/>
      <c r="BA13" s="1"/>
      <c r="BB13" s="1"/>
      <c r="BC13" s="1"/>
    </row>
    <row r="14" spans="1:55" s="7" customFormat="1" x14ac:dyDescent="0.2">
      <c r="A14" s="49">
        <f t="shared" si="4"/>
        <v>2025</v>
      </c>
      <c r="B14" s="128">
        <f t="shared" si="5"/>
        <v>1.2</v>
      </c>
      <c r="C14" s="5">
        <f>((1-$P14)*(C13/$N13)+$P14*(B14/$M14))*'global path'!$C12</f>
        <v>11.584975433915485</v>
      </c>
      <c r="D14" s="5"/>
      <c r="E14" s="4">
        <f t="shared" si="0"/>
        <v>9.6541461949295719</v>
      </c>
      <c r="F14" s="128">
        <f t="shared" si="6"/>
        <v>4</v>
      </c>
      <c r="G14" s="5">
        <f>((1-$P14)*(G13/$N13)+$P14*(F14/$M14))*'global path'!$C12</f>
        <v>18.504800532591769</v>
      </c>
      <c r="H14" s="5"/>
      <c r="I14" s="4">
        <f t="shared" si="1"/>
        <v>4.6262001331479423</v>
      </c>
      <c r="J14" s="128">
        <f t="shared" si="7"/>
        <v>1.7000000000000004</v>
      </c>
      <c r="K14" s="5">
        <f>((1-$P14)*(K13/$N13)+$P14*(J14/$M14))*'global path'!$C12</f>
        <v>5.0529594245673035</v>
      </c>
      <c r="L14" s="4">
        <f t="shared" si="2"/>
        <v>2.9723290732748837</v>
      </c>
      <c r="M14" s="129">
        <f t="shared" si="8"/>
        <v>6.9</v>
      </c>
      <c r="N14" s="19">
        <f t="shared" si="9"/>
        <v>35.142735391074552</v>
      </c>
      <c r="O14" s="4">
        <f t="shared" si="3"/>
        <v>5.0931500566774712</v>
      </c>
      <c r="P14" s="673">
        <f t="shared" si="10"/>
        <v>0.19354838709677419</v>
      </c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W14" s="1"/>
      <c r="AX14" s="1"/>
      <c r="AY14" s="1"/>
      <c r="AZ14" s="1"/>
      <c r="BA14" s="1"/>
      <c r="BB14" s="1"/>
      <c r="BC14" s="1"/>
    </row>
    <row r="15" spans="1:55" s="7" customFormat="1" x14ac:dyDescent="0.2">
      <c r="A15" s="49">
        <f t="shared" si="4"/>
        <v>2026</v>
      </c>
      <c r="B15" s="128">
        <f t="shared" si="5"/>
        <v>1.2</v>
      </c>
      <c r="C15" s="5">
        <f>((1-$P15)*(C14/$N14)+$P15*(B15/$M15))*'global path'!$C13</f>
        <v>9.9383747368070434</v>
      </c>
      <c r="D15" s="5"/>
      <c r="E15" s="4">
        <f t="shared" si="0"/>
        <v>8.2819789473392031</v>
      </c>
      <c r="F15" s="128">
        <f t="shared" si="6"/>
        <v>4</v>
      </c>
      <c r="G15" s="5">
        <f>((1-$P15)*(G14/$N14)+$P15*(F15/$M15))*'global path'!$C13</f>
        <v>18.17543530521306</v>
      </c>
      <c r="H15" s="5"/>
      <c r="I15" s="4">
        <f t="shared" si="1"/>
        <v>4.5438588263032651</v>
      </c>
      <c r="J15" s="128">
        <f t="shared" si="7"/>
        <v>1.7000000000000004</v>
      </c>
      <c r="K15" s="5">
        <f>((1-$P15)*(K14/$N14)+$P15*(J15/$M15))*'global path'!$C13</f>
        <v>5.6342379054081277</v>
      </c>
      <c r="L15" s="4">
        <f t="shared" si="2"/>
        <v>3.3142575914165451</v>
      </c>
      <c r="M15" s="129">
        <f t="shared" si="8"/>
        <v>6.9</v>
      </c>
      <c r="N15" s="19">
        <f t="shared" si="9"/>
        <v>33.748047947428233</v>
      </c>
      <c r="O15" s="4">
        <f t="shared" si="3"/>
        <v>4.8910214416562656</v>
      </c>
      <c r="P15" s="673">
        <f t="shared" si="10"/>
        <v>0.22580645161290322</v>
      </c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W15" s="1"/>
      <c r="AX15" s="1"/>
      <c r="AY15" s="1"/>
      <c r="AZ15" s="1"/>
      <c r="BA15" s="1"/>
      <c r="BB15" s="1"/>
      <c r="BC15" s="1"/>
    </row>
    <row r="16" spans="1:55" s="7" customFormat="1" x14ac:dyDescent="0.2">
      <c r="A16" s="49">
        <f t="shared" si="4"/>
        <v>2027</v>
      </c>
      <c r="B16" s="128">
        <f t="shared" si="5"/>
        <v>1.2</v>
      </c>
      <c r="C16" s="5">
        <f>((1-$P16)*(C15/$N15)+$P16*(B16/$M16))*'global path'!$C14</f>
        <v>8.5063656035093675</v>
      </c>
      <c r="D16" s="5"/>
      <c r="E16" s="4">
        <f t="shared" si="0"/>
        <v>7.0886380029244735</v>
      </c>
      <c r="F16" s="128">
        <f t="shared" si="6"/>
        <v>4</v>
      </c>
      <c r="G16" s="5">
        <f>((1-$P16)*(G15/$N15)+$P16*(F16/$M16))*'global path'!$C14</f>
        <v>17.737447166671103</v>
      </c>
      <c r="H16" s="5"/>
      <c r="I16" s="4">
        <f t="shared" si="1"/>
        <v>4.4343617916677758</v>
      </c>
      <c r="J16" s="128">
        <f t="shared" si="7"/>
        <v>1.7000000000000004</v>
      </c>
      <c r="K16" s="5">
        <f>((1-$P16)*(K15/$N15)+$P16*(J16/$M16))*'global path'!$C14</f>
        <v>6.0541684078437505</v>
      </c>
      <c r="L16" s="4">
        <f t="shared" si="2"/>
        <v>3.5612755340257349</v>
      </c>
      <c r="M16" s="129">
        <f t="shared" si="8"/>
        <v>6.9</v>
      </c>
      <c r="N16" s="19">
        <f t="shared" si="9"/>
        <v>32.297981178024223</v>
      </c>
      <c r="O16" s="4">
        <f t="shared" si="3"/>
        <v>4.6808668373948148</v>
      </c>
      <c r="P16" s="673">
        <f t="shared" si="10"/>
        <v>0.25806451612903225</v>
      </c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W16" s="1"/>
      <c r="AX16" s="1"/>
      <c r="AY16" s="1"/>
      <c r="AZ16" s="1"/>
      <c r="BA16" s="1"/>
      <c r="BB16" s="1"/>
      <c r="BC16" s="1"/>
    </row>
    <row r="17" spans="1:16" x14ac:dyDescent="0.2">
      <c r="A17" s="49">
        <f t="shared" si="4"/>
        <v>2028</v>
      </c>
      <c r="B17" s="128">
        <f t="shared" si="5"/>
        <v>1.2</v>
      </c>
      <c r="C17" s="5">
        <f>((1-$P17)*(C16/$N16)+$P17*(B17/$M17))*'global path'!$C15</f>
        <v>7.312917569833977</v>
      </c>
      <c r="D17" s="5"/>
      <c r="E17" s="4">
        <f t="shared" si="0"/>
        <v>6.0940979748616479</v>
      </c>
      <c r="F17" s="128">
        <f t="shared" si="6"/>
        <v>4</v>
      </c>
      <c r="G17" s="5">
        <f>((1-$P17)*(G16/$N16)+$P17*(F17/$M17))*'global path'!$C15</f>
        <v>17.190141715125282</v>
      </c>
      <c r="H17" s="5"/>
      <c r="I17" s="4">
        <f t="shared" si="1"/>
        <v>4.2975354287813206</v>
      </c>
      <c r="J17" s="128">
        <f t="shared" si="7"/>
        <v>1.7000000000000004</v>
      </c>
      <c r="K17" s="5">
        <f>((1-$P17)*(K16/$N16)+$P17*(J17/$M17))*'global path'!$C15</f>
        <v>6.3011891169081791</v>
      </c>
      <c r="L17" s="4">
        <f t="shared" si="2"/>
        <v>3.7065818334753984</v>
      </c>
      <c r="M17" s="129">
        <f t="shared" si="8"/>
        <v>6.9</v>
      </c>
      <c r="N17" s="19">
        <f t="shared" si="9"/>
        <v>30.80424840186744</v>
      </c>
      <c r="O17" s="4">
        <f t="shared" si="3"/>
        <v>4.4643838263575999</v>
      </c>
      <c r="P17" s="673">
        <f t="shared" si="10"/>
        <v>0.29032258064516131</v>
      </c>
    </row>
    <row r="18" spans="1:16" x14ac:dyDescent="0.2">
      <c r="A18" s="49">
        <f t="shared" si="4"/>
        <v>2029</v>
      </c>
      <c r="B18" s="128">
        <f t="shared" si="5"/>
        <v>1.2</v>
      </c>
      <c r="C18" s="5">
        <f>((1-$P18)*(C17/$N17)+$P18*(B18/$M18))*'global path'!$C16</f>
        <v>6.35110104249173</v>
      </c>
      <c r="D18" s="5"/>
      <c r="E18" s="4">
        <f t="shared" si="0"/>
        <v>5.2925842020764415</v>
      </c>
      <c r="F18" s="128">
        <f t="shared" si="6"/>
        <v>4</v>
      </c>
      <c r="G18" s="5">
        <f>((1-$P18)*(G17/$N17)+$P18*(F18/$M18))*'global path'!$C16</f>
        <v>16.543346884879359</v>
      </c>
      <c r="H18" s="5"/>
      <c r="I18" s="4">
        <f t="shared" si="1"/>
        <v>4.1358367212198397</v>
      </c>
      <c r="J18" s="128">
        <f t="shared" si="7"/>
        <v>1.7000000000000004</v>
      </c>
      <c r="K18" s="5">
        <f>((1-$P18)*(K17/$N17)+$P18*(J18/$M18))*'global path'!$C16</f>
        <v>6.384079964017519</v>
      </c>
      <c r="L18" s="4">
        <f t="shared" si="2"/>
        <v>3.7553411553044223</v>
      </c>
      <c r="M18" s="129">
        <f t="shared" si="8"/>
        <v>6.9</v>
      </c>
      <c r="N18" s="19">
        <f t="shared" si="9"/>
        <v>29.27852789138861</v>
      </c>
      <c r="O18" s="4">
        <f t="shared" si="3"/>
        <v>4.2432649117954506</v>
      </c>
      <c r="P18" s="673">
        <f t="shared" si="10"/>
        <v>0.32258064516129031</v>
      </c>
    </row>
    <row r="19" spans="1:16" x14ac:dyDescent="0.2">
      <c r="A19" s="49">
        <f t="shared" si="4"/>
        <v>2030</v>
      </c>
      <c r="B19" s="128">
        <f t="shared" si="5"/>
        <v>1.2</v>
      </c>
      <c r="C19" s="5">
        <f>((1-$P19)*(C18/$N18)+$P19*(B19/$M19))*'global path'!$C17</f>
        <v>5.5924847491415433</v>
      </c>
      <c r="D19" s="5"/>
      <c r="E19" s="4">
        <f t="shared" si="0"/>
        <v>4.6604039576179526</v>
      </c>
      <c r="F19" s="128">
        <f t="shared" si="6"/>
        <v>4</v>
      </c>
      <c r="G19" s="5">
        <f>((1-$P19)*(G18/$N18)+$P19*(F19/$M19))*'global path'!$C17</f>
        <v>15.814108884362589</v>
      </c>
      <c r="H19" s="5"/>
      <c r="I19" s="4">
        <f t="shared" si="1"/>
        <v>3.9535272210906474</v>
      </c>
      <c r="J19" s="128">
        <f t="shared" si="7"/>
        <v>1.7000000000000004</v>
      </c>
      <c r="K19" s="5">
        <f>((1-$P19)*(K18/$N18)+$P19*(J19/$M19))*'global path'!$C17</f>
        <v>6.3257173613178148</v>
      </c>
      <c r="L19" s="4">
        <f t="shared" si="2"/>
        <v>3.7210102125398903</v>
      </c>
      <c r="M19" s="129">
        <f t="shared" si="8"/>
        <v>6.9</v>
      </c>
      <c r="N19" s="19">
        <f t="shared" si="9"/>
        <v>27.732310994821948</v>
      </c>
      <c r="O19" s="4">
        <f t="shared" si="3"/>
        <v>4.0191755064959338</v>
      </c>
      <c r="P19" s="673">
        <f t="shared" si="10"/>
        <v>0.35483870967741937</v>
      </c>
    </row>
    <row r="20" spans="1:16" x14ac:dyDescent="0.2">
      <c r="A20" s="49">
        <f t="shared" si="4"/>
        <v>2031</v>
      </c>
      <c r="B20" s="128">
        <f t="shared" si="5"/>
        <v>1.2</v>
      </c>
      <c r="C20" s="5">
        <f>((1-$P20)*(C19/$N19)+$P20*(B20/$M20))*'global path'!$C18</f>
        <v>4.9976394996691109</v>
      </c>
      <c r="D20" s="5"/>
      <c r="E20" s="4">
        <f t="shared" si="0"/>
        <v>4.164699583057593</v>
      </c>
      <c r="F20" s="128">
        <f t="shared" si="6"/>
        <v>4</v>
      </c>
      <c r="G20" s="5">
        <f>((1-$P20)*(G19/$N19)+$P20*(F20/$M20))*'global path'!$C18</f>
        <v>15.023016402521684</v>
      </c>
      <c r="H20" s="5"/>
      <c r="I20" s="4">
        <f t="shared" si="1"/>
        <v>3.7557541006304209</v>
      </c>
      <c r="J20" s="128">
        <f t="shared" si="7"/>
        <v>1.7000000000000004</v>
      </c>
      <c r="K20" s="5">
        <f>((1-$P20)*(K19/$N19)+$P20*(J20/$M20))*'global path'!$C18</f>
        <v>6.1561034504112957</v>
      </c>
      <c r="L20" s="4">
        <f t="shared" si="2"/>
        <v>3.6212373237713495</v>
      </c>
      <c r="M20" s="129">
        <f t="shared" si="8"/>
        <v>6.9</v>
      </c>
      <c r="N20" s="19">
        <f t="shared" si="9"/>
        <v>26.17675935260209</v>
      </c>
      <c r="O20" s="4">
        <f t="shared" si="3"/>
        <v>3.7937332395075489</v>
      </c>
      <c r="P20" s="673">
        <f t="shared" si="10"/>
        <v>0.38709677419354838</v>
      </c>
    </row>
    <row r="21" spans="1:16" x14ac:dyDescent="0.2">
      <c r="A21" s="49">
        <f t="shared" si="4"/>
        <v>2032</v>
      </c>
      <c r="B21" s="128">
        <f t="shared" si="5"/>
        <v>1.2</v>
      </c>
      <c r="C21" s="5">
        <f>((1-$P21)*(C20/$N20)+$P21*(B21/$M21))*'global path'!$C19</f>
        <v>4.5253198477748997</v>
      </c>
      <c r="D21" s="5"/>
      <c r="E21" s="4">
        <f t="shared" si="0"/>
        <v>3.7710998731457499</v>
      </c>
      <c r="F21" s="128">
        <f t="shared" si="6"/>
        <v>4</v>
      </c>
      <c r="G21" s="5">
        <f>((1-$P21)*(G20/$N20)+$P21*(F21/$M21))*'global path'!$C19</f>
        <v>14.190983376382308</v>
      </c>
      <c r="H21" s="5"/>
      <c r="I21" s="4">
        <f t="shared" si="1"/>
        <v>3.5477458440955769</v>
      </c>
      <c r="J21" s="128">
        <f t="shared" si="7"/>
        <v>1.7000000000000004</v>
      </c>
      <c r="K21" s="5">
        <f>((1-$P21)*(K20/$N20)+$P21*(J21/$M21))*'global path'!$C19</f>
        <v>5.9062704336046199</v>
      </c>
      <c r="L21" s="4">
        <f t="shared" si="2"/>
        <v>3.4742767256497755</v>
      </c>
      <c r="M21" s="129">
        <f t="shared" si="8"/>
        <v>6.9</v>
      </c>
      <c r="N21" s="19">
        <f t="shared" si="9"/>
        <v>24.622573657761826</v>
      </c>
      <c r="O21" s="4">
        <f t="shared" si="3"/>
        <v>3.5684889359075109</v>
      </c>
      <c r="P21" s="673">
        <f t="shared" si="10"/>
        <v>0.41935483870967744</v>
      </c>
    </row>
    <row r="22" spans="1:16" x14ac:dyDescent="0.2">
      <c r="A22" s="49">
        <f t="shared" si="4"/>
        <v>2033</v>
      </c>
      <c r="B22" s="128">
        <f t="shared" si="5"/>
        <v>1.2</v>
      </c>
      <c r="C22" s="5">
        <f>((1-$P22)*(C21/$N21)+$P22*(B22/$M22))*'global path'!$C20</f>
        <v>4.1388688579428186</v>
      </c>
      <c r="D22" s="5"/>
      <c r="E22" s="4">
        <f t="shared" si="0"/>
        <v>3.4490573816190158</v>
      </c>
      <c r="F22" s="128">
        <f t="shared" si="6"/>
        <v>4</v>
      </c>
      <c r="G22" s="5">
        <f>((1-$P22)*(G21/$N21)+$P22*(F22/$M22))*'global path'!$C20</f>
        <v>13.336988121739356</v>
      </c>
      <c r="H22" s="5"/>
      <c r="I22" s="4">
        <f t="shared" si="1"/>
        <v>3.3342470304348391</v>
      </c>
      <c r="J22" s="128">
        <f t="shared" si="7"/>
        <v>1.7000000000000004</v>
      </c>
      <c r="K22" s="5">
        <f>((1-$P22)*(K21/$N21)+$P22*(J22/$M22))*'global path'!$C20</f>
        <v>5.6040190682633311</v>
      </c>
      <c r="L22" s="4">
        <f t="shared" si="2"/>
        <v>3.296481804860782</v>
      </c>
      <c r="M22" s="129">
        <f t="shared" si="8"/>
        <v>6.9</v>
      </c>
      <c r="N22" s="19">
        <f t="shared" si="9"/>
        <v>23.079876047945504</v>
      </c>
      <c r="O22" s="4">
        <f t="shared" si="3"/>
        <v>3.3449095721660149</v>
      </c>
      <c r="P22" s="673">
        <f t="shared" si="10"/>
        <v>0.45161290322580644</v>
      </c>
    </row>
    <row r="23" spans="1:16" x14ac:dyDescent="0.2">
      <c r="A23" s="49">
        <f t="shared" si="4"/>
        <v>2034</v>
      </c>
      <c r="B23" s="128">
        <f t="shared" si="5"/>
        <v>1.2</v>
      </c>
      <c r="C23" s="5">
        <f>((1-$P23)*(C22/$N22)+$P23*(B23/$M23))*'global path'!$C21</f>
        <v>3.8094874998590091</v>
      </c>
      <c r="D23" s="5"/>
      <c r="E23" s="4">
        <f t="shared" si="0"/>
        <v>3.1745729165491743</v>
      </c>
      <c r="F23" s="128">
        <f t="shared" si="6"/>
        <v>4</v>
      </c>
      <c r="G23" s="5">
        <f>((1-$P23)*(G22/$N22)+$P23*(F23/$M23))*'global path'!$C21</f>
        <v>12.47689223898022</v>
      </c>
      <c r="H23" s="5"/>
      <c r="I23" s="4">
        <f t="shared" si="1"/>
        <v>3.119223059745055</v>
      </c>
      <c r="J23" s="128">
        <f t="shared" si="7"/>
        <v>1.7000000000000004</v>
      </c>
      <c r="K23" s="5">
        <f>((1-$P23)*(K22/$N22)+$P23*(J23/$M23))*'global path'!$C21</f>
        <v>5.271728075031076</v>
      </c>
      <c r="L23" s="4">
        <f t="shared" si="2"/>
        <v>3.1010165147241615</v>
      </c>
      <c r="M23" s="129">
        <f t="shared" si="8"/>
        <v>6.9</v>
      </c>
      <c r="N23" s="19">
        <f t="shared" si="9"/>
        <v>21.558107813870308</v>
      </c>
      <c r="O23" s="4">
        <f t="shared" si="3"/>
        <v>3.1243634512855518</v>
      </c>
      <c r="P23" s="673">
        <f t="shared" si="10"/>
        <v>0.4838709677419355</v>
      </c>
    </row>
    <row r="24" spans="1:16" x14ac:dyDescent="0.2">
      <c r="A24" s="49">
        <f t="shared" si="4"/>
        <v>2035</v>
      </c>
      <c r="B24" s="128">
        <f t="shared" si="5"/>
        <v>1.2</v>
      </c>
      <c r="C24" s="5">
        <f>((1-$P24)*(C23/$N23)+$P24*(B24/$M24))*'global path'!$C22</f>
        <v>3.5168653059386608</v>
      </c>
      <c r="D24" s="5"/>
      <c r="E24" s="4">
        <f t="shared" si="0"/>
        <v>2.9307210882822172</v>
      </c>
      <c r="F24" s="128">
        <f t="shared" si="6"/>
        <v>4</v>
      </c>
      <c r="G24" s="5">
        <f>((1-$P24)*(G23/$N23)+$P24*(F24/$M24))*'global path'!$C22</f>
        <v>11.623170612714716</v>
      </c>
      <c r="H24" s="5"/>
      <c r="I24" s="4">
        <f t="shared" si="1"/>
        <v>2.9057926531786791</v>
      </c>
      <c r="J24" s="128">
        <f t="shared" si="7"/>
        <v>1.7000000000000004</v>
      </c>
      <c r="K24" s="5">
        <f>((1-$P24)*(K23/$N23)+$P24*(J24/$M24))*'global path'!$C22</f>
        <v>4.9259077607138408</v>
      </c>
      <c r="L24" s="4">
        <f t="shared" si="2"/>
        <v>2.8975928004199059</v>
      </c>
      <c r="M24" s="129">
        <f t="shared" si="8"/>
        <v>6.9</v>
      </c>
      <c r="N24" s="19">
        <f t="shared" si="9"/>
        <v>20.065943679367219</v>
      </c>
      <c r="O24" s="4">
        <f t="shared" si="3"/>
        <v>2.9081077796184376</v>
      </c>
      <c r="P24" s="673">
        <f t="shared" si="10"/>
        <v>0.5161290322580645</v>
      </c>
    </row>
    <row r="25" spans="1:16" x14ac:dyDescent="0.2">
      <c r="A25" s="49">
        <f t="shared" si="4"/>
        <v>2036</v>
      </c>
      <c r="B25" s="128">
        <f t="shared" si="5"/>
        <v>1.2</v>
      </c>
      <c r="C25" s="5">
        <f>((1-$P25)*(C24/$N24)+$P25*(B25/$M25))*'global path'!$C23</f>
        <v>3.2481010229688052</v>
      </c>
      <c r="D25" s="5"/>
      <c r="E25" s="4">
        <f t="shared" si="0"/>
        <v>2.7067508524740043</v>
      </c>
      <c r="F25" s="128">
        <f t="shared" si="6"/>
        <v>4</v>
      </c>
      <c r="G25" s="5">
        <f>((1-$P25)*(G24/$N24)+$P25*(F25/$M25))*'global path'!$C23</f>
        <v>10.785236082722404</v>
      </c>
      <c r="H25" s="5"/>
      <c r="I25" s="4">
        <f t="shared" si="1"/>
        <v>2.6963090206806011</v>
      </c>
      <c r="J25" s="128">
        <f t="shared" si="7"/>
        <v>1.7000000000000004</v>
      </c>
      <c r="K25" s="5">
        <f>((1-$P25)*(K24/$N24)+$P25*(J25/$M25))*'global path'!$C23</f>
        <v>4.5778863596698054</v>
      </c>
      <c r="L25" s="4">
        <f t="shared" si="2"/>
        <v>2.6928743292175321</v>
      </c>
      <c r="M25" s="129">
        <f t="shared" si="8"/>
        <v>6.9</v>
      </c>
      <c r="N25" s="19">
        <f t="shared" si="9"/>
        <v>18.611223465361014</v>
      </c>
      <c r="O25" s="4">
        <f t="shared" si="3"/>
        <v>2.6972787630957988</v>
      </c>
      <c r="P25" s="673">
        <f t="shared" si="10"/>
        <v>0.54838709677419351</v>
      </c>
    </row>
    <row r="26" spans="1:16" x14ac:dyDescent="0.2">
      <c r="A26" s="49">
        <f t="shared" si="4"/>
        <v>2037</v>
      </c>
      <c r="B26" s="128">
        <f t="shared" si="5"/>
        <v>1.2</v>
      </c>
      <c r="C26" s="5">
        <f>((1-$P26)*(C25/$N25)+$P26*(B26/$M26))*'global path'!$C24</f>
        <v>2.995866528067892</v>
      </c>
      <c r="D26" s="5"/>
      <c r="E26" s="4">
        <f t="shared" si="0"/>
        <v>2.4965554400565768</v>
      </c>
      <c r="F26" s="128">
        <f t="shared" si="6"/>
        <v>4</v>
      </c>
      <c r="G26" s="5">
        <f>((1-$P26)*(G25/$N25)+$P26*(F26/$M26))*'global path'!$C24</f>
        <v>9.9700337068360998</v>
      </c>
      <c r="H26" s="5"/>
      <c r="I26" s="4">
        <f t="shared" si="1"/>
        <v>2.4925084267090249</v>
      </c>
      <c r="J26" s="128">
        <f t="shared" si="7"/>
        <v>1.7000000000000004</v>
      </c>
      <c r="K26" s="5">
        <f>((1-$P26)*(K25/$N25)+$P26*(J26/$M26))*'global path'!$C24</f>
        <v>4.2350012730788613</v>
      </c>
      <c r="L26" s="4">
        <f t="shared" si="2"/>
        <v>2.491177219458153</v>
      </c>
      <c r="M26" s="129">
        <f t="shared" si="8"/>
        <v>6.9</v>
      </c>
      <c r="N26" s="19">
        <f t="shared" si="9"/>
        <v>17.200901507982852</v>
      </c>
      <c r="O26" s="4">
        <f t="shared" si="3"/>
        <v>2.4928842765192538</v>
      </c>
      <c r="P26" s="673">
        <f t="shared" si="10"/>
        <v>0.58064516129032262</v>
      </c>
    </row>
    <row r="27" spans="1:16" x14ac:dyDescent="0.2">
      <c r="A27" s="49">
        <f t="shared" si="4"/>
        <v>2038</v>
      </c>
      <c r="B27" s="128">
        <f t="shared" si="5"/>
        <v>1.2</v>
      </c>
      <c r="C27" s="5">
        <f>((1-$P27)*(C26/$N26)+$P27*(B27/$M27))*'global path'!$C25</f>
        <v>2.7565294109902405</v>
      </c>
      <c r="D27" s="5"/>
      <c r="E27" s="4">
        <f t="shared" si="0"/>
        <v>2.2971078424918674</v>
      </c>
      <c r="F27" s="128">
        <f t="shared" si="6"/>
        <v>4</v>
      </c>
      <c r="G27" s="5">
        <f>((1-$P27)*(G26/$N26)+$P27*(F27/$M27))*'global path'!$C25</f>
        <v>9.1826604381563808</v>
      </c>
      <c r="H27" s="5"/>
      <c r="I27" s="4">
        <f t="shared" si="1"/>
        <v>2.2956651095390952</v>
      </c>
      <c r="J27" s="128">
        <f t="shared" si="7"/>
        <v>1.7000000000000004</v>
      </c>
      <c r="K27" s="5">
        <f>((1-$P27)*(K26/$N26)+$P27*(J27/$M27))*'global path'!$C25</f>
        <v>3.901823923331126</v>
      </c>
      <c r="L27" s="4">
        <f t="shared" si="2"/>
        <v>2.2951905431359561</v>
      </c>
      <c r="M27" s="129">
        <f t="shared" si="8"/>
        <v>6.9</v>
      </c>
      <c r="N27" s="19">
        <f t="shared" si="9"/>
        <v>15.841013772477748</v>
      </c>
      <c r="O27" s="4">
        <f t="shared" si="3"/>
        <v>2.2957990974605429</v>
      </c>
      <c r="P27" s="673">
        <f t="shared" si="10"/>
        <v>0.61290322580645162</v>
      </c>
    </row>
    <row r="28" spans="1:16" x14ac:dyDescent="0.2">
      <c r="A28" s="49">
        <f t="shared" si="4"/>
        <v>2039</v>
      </c>
      <c r="B28" s="128">
        <f t="shared" si="5"/>
        <v>1.2</v>
      </c>
      <c r="C28" s="5">
        <f>((1-$P28)*(C27/$N27)+$P28*(B28/$M28))*'global path'!$C26</f>
        <v>2.5286265517037982</v>
      </c>
      <c r="D28" s="5"/>
      <c r="E28" s="4">
        <f t="shared" si="0"/>
        <v>2.1071887930864985</v>
      </c>
      <c r="F28" s="128">
        <f t="shared" si="6"/>
        <v>4</v>
      </c>
      <c r="G28" s="5">
        <f>((1-$P28)*(G27/$N27)+$P28*(F28/$M28))*'global path'!$C26</f>
        <v>8.4268760344060709</v>
      </c>
      <c r="H28" s="5"/>
      <c r="I28" s="4">
        <f t="shared" si="1"/>
        <v>2.1067190086015177</v>
      </c>
      <c r="J28" s="128">
        <f t="shared" si="7"/>
        <v>1.7000000000000004</v>
      </c>
      <c r="K28" s="5">
        <f>((1-$P28)*(K27/$N27)+$P28*(J28/$M28))*'global path'!$C26</f>
        <v>3.5811596154959946</v>
      </c>
      <c r="L28" s="4">
        <f t="shared" si="2"/>
        <v>2.1065644797035259</v>
      </c>
      <c r="M28" s="129">
        <f t="shared" si="8"/>
        <v>6.9</v>
      </c>
      <c r="N28" s="19">
        <f t="shared" si="9"/>
        <v>14.536662201605864</v>
      </c>
      <c r="O28" s="4">
        <f t="shared" si="3"/>
        <v>2.1067626379138931</v>
      </c>
      <c r="P28" s="673">
        <f t="shared" si="10"/>
        <v>0.64516129032258063</v>
      </c>
    </row>
    <row r="29" spans="1:16" x14ac:dyDescent="0.2">
      <c r="A29" s="49">
        <f t="shared" si="4"/>
        <v>2040</v>
      </c>
      <c r="B29" s="128">
        <f t="shared" si="5"/>
        <v>1.2</v>
      </c>
      <c r="C29" s="5">
        <f>((1-$P29)*(C28/$N28)+$P29*(B29/$M29))*'global path'!$C27</f>
        <v>2.311805703335696</v>
      </c>
      <c r="D29" s="5"/>
      <c r="E29" s="4">
        <f t="shared" si="0"/>
        <v>1.9265047527797468</v>
      </c>
      <c r="F29" s="128">
        <f t="shared" si="6"/>
        <v>4</v>
      </c>
      <c r="G29" s="5">
        <f>((1-$P29)*(G28/$N28)+$P29*(F29/$M29))*'global path'!$C27</f>
        <v>7.7054647389061852</v>
      </c>
      <c r="H29" s="5"/>
      <c r="I29" s="4">
        <f t="shared" si="1"/>
        <v>1.9263661847265463</v>
      </c>
      <c r="J29" s="128">
        <f t="shared" si="7"/>
        <v>1.7000000000000004</v>
      </c>
      <c r="K29" s="5">
        <f>((1-$P29)*(K28/$N28)+$P29*(J29/$M29))*'global path'!$C27</f>
        <v>3.2747450280650465</v>
      </c>
      <c r="L29" s="4">
        <f t="shared" si="2"/>
        <v>1.9263206047441446</v>
      </c>
      <c r="M29" s="129">
        <f t="shared" si="8"/>
        <v>6.9</v>
      </c>
      <c r="N29" s="19">
        <f t="shared" si="9"/>
        <v>13.292015470306929</v>
      </c>
      <c r="O29" s="4">
        <f t="shared" si="3"/>
        <v>1.9263790536676708</v>
      </c>
      <c r="P29" s="673">
        <f t="shared" si="10"/>
        <v>0.67741935483870963</v>
      </c>
    </row>
    <row r="30" spans="1:16" x14ac:dyDescent="0.2">
      <c r="A30" s="49">
        <f t="shared" si="4"/>
        <v>2041</v>
      </c>
      <c r="B30" s="128">
        <f t="shared" si="5"/>
        <v>1.2</v>
      </c>
      <c r="C30" s="5">
        <f>((1-$P30)*(C29/$N29)+$P30*(B30/$M30))*'global path'!$C28</f>
        <v>2.1061833763440756</v>
      </c>
      <c r="D30" s="5"/>
      <c r="E30" s="4">
        <f t="shared" si="0"/>
        <v>1.7551528136200631</v>
      </c>
      <c r="F30" s="128">
        <f t="shared" si="6"/>
        <v>4</v>
      </c>
      <c r="G30" s="5">
        <f>((1-$P30)*(G29/$N29)+$P30*(F30/$M30))*'global path'!$C28</f>
        <v>7.0204646426948747</v>
      </c>
      <c r="H30" s="5"/>
      <c r="I30" s="4">
        <f t="shared" si="1"/>
        <v>1.7551161606737187</v>
      </c>
      <c r="J30" s="128">
        <f t="shared" si="7"/>
        <v>1.7000000000000004</v>
      </c>
      <c r="K30" s="5">
        <f>((1-$P30)*(K29/$N29)+$P30*(J30/$M30))*'global path'!$C28</f>
        <v>2.9836769771576952</v>
      </c>
      <c r="L30" s="4">
        <f t="shared" si="2"/>
        <v>1.7551041042104085</v>
      </c>
      <c r="M30" s="129">
        <f t="shared" si="8"/>
        <v>6.9</v>
      </c>
      <c r="N30" s="19">
        <f t="shared" si="9"/>
        <v>12.110324996196645</v>
      </c>
      <c r="O30" s="4">
        <f t="shared" si="3"/>
        <v>1.7551195646661804</v>
      </c>
      <c r="P30" s="673">
        <f t="shared" si="10"/>
        <v>0.70967741935483875</v>
      </c>
    </row>
    <row r="31" spans="1:16" x14ac:dyDescent="0.2">
      <c r="A31" s="49">
        <f t="shared" si="4"/>
        <v>2042</v>
      </c>
      <c r="B31" s="128">
        <f t="shared" si="5"/>
        <v>1.2</v>
      </c>
      <c r="C31" s="5">
        <f>((1-$P31)*(C30/$N30)+$P31*(B31/$M31))*'global path'!$C29</f>
        <v>1.9120014837594894</v>
      </c>
      <c r="D31" s="5"/>
      <c r="E31" s="4">
        <f t="shared" si="0"/>
        <v>1.5933345697995747</v>
      </c>
      <c r="F31" s="128">
        <f t="shared" si="6"/>
        <v>4</v>
      </c>
      <c r="G31" s="5">
        <f>((1-$P31)*(G30/$N30)+$P31*(F31/$M31))*'global path'!$C29</f>
        <v>6.3733039316831341</v>
      </c>
      <c r="H31" s="5"/>
      <c r="I31" s="4">
        <f t="shared" si="1"/>
        <v>1.5933259829207835</v>
      </c>
      <c r="J31" s="128">
        <f t="shared" si="7"/>
        <v>1.7000000000000004</v>
      </c>
      <c r="K31" s="5">
        <f>((1-$P31)*(K30/$N30)+$P31*(J31/$M31))*'global path'!$C29</f>
        <v>2.7086493692623592</v>
      </c>
      <c r="L31" s="4">
        <f t="shared" si="2"/>
        <v>1.5933231583896228</v>
      </c>
      <c r="M31" s="129">
        <f t="shared" si="8"/>
        <v>6.9</v>
      </c>
      <c r="N31" s="19">
        <f t="shared" si="9"/>
        <v>10.993954784704982</v>
      </c>
      <c r="O31" s="4">
        <f t="shared" si="3"/>
        <v>1.5933267803920264</v>
      </c>
      <c r="P31" s="673">
        <f t="shared" si="10"/>
        <v>0.74193548387096775</v>
      </c>
    </row>
    <row r="32" spans="1:16" x14ac:dyDescent="0.2">
      <c r="A32" s="49">
        <f t="shared" si="4"/>
        <v>2043</v>
      </c>
      <c r="B32" s="128">
        <f t="shared" si="5"/>
        <v>1.2</v>
      </c>
      <c r="C32" s="5">
        <f>((1-$P32)*(C31/$N31)+$P32*(B32/$M32))*'global path'!$C30</f>
        <v>1.7294668610012887</v>
      </c>
      <c r="D32" s="5"/>
      <c r="E32" s="4">
        <f t="shared" si="0"/>
        <v>1.4412223841677405</v>
      </c>
      <c r="F32" s="128">
        <f t="shared" si="6"/>
        <v>4</v>
      </c>
      <c r="G32" s="5">
        <f>((1-$P32)*(G31/$N31)+$P32*(F32/$M32))*'global path'!$C30</f>
        <v>5.764882521191887</v>
      </c>
      <c r="H32" s="5"/>
      <c r="I32" s="4">
        <f t="shared" si="1"/>
        <v>1.4412206302979718</v>
      </c>
      <c r="J32" s="128">
        <f t="shared" si="7"/>
        <v>1.7000000000000004</v>
      </c>
      <c r="K32" s="5">
        <f>((1-$P32)*(K31/$N31)+$P32*(J32/$M32))*'global path'!$C30</f>
        <v>2.4500740907588452</v>
      </c>
      <c r="L32" s="4">
        <f t="shared" si="2"/>
        <v>1.4412200533875557</v>
      </c>
      <c r="M32" s="129">
        <f t="shared" si="8"/>
        <v>6.9</v>
      </c>
      <c r="N32" s="19">
        <f t="shared" si="9"/>
        <v>9.9444234729520211</v>
      </c>
      <c r="O32" s="4">
        <f t="shared" si="3"/>
        <v>1.4412207931814522</v>
      </c>
      <c r="P32" s="673">
        <f t="shared" si="10"/>
        <v>0.77419354838709675</v>
      </c>
    </row>
    <row r="33" spans="1:16" x14ac:dyDescent="0.2">
      <c r="A33" s="49">
        <f t="shared" si="4"/>
        <v>2044</v>
      </c>
      <c r="B33" s="128">
        <f t="shared" si="5"/>
        <v>1.2</v>
      </c>
      <c r="C33" s="5">
        <f>((1-$P33)*(C32/$N32)+$P33*(B33/$M33))*'global path'!$C31</f>
        <v>1.5586884687265283</v>
      </c>
      <c r="D33" s="5"/>
      <c r="E33" s="4">
        <f t="shared" si="0"/>
        <v>1.2989070572721071</v>
      </c>
      <c r="F33" s="128">
        <f t="shared" si="6"/>
        <v>4</v>
      </c>
      <c r="G33" s="5">
        <f>((1-$P33)*(G32/$N32)+$P33*(F33/$M33))*'global path'!$C31</f>
        <v>5.1956270053337787</v>
      </c>
      <c r="H33" s="5"/>
      <c r="I33" s="4">
        <f t="shared" si="1"/>
        <v>1.2989067513334447</v>
      </c>
      <c r="J33" s="128">
        <f t="shared" si="7"/>
        <v>1.7000000000000004</v>
      </c>
      <c r="K33" s="5">
        <f>((1-$P33)*(K32/$N32)+$P33*(J33/$M33))*'global path'!$C31</f>
        <v>2.2081413061887938</v>
      </c>
      <c r="L33" s="4">
        <f t="shared" si="2"/>
        <v>1.2989066506992901</v>
      </c>
      <c r="M33" s="129">
        <f t="shared" si="8"/>
        <v>6.9</v>
      </c>
      <c r="N33" s="19">
        <f t="shared" si="9"/>
        <v>8.9624567802491004</v>
      </c>
      <c r="O33" s="4">
        <f t="shared" si="3"/>
        <v>1.2989067797462464</v>
      </c>
      <c r="P33" s="673">
        <f t="shared" si="10"/>
        <v>0.80645161290322576</v>
      </c>
    </row>
    <row r="34" spans="1:16" x14ac:dyDescent="0.2">
      <c r="A34" s="49">
        <f t="shared" si="4"/>
        <v>2045</v>
      </c>
      <c r="B34" s="128">
        <f t="shared" si="5"/>
        <v>1.2</v>
      </c>
      <c r="C34" s="5">
        <f>((1-$P34)*(C33/$N33)+$P34*(B34/$M34))*'global path'!$C32</f>
        <v>1.399660652718246</v>
      </c>
      <c r="D34" s="5"/>
      <c r="E34" s="4">
        <f t="shared" si="0"/>
        <v>1.1663838772652051</v>
      </c>
      <c r="F34" s="128">
        <f t="shared" si="6"/>
        <v>4</v>
      </c>
      <c r="G34" s="5">
        <f>((1-$P34)*(G33/$N33)+$P34*(F34/$M34))*'global path'!$C32</f>
        <v>4.6655353318190116</v>
      </c>
      <c r="H34" s="5"/>
      <c r="I34" s="4">
        <f t="shared" si="1"/>
        <v>1.1663838329547529</v>
      </c>
      <c r="J34" s="128">
        <f t="shared" si="7"/>
        <v>1.7000000000000004</v>
      </c>
      <c r="K34" s="5">
        <f>((1-$P34)*(K33/$N33)+$P34*(J34/$M34))*'global path'!$C32</f>
        <v>1.982852491245086</v>
      </c>
      <c r="L34" s="4">
        <f t="shared" si="2"/>
        <v>1.1663838183794621</v>
      </c>
      <c r="M34" s="129">
        <f t="shared" si="8"/>
        <v>6.9</v>
      </c>
      <c r="N34" s="19">
        <f t="shared" si="9"/>
        <v>8.0480484757823429</v>
      </c>
      <c r="O34" s="4">
        <f t="shared" si="3"/>
        <v>1.1663838370699047</v>
      </c>
      <c r="P34" s="673">
        <f t="shared" si="10"/>
        <v>0.83870967741935487</v>
      </c>
    </row>
    <row r="35" spans="1:16" x14ac:dyDescent="0.2">
      <c r="A35" s="49">
        <f t="shared" si="4"/>
        <v>2046</v>
      </c>
      <c r="B35" s="128">
        <f t="shared" si="5"/>
        <v>1.2</v>
      </c>
      <c r="C35" s="5">
        <f>((1-$P35)*(C34/$N34)+$P35*(B35/$M35))*'global path'!$C33</f>
        <v>1.2522657332196681</v>
      </c>
      <c r="D35" s="5"/>
      <c r="E35" s="4">
        <f t="shared" si="0"/>
        <v>1.0435547776830567</v>
      </c>
      <c r="F35" s="128">
        <f t="shared" si="6"/>
        <v>4</v>
      </c>
      <c r="G35" s="5">
        <f>((1-$P35)*(G34/$N34)+$P35*(F35/$M35))*'global path'!$C33</f>
        <v>4.1742190902706904</v>
      </c>
      <c r="H35" s="5"/>
      <c r="I35" s="4">
        <f t="shared" si="1"/>
        <v>1.0435547725676726</v>
      </c>
      <c r="J35" s="128">
        <f t="shared" si="7"/>
        <v>1.7000000000000004</v>
      </c>
      <c r="K35" s="5">
        <f>((1-$P35)*(K34/$N34)+$P35*(J35/$M35))*'global path'!$C33</f>
        <v>1.7740431105045684</v>
      </c>
      <c r="L35" s="4">
        <f t="shared" si="2"/>
        <v>1.0435547708850399</v>
      </c>
      <c r="M35" s="129">
        <f t="shared" si="8"/>
        <v>6.9</v>
      </c>
      <c r="N35" s="19">
        <f t="shared" si="9"/>
        <v>7.2005279339949269</v>
      </c>
      <c r="O35" s="4">
        <f t="shared" si="3"/>
        <v>1.043554773042743</v>
      </c>
      <c r="P35" s="673">
        <f t="shared" si="10"/>
        <v>0.87096774193548387</v>
      </c>
    </row>
    <row r="36" spans="1:16" x14ac:dyDescent="0.2">
      <c r="A36" s="49">
        <f t="shared" si="4"/>
        <v>2047</v>
      </c>
      <c r="B36" s="128">
        <f t="shared" si="5"/>
        <v>1.2</v>
      </c>
      <c r="C36" s="5">
        <f>((1-$P36)*(C35/$N35)+$P36*(B36/$M36))*'global path'!$C34</f>
        <v>1.1162838895389176</v>
      </c>
      <c r="D36" s="5"/>
      <c r="E36" s="4">
        <f t="shared" si="0"/>
        <v>0.9302365746157647</v>
      </c>
      <c r="F36" s="128">
        <f t="shared" si="6"/>
        <v>4</v>
      </c>
      <c r="G36" s="5">
        <f>((1-$P36)*(G35/$N35)+$P36*(F36/$M36))*'global path'!$C34</f>
        <v>3.7209462966979312</v>
      </c>
      <c r="H36" s="5"/>
      <c r="I36" s="4">
        <f t="shared" si="1"/>
        <v>0.9302365741744828</v>
      </c>
      <c r="J36" s="128">
        <f t="shared" si="7"/>
        <v>1.7000000000000004</v>
      </c>
      <c r="K36" s="5">
        <f>((1-$P36)*(K35/$N35)+$P36*(J36/$M36))*'global path'!$C34</f>
        <v>1.5814021758498604</v>
      </c>
      <c r="L36" s="4">
        <f t="shared" si="2"/>
        <v>0.93023657402932947</v>
      </c>
      <c r="M36" s="129">
        <f t="shared" si="8"/>
        <v>6.9</v>
      </c>
      <c r="N36" s="19">
        <f t="shared" si="9"/>
        <v>6.4186323620867087</v>
      </c>
      <c r="O36" s="4">
        <f t="shared" si="3"/>
        <v>0.93023657421546502</v>
      </c>
      <c r="P36" s="673">
        <f t="shared" si="10"/>
        <v>0.90322580645161288</v>
      </c>
    </row>
    <row r="37" spans="1:16" x14ac:dyDescent="0.2">
      <c r="A37" s="49">
        <f t="shared" si="4"/>
        <v>2048</v>
      </c>
      <c r="B37" s="128">
        <f t="shared" si="5"/>
        <v>1.2</v>
      </c>
      <c r="C37" s="5">
        <f>((1-$P37)*(C36/$N36)+$P37*(B37/$M37))*'global path'!$C35</f>
        <v>0.99140553864367387</v>
      </c>
      <c r="D37" s="5"/>
      <c r="E37" s="4">
        <f t="shared" si="0"/>
        <v>0.82617128220306157</v>
      </c>
      <c r="F37" s="128">
        <f t="shared" si="6"/>
        <v>4</v>
      </c>
      <c r="G37" s="5">
        <f>((1-$P37)*(G36/$N36)+$P37*(F37/$M37))*'global path'!$C35</f>
        <v>3.3046851287111068</v>
      </c>
      <c r="H37" s="5"/>
      <c r="I37" s="4">
        <f t="shared" si="1"/>
        <v>0.82617128217777669</v>
      </c>
      <c r="J37" s="128">
        <f t="shared" si="7"/>
        <v>1.7000000000000004</v>
      </c>
      <c r="K37" s="5">
        <f>((1-$P37)*(K36/$N36)+$P37*(J37/$M37))*'global path'!$C35</f>
        <v>1.4044911796880815</v>
      </c>
      <c r="L37" s="4">
        <f t="shared" si="2"/>
        <v>0.82617128216945945</v>
      </c>
      <c r="M37" s="129">
        <f t="shared" si="8"/>
        <v>6.9</v>
      </c>
      <c r="N37" s="19">
        <f t="shared" si="9"/>
        <v>5.7005818470428622</v>
      </c>
      <c r="O37" s="4">
        <f t="shared" si="3"/>
        <v>0.82617128218012492</v>
      </c>
      <c r="P37" s="673">
        <f t="shared" si="10"/>
        <v>0.93548387096774188</v>
      </c>
    </row>
    <row r="38" spans="1:16" x14ac:dyDescent="0.2">
      <c r="A38" s="49">
        <f t="shared" si="4"/>
        <v>2049</v>
      </c>
      <c r="B38" s="128">
        <f t="shared" si="5"/>
        <v>1.2</v>
      </c>
      <c r="C38" s="5">
        <f>((1-$P38)*(C37/$N37)+$P38*(B38/$M38))*'global path'!$C36</f>
        <v>0.87724443054402712</v>
      </c>
      <c r="D38" s="5"/>
      <c r="E38" s="4">
        <f t="shared" si="0"/>
        <v>0.73103702545335592</v>
      </c>
      <c r="F38" s="128">
        <f t="shared" si="6"/>
        <v>4</v>
      </c>
      <c r="G38" s="5">
        <f>((1-$P38)*(G37/$N37)+$P38*(F38/$M38))*'global path'!$C36</f>
        <v>2.9241481018105371</v>
      </c>
      <c r="H38" s="5"/>
      <c r="I38" s="4">
        <f t="shared" si="1"/>
        <v>0.73103702545263427</v>
      </c>
      <c r="J38" s="128">
        <f t="shared" si="7"/>
        <v>1.7000000000000004</v>
      </c>
      <c r="K38" s="5">
        <f>((1-$P38)*(K37/$N37)+$P38*(J38/$M38))*'global path'!$C36</f>
        <v>1.242762943269075</v>
      </c>
      <c r="L38" s="4">
        <f t="shared" si="2"/>
        <v>0.7310370254523969</v>
      </c>
      <c r="M38" s="129">
        <f t="shared" si="8"/>
        <v>6.9</v>
      </c>
      <c r="N38" s="19">
        <f t="shared" si="9"/>
        <v>5.0441554756236391</v>
      </c>
      <c r="O38" s="4">
        <f t="shared" si="3"/>
        <v>0.73103702545270133</v>
      </c>
      <c r="P38" s="673">
        <f t="shared" si="10"/>
        <v>0.967741935483871</v>
      </c>
    </row>
    <row r="39" spans="1:16" ht="13.5" thickBot="1" x14ac:dyDescent="0.25">
      <c r="A39" s="49">
        <f t="shared" si="4"/>
        <v>2050</v>
      </c>
      <c r="B39" s="139">
        <f>RF!B40</f>
        <v>1.2</v>
      </c>
      <c r="C39" s="5">
        <f>((1-$P39)*(C38/$N38)+$P39*(B39/$M39))*'global path'!$C37</f>
        <v>0.77335076918943702</v>
      </c>
      <c r="D39" s="5"/>
      <c r="E39" s="140">
        <f t="shared" si="0"/>
        <v>0.64445897432453092</v>
      </c>
      <c r="F39" s="141">
        <f>RF!E40</f>
        <v>4</v>
      </c>
      <c r="G39" s="5">
        <f>((1-$P39)*(G38/$N38)+$P39*(F39/$M39))*'global path'!$C37</f>
        <v>2.5778358972981237</v>
      </c>
      <c r="H39" s="5"/>
      <c r="I39" s="140">
        <f t="shared" si="1"/>
        <v>0.64445897432453092</v>
      </c>
      <c r="J39" s="149">
        <f>M39-F39-B39</f>
        <v>1.7000000000000004</v>
      </c>
      <c r="K39" s="5">
        <f>((1-$P39)*(K38/$N38)+$P39*(J39/$M39))*'global path'!$C37</f>
        <v>1.0955802563517028</v>
      </c>
      <c r="L39" s="140">
        <f t="shared" si="2"/>
        <v>0.64445897432453092</v>
      </c>
      <c r="M39" s="141">
        <f>RF!K40</f>
        <v>6.9</v>
      </c>
      <c r="N39" s="19">
        <f t="shared" si="9"/>
        <v>4.4467669228392639</v>
      </c>
      <c r="O39" s="4">
        <f t="shared" si="3"/>
        <v>0.64445897432453092</v>
      </c>
      <c r="P39" s="674">
        <f t="shared" si="10"/>
        <v>1</v>
      </c>
    </row>
    <row r="40" spans="1:16" ht="13.5" thickBot="1" x14ac:dyDescent="0.25">
      <c r="A40" s="143" t="s">
        <v>1</v>
      </c>
      <c r="B40" s="144"/>
      <c r="C40" s="145">
        <f>SUM(C9:C39)</f>
        <v>182.04709511635298</v>
      </c>
      <c r="D40" s="145"/>
      <c r="E40" s="146"/>
      <c r="F40" s="144"/>
      <c r="G40" s="145">
        <f>SUM(G9:G39)</f>
        <v>357.58558258120905</v>
      </c>
      <c r="H40" s="145"/>
      <c r="I40" s="146"/>
      <c r="J40" s="144"/>
      <c r="K40" s="145">
        <f>SUM(K9:K39)</f>
        <v>117.13096866028121</v>
      </c>
      <c r="L40" s="146"/>
      <c r="M40" s="144"/>
      <c r="N40" s="147">
        <f>SUM(N9:N39)</f>
        <v>656.76364635784296</v>
      </c>
      <c r="O40" s="148"/>
      <c r="P40" s="138"/>
    </row>
    <row r="41" spans="1:1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</row>
    <row r="42" spans="1:1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 t="s">
        <v>41</v>
      </c>
      <c r="M42" s="114"/>
      <c r="N42" s="113">
        <f>'global path'!C89</f>
        <v>656.76364635784296</v>
      </c>
      <c r="O42" s="7"/>
      <c r="P42" s="7"/>
    </row>
    <row r="43" spans="1:1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113">
        <f>N40-N42</f>
        <v>0</v>
      </c>
      <c r="O43" s="7"/>
      <c r="P43" s="7"/>
    </row>
  </sheetData>
  <sheetProtection selectLockedCells="1"/>
  <mergeCells count="5">
    <mergeCell ref="I1:L1"/>
    <mergeCell ref="B4:E4"/>
    <mergeCell ref="F4:I4"/>
    <mergeCell ref="J4:L4"/>
    <mergeCell ref="M4:P4"/>
  </mergeCells>
  <conditionalFormatting sqref="N43">
    <cfRule type="cellIs" dxfId="57" priority="1" stopIfTrue="1" operator="equal">
      <formula>0</formula>
    </cfRule>
  </conditionalFormatting>
  <conditionalFormatting sqref="P8:P39">
    <cfRule type="expression" dxfId="56" priority="2" stopIfTrue="1">
      <formula>AND(P8=-100,P9=-100)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>
    <tabColor rgb="FF00B0F0"/>
    <pageSetUpPr fitToPage="1"/>
  </sheetPr>
  <dimension ref="A1:BA43"/>
  <sheetViews>
    <sheetView zoomScale="110" zoomScaleNormal="11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4.42578125" style="3" customWidth="1"/>
    <col min="4" max="4" width="5.42578125" style="3" bestFit="1" customWidth="1"/>
    <col min="5" max="5" width="4.42578125" style="3" customWidth="1"/>
    <col min="6" max="6" width="6.140625" style="3" customWidth="1"/>
    <col min="7" max="7" width="4.42578125" style="3" bestFit="1" customWidth="1"/>
    <col min="8" max="8" width="4.7109375" style="3" customWidth="1"/>
    <col min="9" max="9" width="5" style="3" customWidth="1"/>
    <col min="10" max="10" width="4.42578125" style="3" customWidth="1"/>
    <col min="11" max="11" width="5.28515625" style="3" bestFit="1" customWidth="1"/>
    <col min="12" max="13" width="4.42578125" style="3" bestFit="1" customWidth="1"/>
    <col min="14" max="14" width="7.28515625" style="3" bestFit="1" customWidth="1"/>
    <col min="15" max="15" width="4.42578125" style="3" customWidth="1"/>
    <col min="16" max="16" width="5.28515625" style="3" bestFit="1" customWidth="1"/>
    <col min="17" max="18" width="4.42578125" style="3" bestFit="1" customWidth="1"/>
    <col min="19" max="19" width="5.42578125" style="3" bestFit="1" customWidth="1"/>
    <col min="20" max="20" width="4.42578125" style="3" customWidth="1"/>
    <col min="21" max="21" width="4.85546875" style="3" bestFit="1" customWidth="1"/>
    <col min="22" max="22" width="4.42578125" style="3" bestFit="1" customWidth="1"/>
    <col min="23" max="23" width="4.28515625" style="3" customWidth="1"/>
    <col min="24" max="24" width="5.42578125" style="3" customWidth="1"/>
    <col min="25" max="25" width="7.28515625" style="3" bestFit="1" customWidth="1"/>
    <col min="26" max="26" width="6.42578125" style="3" customWidth="1"/>
    <col min="27" max="27" width="6.28515625" style="3" customWidth="1"/>
    <col min="28" max="28" width="7.42578125" style="3" bestFit="1" customWidth="1"/>
    <col min="29" max="29" width="6.7109375" style="3" customWidth="1"/>
    <col min="30" max="30" width="4.28515625" style="3" customWidth="1"/>
    <col min="31" max="33" width="30.28515625" style="1" bestFit="1" customWidth="1"/>
    <col min="34" max="34" width="22.42578125" style="1" bestFit="1" customWidth="1"/>
    <col min="35" max="35" width="23.28515625" style="1" customWidth="1"/>
    <col min="36" max="36" width="23.42578125" style="1" customWidth="1"/>
    <col min="37" max="37" width="20.42578125" style="1" bestFit="1" customWidth="1"/>
    <col min="38" max="38" width="21.42578125" style="1" bestFit="1" customWidth="1"/>
    <col min="39" max="39" width="21.7109375" style="1" customWidth="1"/>
    <col min="40" max="45" width="8.42578125" style="1" bestFit="1" customWidth="1"/>
    <col min="46" max="46" width="8.42578125" style="3" bestFit="1" customWidth="1"/>
    <col min="47" max="53" width="8.42578125" style="1" bestFit="1" customWidth="1"/>
    <col min="54" max="54" width="8.42578125" style="3" bestFit="1" customWidth="1"/>
    <col min="55" max="16384" width="11.7109375" style="3"/>
  </cols>
  <sheetData>
    <row r="1" spans="1:53" ht="15.75" x14ac:dyDescent="0.25">
      <c r="A1" s="51" t="s">
        <v>34</v>
      </c>
      <c r="D1" s="1" t="s">
        <v>35</v>
      </c>
      <c r="F1" s="763" t="s">
        <v>38</v>
      </c>
      <c r="G1" s="763"/>
      <c r="H1" s="763"/>
      <c r="I1" s="763"/>
      <c r="J1" s="763"/>
      <c r="L1" s="7" t="s">
        <v>111</v>
      </c>
    </row>
    <row r="2" spans="1:53" ht="15" x14ac:dyDescent="0.25">
      <c r="A2" s="1"/>
      <c r="AA2"/>
    </row>
    <row r="3" spans="1:53" s="43" customFormat="1" ht="13.5" thickBot="1" x14ac:dyDescent="0.3">
      <c r="A3" s="101"/>
      <c r="B3" s="101"/>
      <c r="C3" s="101"/>
      <c r="D3" s="101"/>
      <c r="E3" s="101"/>
      <c r="F3" s="102"/>
      <c r="G3" s="102"/>
      <c r="H3" s="102"/>
      <c r="I3" s="107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U3" s="10"/>
      <c r="AV3" s="10"/>
      <c r="AW3" s="10"/>
      <c r="AX3" s="10"/>
      <c r="AY3" s="10"/>
      <c r="AZ3" s="10"/>
      <c r="BA3" s="10"/>
    </row>
    <row r="4" spans="1:53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U4" s="10"/>
      <c r="AV4" s="10"/>
      <c r="AW4" s="10"/>
      <c r="AX4" s="10"/>
      <c r="AY4" s="10"/>
      <c r="AZ4" s="10"/>
      <c r="BA4" s="10"/>
    </row>
    <row r="5" spans="1:53" ht="13.5" thickBot="1" x14ac:dyDescent="0.25">
      <c r="A5" s="44"/>
      <c r="B5" s="87"/>
      <c r="C5" s="88"/>
      <c r="D5" s="90"/>
      <c r="E5" s="87"/>
      <c r="F5" s="88"/>
      <c r="G5" s="90"/>
      <c r="H5" s="87"/>
      <c r="I5" s="88"/>
      <c r="J5" s="90"/>
      <c r="K5" s="87"/>
      <c r="L5" s="89"/>
      <c r="M5" s="90"/>
      <c r="N5" s="125"/>
    </row>
    <row r="6" spans="1:53" s="43" customFormat="1" ht="46.5" x14ac:dyDescent="0.25">
      <c r="A6" s="46" t="s">
        <v>10</v>
      </c>
      <c r="B6" s="126" t="s">
        <v>13</v>
      </c>
      <c r="C6" s="20" t="s">
        <v>12</v>
      </c>
      <c r="D6" s="14" t="s">
        <v>11</v>
      </c>
      <c r="E6" s="13" t="s">
        <v>13</v>
      </c>
      <c r="F6" s="20" t="s">
        <v>12</v>
      </c>
      <c r="G6" s="14" t="s">
        <v>11</v>
      </c>
      <c r="H6" s="13" t="s">
        <v>13</v>
      </c>
      <c r="I6" s="20" t="s">
        <v>12</v>
      </c>
      <c r="J6" s="14" t="s">
        <v>11</v>
      </c>
      <c r="K6" s="13" t="s">
        <v>22</v>
      </c>
      <c r="L6" s="20" t="s">
        <v>23</v>
      </c>
      <c r="M6" s="14" t="s">
        <v>11</v>
      </c>
      <c r="N6" s="91" t="s">
        <v>30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U6" s="10"/>
      <c r="AV6" s="10"/>
      <c r="AW6" s="10"/>
      <c r="AX6" s="10"/>
      <c r="AY6" s="10"/>
      <c r="AZ6" s="10"/>
      <c r="BA6" s="10"/>
    </row>
    <row r="7" spans="1:53" s="43" customFormat="1" x14ac:dyDescent="0.2">
      <c r="A7" s="47"/>
      <c r="B7" s="127" t="s">
        <v>6</v>
      </c>
      <c r="C7" s="108" t="s">
        <v>21</v>
      </c>
      <c r="D7" s="30" t="s">
        <v>0</v>
      </c>
      <c r="E7" s="109" t="s">
        <v>6</v>
      </c>
      <c r="F7" s="108" t="s">
        <v>21</v>
      </c>
      <c r="G7" s="30" t="s">
        <v>0</v>
      </c>
      <c r="H7" s="109" t="s">
        <v>6</v>
      </c>
      <c r="I7" s="108" t="s">
        <v>21</v>
      </c>
      <c r="J7" s="30" t="s">
        <v>0</v>
      </c>
      <c r="K7" s="29" t="s">
        <v>6</v>
      </c>
      <c r="L7" s="108" t="s">
        <v>21</v>
      </c>
      <c r="M7" s="30" t="s">
        <v>0</v>
      </c>
      <c r="N7" s="33"/>
      <c r="O7" s="3"/>
      <c r="P7" s="3"/>
      <c r="Q7" s="3"/>
      <c r="R7" s="3"/>
      <c r="S7" s="3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U7" s="10"/>
      <c r="AV7" s="10"/>
      <c r="AW7" s="10"/>
      <c r="AX7" s="10"/>
      <c r="AY7" s="10"/>
      <c r="AZ7" s="10"/>
      <c r="BA7" s="10"/>
    </row>
    <row r="8" spans="1:53" s="43" customFormat="1" x14ac:dyDescent="0.2">
      <c r="A8" s="48">
        <v>2019</v>
      </c>
      <c r="B8" s="131">
        <f>RF!B9</f>
        <v>1.2</v>
      </c>
      <c r="C8" s="132">
        <f>RF!C9</f>
        <v>21</v>
      </c>
      <c r="D8" s="130">
        <f>C8/B8</f>
        <v>17.5</v>
      </c>
      <c r="E8" s="133">
        <f>RF!E9</f>
        <v>4</v>
      </c>
      <c r="F8" s="132">
        <f>RF!F9</f>
        <v>19.5</v>
      </c>
      <c r="G8" s="130">
        <f>F8/E8</f>
        <v>4.875</v>
      </c>
      <c r="H8" s="137">
        <f>K8-E8-B8</f>
        <v>1.7000000000000004</v>
      </c>
      <c r="I8" s="117">
        <f>'global path'!$C$6-C8-F8</f>
        <v>1.2277171013052595</v>
      </c>
      <c r="J8" s="130">
        <f>I8/H8</f>
        <v>0.72218653017956425</v>
      </c>
      <c r="K8" s="133">
        <f>RF!K9</f>
        <v>6.9</v>
      </c>
      <c r="L8" s="32">
        <f>I8+F8+C8</f>
        <v>41.727717101305259</v>
      </c>
      <c r="M8" s="31">
        <f>L8/K8</f>
        <v>6.047495232073226</v>
      </c>
      <c r="N8" s="159">
        <f>(A8-2019)/(2050-2019)</f>
        <v>0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U8" s="10"/>
      <c r="AV8" s="10"/>
      <c r="AW8" s="10"/>
      <c r="AX8" s="10"/>
      <c r="AY8" s="10"/>
      <c r="AZ8" s="10"/>
      <c r="BA8" s="10"/>
    </row>
    <row r="9" spans="1:53" x14ac:dyDescent="0.2">
      <c r="A9" s="49">
        <f>A8+1</f>
        <v>2020</v>
      </c>
      <c r="B9" s="128">
        <f>B$8*(B$39/B$8)^(($A9-2019)/31)</f>
        <v>1.2</v>
      </c>
      <c r="C9" s="5">
        <f>((1-$N9)*(C$8/$L$8)+$N9*(B9/$K9))*'global path'!$C7</f>
        <v>20.145543690094133</v>
      </c>
      <c r="D9" s="4">
        <f t="shared" ref="D9:D39" si="0">C9/B9</f>
        <v>16.787953075078445</v>
      </c>
      <c r="E9" s="128">
        <f>E$8*(E$39/E$8)^(($A9-2019)/31)</f>
        <v>4</v>
      </c>
      <c r="F9" s="5">
        <f>((1-$N9)*(F$8/$L$8)+$N9*(E9/$K9))*'global path'!$C7</f>
        <v>19.258263913217</v>
      </c>
      <c r="G9" s="4">
        <f t="shared" ref="G9:G39" si="1">F9/E9</f>
        <v>4.81456597830425</v>
      </c>
      <c r="H9" s="128">
        <f>H$8*(H$39/H$8)^(($A9-2019)/31)</f>
        <v>1.7000000000000004</v>
      </c>
      <c r="I9" s="5">
        <f>((1-$N9)*(I$8/$L$8)+$N9*(H9/$K9))*'global path'!$C7</f>
        <v>1.48935515596802</v>
      </c>
      <c r="J9" s="4">
        <f t="shared" ref="J9:J39" si="2">I9/H9</f>
        <v>0.8760912682164822</v>
      </c>
      <c r="K9" s="129">
        <f>B9+E9+H9</f>
        <v>6.9</v>
      </c>
      <c r="L9" s="19">
        <f>I9+F9+C9</f>
        <v>40.89316275927915</v>
      </c>
      <c r="M9" s="4">
        <f t="shared" ref="M9:M39" si="3">L9/K9</f>
        <v>5.9265453274317608</v>
      </c>
      <c r="N9" s="159">
        <f t="shared" ref="N9:N39" si="4">(A9-2019)/(2050-2019)</f>
        <v>3.2258064516129031E-2</v>
      </c>
    </row>
    <row r="10" spans="1:53" x14ac:dyDescent="0.2">
      <c r="A10" s="49">
        <f t="shared" ref="A10:A39" si="5">A9+1</f>
        <v>2021</v>
      </c>
      <c r="B10" s="128">
        <f t="shared" ref="B10:B38" si="6">B$8*(B$39/B$8)^(($A10-2019)/31)</f>
        <v>1.2</v>
      </c>
      <c r="C10" s="5">
        <f>((1-$N10)*(C$8/$L$8)+$N10*(B10/$K10))*'global path'!$C8</f>
        <v>19.25219235394637</v>
      </c>
      <c r="D10" s="4">
        <f t="shared" si="0"/>
        <v>16.043493628288644</v>
      </c>
      <c r="E10" s="128">
        <f t="shared" ref="E10:E38" si="7">E$8*(E$39/E$8)^(($A10-2019)/31)</f>
        <v>4</v>
      </c>
      <c r="F10" s="5">
        <f>((1-$N10)*(F$8/$L$8)+$N10*(E10/$K10))*'global path'!$C8</f>
        <v>18.954723269719057</v>
      </c>
      <c r="G10" s="4">
        <f t="shared" si="1"/>
        <v>4.7386808174297643</v>
      </c>
      <c r="H10" s="128">
        <f t="shared" ref="H10:H38" si="8">H$8*(H$39/H$8)^(($A10-2019)/31)</f>
        <v>1.7000000000000004</v>
      </c>
      <c r="I10" s="5">
        <f>((1-$N10)*(I$8/$L$8)+$N10*(H10/$K10))*'global path'!$C8</f>
        <v>1.7342109219041266</v>
      </c>
      <c r="J10" s="4">
        <f t="shared" si="2"/>
        <v>1.0201240717083095</v>
      </c>
      <c r="K10" s="129">
        <f t="shared" ref="K10:K38" si="9">B10+E10+H10</f>
        <v>6.9</v>
      </c>
      <c r="L10" s="19">
        <f t="shared" ref="L10:L39" si="10">I10+F10+C10</f>
        <v>39.941126545569553</v>
      </c>
      <c r="M10" s="4">
        <f t="shared" si="3"/>
        <v>5.788569064575297</v>
      </c>
      <c r="N10" s="160">
        <f t="shared" si="4"/>
        <v>6.4516129032258063E-2</v>
      </c>
    </row>
    <row r="11" spans="1:53" x14ac:dyDescent="0.2">
      <c r="A11" s="49">
        <f t="shared" si="5"/>
        <v>2022</v>
      </c>
      <c r="B11" s="128">
        <f t="shared" si="6"/>
        <v>1.2</v>
      </c>
      <c r="C11" s="5">
        <f>((1-$N11)*(C$8/$L$8)+$N11*(B11/$K11))*'global path'!$C9</f>
        <v>18.327742984692204</v>
      </c>
      <c r="D11" s="4">
        <f t="shared" si="0"/>
        <v>15.273119153910171</v>
      </c>
      <c r="E11" s="128">
        <f t="shared" si="7"/>
        <v>4</v>
      </c>
      <c r="F11" s="5">
        <f>((1-$N11)*(F$8/$L$8)+$N11*(E11/$K11))*'global path'!$C9</f>
        <v>18.592211253968632</v>
      </c>
      <c r="G11" s="4">
        <f t="shared" si="1"/>
        <v>4.6480528134921579</v>
      </c>
      <c r="H11" s="128">
        <f t="shared" si="8"/>
        <v>1.7000000000000004</v>
      </c>
      <c r="I11" s="5">
        <f>((1-$N11)*(I$8/$L$8)+$N11*(H11/$K11))*'global path'!$C9</f>
        <v>1.9602512365936822</v>
      </c>
      <c r="J11" s="4">
        <f t="shared" si="2"/>
        <v>1.1530889627021657</v>
      </c>
      <c r="K11" s="129">
        <f t="shared" si="9"/>
        <v>6.9</v>
      </c>
      <c r="L11" s="19">
        <f t="shared" si="10"/>
        <v>38.880205475254513</v>
      </c>
      <c r="M11" s="4">
        <f t="shared" si="3"/>
        <v>5.6348123877180454</v>
      </c>
      <c r="N11" s="160">
        <f t="shared" si="4"/>
        <v>9.6774193548387094E-2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AE11" s="28"/>
      <c r="AF11" s="28"/>
      <c r="AG11" s="28"/>
      <c r="AH11" s="28"/>
      <c r="AI11" s="28"/>
      <c r="AJ11" s="28"/>
      <c r="AK11" s="28"/>
      <c r="AL11" s="28"/>
      <c r="AM11" s="28"/>
      <c r="AN11" s="58"/>
      <c r="AO11" s="28"/>
      <c r="AU11" s="28"/>
      <c r="AV11" s="28"/>
      <c r="AW11" s="28"/>
    </row>
    <row r="12" spans="1:53" s="7" customFormat="1" x14ac:dyDescent="0.2">
      <c r="A12" s="49">
        <f t="shared" si="5"/>
        <v>2023</v>
      </c>
      <c r="B12" s="128">
        <f t="shared" si="6"/>
        <v>1.2</v>
      </c>
      <c r="C12" s="5">
        <f>((1-$N12)*(C$8/$L$8)+$N12*(B12/$K12))*'global path'!$C10</f>
        <v>17.380041843005241</v>
      </c>
      <c r="D12" s="4">
        <f t="shared" si="0"/>
        <v>14.483368202504368</v>
      </c>
      <c r="E12" s="128">
        <f t="shared" si="7"/>
        <v>4</v>
      </c>
      <c r="F12" s="5">
        <f>((1-$N12)*(F$8/$L$8)+$N12*(E12/$K12))*'global path'!$C10</f>
        <v>18.174119284894253</v>
      </c>
      <c r="G12" s="4">
        <f t="shared" si="1"/>
        <v>4.5435298212235633</v>
      </c>
      <c r="H12" s="128">
        <f t="shared" si="8"/>
        <v>1.7000000000000004</v>
      </c>
      <c r="I12" s="5">
        <f>((1-$N12)*(I$8/$L$8)+$N12*(H12/$K12))*'global path'!$C10</f>
        <v>2.1657352687568241</v>
      </c>
      <c r="J12" s="4">
        <f t="shared" si="2"/>
        <v>1.2739619227981316</v>
      </c>
      <c r="K12" s="129">
        <f t="shared" si="9"/>
        <v>6.9</v>
      </c>
      <c r="L12" s="19">
        <f t="shared" si="10"/>
        <v>37.719896396656317</v>
      </c>
      <c r="M12" s="4">
        <f t="shared" si="3"/>
        <v>5.4666516516893209</v>
      </c>
      <c r="N12" s="160">
        <f t="shared" si="4"/>
        <v>0.12903225806451613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U12" s="1"/>
      <c r="AV12" s="1"/>
      <c r="AW12" s="1"/>
      <c r="AX12" s="1"/>
      <c r="AY12" s="1"/>
      <c r="AZ12" s="1"/>
      <c r="BA12" s="1"/>
    </row>
    <row r="13" spans="1:53" s="7" customFormat="1" x14ac:dyDescent="0.2">
      <c r="A13" s="49">
        <f t="shared" si="5"/>
        <v>2024</v>
      </c>
      <c r="B13" s="128">
        <f t="shared" si="6"/>
        <v>1.2</v>
      </c>
      <c r="C13" s="5">
        <f>((1-$N13)*(C$8/$L$8)+$N13*(B13/$K13))*'global path'!$C11</f>
        <v>16.416872450905448</v>
      </c>
      <c r="D13" s="4">
        <f t="shared" si="0"/>
        <v>13.680727042421207</v>
      </c>
      <c r="E13" s="128">
        <f t="shared" si="7"/>
        <v>4</v>
      </c>
      <c r="F13" s="5">
        <f>((1-$N13)*(F$8/$L$8)+$N13*(E13/$K13))*'global path'!$C11</f>
        <v>17.704344086719146</v>
      </c>
      <c r="G13" s="4">
        <f t="shared" si="1"/>
        <v>4.4260860216797866</v>
      </c>
      <c r="H13" s="128">
        <f t="shared" si="8"/>
        <v>1.7000000000000004</v>
      </c>
      <c r="I13" s="5">
        <f>((1-$N13)*(I$8/$L$8)+$N13*(H13/$K13))*'global path'!$C11</f>
        <v>2.3492368181000645</v>
      </c>
      <c r="J13" s="4">
        <f t="shared" si="2"/>
        <v>1.3819040106470963</v>
      </c>
      <c r="K13" s="129">
        <f t="shared" si="9"/>
        <v>6.9</v>
      </c>
      <c r="L13" s="19">
        <f t="shared" si="10"/>
        <v>36.470453355724658</v>
      </c>
      <c r="M13" s="4">
        <f t="shared" si="3"/>
        <v>5.2855729501050224</v>
      </c>
      <c r="N13" s="160">
        <f t="shared" si="4"/>
        <v>0.16129032258064516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U13" s="1"/>
      <c r="AV13" s="1"/>
      <c r="AW13" s="1"/>
      <c r="AX13" s="1"/>
      <c r="AY13" s="1"/>
      <c r="AZ13" s="1"/>
      <c r="BA13" s="1"/>
    </row>
    <row r="14" spans="1:53" s="7" customFormat="1" x14ac:dyDescent="0.2">
      <c r="A14" s="49">
        <f t="shared" si="5"/>
        <v>2025</v>
      </c>
      <c r="B14" s="128">
        <f t="shared" si="6"/>
        <v>1.2</v>
      </c>
      <c r="C14" s="5">
        <f>((1-$N14)*(C$8/$L$8)+$N14*(B14/$K14))*'global path'!$C12</f>
        <v>15.445848471990894</v>
      </c>
      <c r="D14" s="4">
        <f t="shared" si="0"/>
        <v>12.871540393325745</v>
      </c>
      <c r="E14" s="128">
        <f t="shared" si="7"/>
        <v>4</v>
      </c>
      <c r="F14" s="5">
        <f>((1-$N14)*(F$8/$L$8)+$N14*(E14/$K14))*'global path'!$C12</f>
        <v>17.187226976845505</v>
      </c>
      <c r="G14" s="4">
        <f t="shared" si="1"/>
        <v>4.2968067442113762</v>
      </c>
      <c r="H14" s="128">
        <f t="shared" si="8"/>
        <v>1.7000000000000004</v>
      </c>
      <c r="I14" s="5">
        <f>((1-$N14)*(I$8/$L$8)+$N14*(H14/$K14))*'global path'!$C12</f>
        <v>2.5096599422381551</v>
      </c>
      <c r="J14" s="4">
        <f t="shared" si="2"/>
        <v>1.4762705542577379</v>
      </c>
      <c r="K14" s="129">
        <f t="shared" si="9"/>
        <v>6.9</v>
      </c>
      <c r="L14" s="19">
        <f t="shared" si="10"/>
        <v>35.142735391074552</v>
      </c>
      <c r="M14" s="4">
        <f t="shared" si="3"/>
        <v>5.0931500566774712</v>
      </c>
      <c r="N14" s="160">
        <f t="shared" si="4"/>
        <v>0.19354838709677419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U14" s="1"/>
      <c r="AV14" s="1"/>
      <c r="AW14" s="1"/>
      <c r="AX14" s="1"/>
      <c r="AY14" s="1"/>
      <c r="AZ14" s="1"/>
      <c r="BA14" s="1"/>
    </row>
    <row r="15" spans="1:53" s="7" customFormat="1" x14ac:dyDescent="0.2">
      <c r="A15" s="49">
        <f t="shared" si="5"/>
        <v>2026</v>
      </c>
      <c r="B15" s="128">
        <f t="shared" si="6"/>
        <v>1.2</v>
      </c>
      <c r="C15" s="5">
        <f>((1-$N15)*(C$8/$L$8)+$N15*(B15/$K15))*'global path'!$C13</f>
        <v>14.474313556962572</v>
      </c>
      <c r="D15" s="4">
        <f t="shared" si="0"/>
        <v>12.061927964135478</v>
      </c>
      <c r="E15" s="128">
        <f t="shared" si="7"/>
        <v>4</v>
      </c>
      <c r="F15" s="5">
        <f>((1-$N15)*(F$8/$L$8)+$N15*(E15/$K15))*'global path'!$C13</f>
        <v>16.62748669851684</v>
      </c>
      <c r="G15" s="4">
        <f t="shared" si="1"/>
        <v>4.15687167462921</v>
      </c>
      <c r="H15" s="128">
        <f t="shared" si="8"/>
        <v>1.7000000000000004</v>
      </c>
      <c r="I15" s="5">
        <f>((1-$N15)*(I$8/$L$8)+$N15*(H15/$K15))*'global path'!$C13</f>
        <v>2.646247691948814</v>
      </c>
      <c r="J15" s="4">
        <f t="shared" si="2"/>
        <v>1.5566162893816549</v>
      </c>
      <c r="K15" s="129">
        <f t="shared" si="9"/>
        <v>6.9</v>
      </c>
      <c r="L15" s="19">
        <f t="shared" si="10"/>
        <v>33.748047947428226</v>
      </c>
      <c r="M15" s="4">
        <f t="shared" si="3"/>
        <v>4.8910214416562647</v>
      </c>
      <c r="N15" s="160">
        <f t="shared" si="4"/>
        <v>0.22580645161290322</v>
      </c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U15" s="1"/>
      <c r="AV15" s="1"/>
      <c r="AW15" s="1"/>
      <c r="AX15" s="1"/>
      <c r="AY15" s="1"/>
      <c r="AZ15" s="1"/>
      <c r="BA15" s="1"/>
    </row>
    <row r="16" spans="1:53" s="7" customFormat="1" x14ac:dyDescent="0.2">
      <c r="A16" s="49">
        <f t="shared" si="5"/>
        <v>2027</v>
      </c>
      <c r="B16" s="128">
        <f t="shared" si="6"/>
        <v>1.2</v>
      </c>
      <c r="C16" s="5">
        <f>((1-$N16)*(C$8/$L$8)+$N16*(B16/$K16))*'global path'!$C14</f>
        <v>13.509249997012658</v>
      </c>
      <c r="D16" s="4">
        <f t="shared" si="0"/>
        <v>11.257708330843881</v>
      </c>
      <c r="E16" s="128">
        <f t="shared" si="7"/>
        <v>4</v>
      </c>
      <c r="F16" s="5">
        <f>((1-$N16)*(F$8/$L$8)+$N16*(E16/$K16))*'global path'!$C14</f>
        <v>16.030147259544023</v>
      </c>
      <c r="G16" s="4">
        <f t="shared" si="1"/>
        <v>4.0075368148860058</v>
      </c>
      <c r="H16" s="128">
        <f t="shared" si="8"/>
        <v>1.7000000000000004</v>
      </c>
      <c r="I16" s="5">
        <f>((1-$N16)*(I$8/$L$8)+$N16*(H16/$K16))*'global path'!$C14</f>
        <v>2.7585839214675452</v>
      </c>
      <c r="J16" s="4">
        <f t="shared" si="2"/>
        <v>1.6226964243926731</v>
      </c>
      <c r="K16" s="129">
        <f t="shared" si="9"/>
        <v>6.9</v>
      </c>
      <c r="L16" s="19">
        <f t="shared" si="10"/>
        <v>32.297981178024223</v>
      </c>
      <c r="M16" s="4">
        <f t="shared" si="3"/>
        <v>4.6808668373948148</v>
      </c>
      <c r="N16" s="160">
        <f t="shared" si="4"/>
        <v>0.25806451612903225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U16" s="1"/>
      <c r="AV16" s="1"/>
      <c r="AW16" s="1"/>
      <c r="AX16" s="1"/>
      <c r="AY16" s="1"/>
      <c r="AZ16" s="1"/>
      <c r="BA16" s="1"/>
    </row>
    <row r="17" spans="1:14" x14ac:dyDescent="0.2">
      <c r="A17" s="49">
        <f t="shared" si="5"/>
        <v>2028</v>
      </c>
      <c r="B17" s="128">
        <f t="shared" si="6"/>
        <v>1.2</v>
      </c>
      <c r="C17" s="5">
        <f>((1-$N17)*(C$8/$L$8)+$N17*(B17/$K17))*'global path'!$C15</f>
        <v>12.557197747758467</v>
      </c>
      <c r="D17" s="4">
        <f t="shared" si="0"/>
        <v>10.46433145646539</v>
      </c>
      <c r="E17" s="128">
        <f t="shared" si="7"/>
        <v>4</v>
      </c>
      <c r="F17" s="5">
        <f>((1-$N17)*(F$8/$L$8)+$N17*(E17/$K17))*'global path'!$C15</f>
        <v>15.400462330899277</v>
      </c>
      <c r="G17" s="4">
        <f t="shared" si="1"/>
        <v>3.8501155827248192</v>
      </c>
      <c r="H17" s="128">
        <f t="shared" si="8"/>
        <v>1.7000000000000004</v>
      </c>
      <c r="I17" s="5">
        <f>((1-$N17)*(I$8/$L$8)+$N17*(H17/$K17))*'global path'!$C15</f>
        <v>2.8465883232097</v>
      </c>
      <c r="J17" s="4">
        <f t="shared" si="2"/>
        <v>1.6744637195351173</v>
      </c>
      <c r="K17" s="129">
        <f t="shared" si="9"/>
        <v>6.9</v>
      </c>
      <c r="L17" s="19">
        <f t="shared" si="10"/>
        <v>30.804248401867447</v>
      </c>
      <c r="M17" s="4">
        <f t="shared" si="3"/>
        <v>4.4643838263576008</v>
      </c>
      <c r="N17" s="160">
        <f t="shared" si="4"/>
        <v>0.29032258064516131</v>
      </c>
    </row>
    <row r="18" spans="1:14" x14ac:dyDescent="0.2">
      <c r="A18" s="49">
        <f t="shared" si="5"/>
        <v>2029</v>
      </c>
      <c r="B18" s="128">
        <f t="shared" si="6"/>
        <v>1.2</v>
      </c>
      <c r="C18" s="5">
        <f>((1-$N18)*(C$8/$L$8)+$N18*(B18/$K18))*'global path'!$C16</f>
        <v>11.624185072973548</v>
      </c>
      <c r="D18" s="4">
        <f t="shared" si="0"/>
        <v>9.6868208941446241</v>
      </c>
      <c r="E18" s="128">
        <f t="shared" si="7"/>
        <v>4</v>
      </c>
      <c r="F18" s="5">
        <f>((1-$N18)*(F$8/$L$8)+$N18*(E18/$K18))*'global path'!$C16</f>
        <v>14.743837808234334</v>
      </c>
      <c r="G18" s="4">
        <f t="shared" si="1"/>
        <v>3.6859594520585834</v>
      </c>
      <c r="H18" s="128">
        <f t="shared" si="8"/>
        <v>1.7000000000000004</v>
      </c>
      <c r="I18" s="5">
        <f>((1-$N18)*(I$8/$L$8)+$N18*(H18/$K18))*'global path'!$C16</f>
        <v>2.9105050101807275</v>
      </c>
      <c r="J18" s="4">
        <f t="shared" si="2"/>
        <v>1.7120617706945451</v>
      </c>
      <c r="K18" s="129">
        <f t="shared" si="9"/>
        <v>6.9</v>
      </c>
      <c r="L18" s="19">
        <f t="shared" si="10"/>
        <v>29.278527891388606</v>
      </c>
      <c r="M18" s="4">
        <f t="shared" si="3"/>
        <v>4.2432649117954497</v>
      </c>
      <c r="N18" s="160">
        <f t="shared" si="4"/>
        <v>0.32258064516129031</v>
      </c>
    </row>
    <row r="19" spans="1:14" x14ac:dyDescent="0.2">
      <c r="A19" s="49">
        <f t="shared" si="5"/>
        <v>2030</v>
      </c>
      <c r="B19" s="128">
        <f t="shared" si="6"/>
        <v>1.2</v>
      </c>
      <c r="C19" s="5">
        <f>((1-$N19)*(C$8/$L$8)+$N19*(B19/$K19))*'global path'!$C17</f>
        <v>10.715671721290585</v>
      </c>
      <c r="D19" s="4">
        <f t="shared" si="0"/>
        <v>8.9297264344088205</v>
      </c>
      <c r="E19" s="128">
        <f t="shared" si="7"/>
        <v>4</v>
      </c>
      <c r="F19" s="5">
        <f>((1-$N19)*(F$8/$L$8)+$N19*(E19/$K19))*'global path'!$C17</f>
        <v>14.065754144624192</v>
      </c>
      <c r="G19" s="4">
        <f t="shared" si="1"/>
        <v>3.516438536156048</v>
      </c>
      <c r="H19" s="128">
        <f t="shared" si="8"/>
        <v>1.7000000000000004</v>
      </c>
      <c r="I19" s="5">
        <f>((1-$N19)*(I$8/$L$8)+$N19*(H19/$K19))*'global path'!$C17</f>
        <v>2.9508851289071729</v>
      </c>
      <c r="J19" s="4">
        <f t="shared" si="2"/>
        <v>1.7358147817101013</v>
      </c>
      <c r="K19" s="129">
        <f t="shared" si="9"/>
        <v>6.9</v>
      </c>
      <c r="L19" s="19">
        <f t="shared" si="10"/>
        <v>27.732310994821951</v>
      </c>
      <c r="M19" s="4">
        <f t="shared" si="3"/>
        <v>4.0191755064959347</v>
      </c>
      <c r="N19" s="160">
        <f t="shared" si="4"/>
        <v>0.35483870967741937</v>
      </c>
    </row>
    <row r="20" spans="1:14" x14ac:dyDescent="0.2">
      <c r="A20" s="49">
        <f t="shared" si="5"/>
        <v>2031</v>
      </c>
      <c r="B20" s="128">
        <f t="shared" si="6"/>
        <v>1.2</v>
      </c>
      <c r="C20" s="5">
        <f>((1-$N20)*(C$8/$L$8)+$N20*(B20/$K20))*'global path'!$C18</f>
        <v>9.8365052016372037</v>
      </c>
      <c r="D20" s="4">
        <f t="shared" si="0"/>
        <v>8.1970876680310027</v>
      </c>
      <c r="E20" s="128">
        <f t="shared" si="7"/>
        <v>4</v>
      </c>
      <c r="F20" s="5">
        <f>((1-$N20)*(F$8/$L$8)+$N20*(E20/$K20))*'global path'!$C18</f>
        <v>13.371690024822705</v>
      </c>
      <c r="G20" s="4">
        <f t="shared" si="1"/>
        <v>3.3429225062056762</v>
      </c>
      <c r="H20" s="128">
        <f t="shared" si="8"/>
        <v>1.7000000000000004</v>
      </c>
      <c r="I20" s="5">
        <f>((1-$N20)*(I$8/$L$8)+$N20*(H20/$K20))*'global path'!$C18</f>
        <v>2.9685641261421849</v>
      </c>
      <c r="J20" s="4">
        <f t="shared" si="2"/>
        <v>1.7462141918483436</v>
      </c>
      <c r="K20" s="129">
        <f t="shared" si="9"/>
        <v>6.9</v>
      </c>
      <c r="L20" s="19">
        <f t="shared" si="10"/>
        <v>26.17675935260209</v>
      </c>
      <c r="M20" s="4">
        <f t="shared" si="3"/>
        <v>3.7937332395075489</v>
      </c>
      <c r="N20" s="160">
        <f t="shared" si="4"/>
        <v>0.38709677419354838</v>
      </c>
    </row>
    <row r="21" spans="1:14" x14ac:dyDescent="0.2">
      <c r="A21" s="49">
        <f t="shared" si="5"/>
        <v>2032</v>
      </c>
      <c r="B21" s="128">
        <f t="shared" si="6"/>
        <v>1.2</v>
      </c>
      <c r="C21" s="5">
        <f>((1-$N21)*(C$8/$L$8)+$N21*(B21/$K21))*'global path'!$C19</f>
        <v>8.9908903756957379</v>
      </c>
      <c r="D21" s="4">
        <f t="shared" si="0"/>
        <v>7.4924086464131152</v>
      </c>
      <c r="E21" s="128">
        <f t="shared" si="7"/>
        <v>4</v>
      </c>
      <c r="F21" s="5">
        <f>((1-$N21)*(F$8/$L$8)+$N21*(E21/$K21))*'global path'!$C19</f>
        <v>12.667048872221216</v>
      </c>
      <c r="G21" s="4">
        <f t="shared" si="1"/>
        <v>3.1667622180553039</v>
      </c>
      <c r="H21" s="128">
        <f t="shared" si="8"/>
        <v>1.7000000000000004</v>
      </c>
      <c r="I21" s="5">
        <f>((1-$N21)*(I$8/$L$8)+$N21*(H21/$K21))*'global path'!$C19</f>
        <v>2.9646344098448711</v>
      </c>
      <c r="J21" s="4">
        <f t="shared" si="2"/>
        <v>1.7439025940263944</v>
      </c>
      <c r="K21" s="129">
        <f t="shared" si="9"/>
        <v>6.9</v>
      </c>
      <c r="L21" s="19">
        <f t="shared" si="10"/>
        <v>24.622573657761826</v>
      </c>
      <c r="M21" s="4">
        <f t="shared" si="3"/>
        <v>3.5684889359075109</v>
      </c>
      <c r="N21" s="160">
        <f t="shared" si="4"/>
        <v>0.41935483870967744</v>
      </c>
    </row>
    <row r="22" spans="1:14" x14ac:dyDescent="0.2">
      <c r="A22" s="49">
        <f t="shared" si="5"/>
        <v>2033</v>
      </c>
      <c r="B22" s="128">
        <f t="shared" si="6"/>
        <v>1.2</v>
      </c>
      <c r="C22" s="5">
        <f>((1-$N22)*(C$8/$L$8)+$N22*(B22/$K22))*'global path'!$C20</f>
        <v>8.1823722489779769</v>
      </c>
      <c r="D22" s="4">
        <f t="shared" si="0"/>
        <v>6.818643540814981</v>
      </c>
      <c r="E22" s="128">
        <f t="shared" si="7"/>
        <v>4</v>
      </c>
      <c r="F22" s="5">
        <f>((1-$N22)*(F$8/$L$8)+$N22*(E22/$K22))*'global path'!$C20</f>
        <v>11.957089563030467</v>
      </c>
      <c r="G22" s="4">
        <f t="shared" si="1"/>
        <v>2.9892723907576166</v>
      </c>
      <c r="H22" s="128">
        <f t="shared" si="8"/>
        <v>1.7000000000000004</v>
      </c>
      <c r="I22" s="5">
        <f>((1-$N22)*(I$8/$L$8)+$N22*(H22/$K22))*'global path'!$C20</f>
        <v>2.9404142359370584</v>
      </c>
      <c r="J22" s="4">
        <f t="shared" si="2"/>
        <v>1.7296554329041516</v>
      </c>
      <c r="K22" s="129">
        <f t="shared" si="9"/>
        <v>6.9</v>
      </c>
      <c r="L22" s="19">
        <f t="shared" si="10"/>
        <v>23.079876047945504</v>
      </c>
      <c r="M22" s="4">
        <f t="shared" si="3"/>
        <v>3.3449095721660149</v>
      </c>
      <c r="N22" s="160">
        <f t="shared" si="4"/>
        <v>0.45161290322580644</v>
      </c>
    </row>
    <row r="23" spans="1:14" x14ac:dyDescent="0.2">
      <c r="A23" s="49">
        <f t="shared" si="5"/>
        <v>2034</v>
      </c>
      <c r="B23" s="128">
        <f t="shared" si="6"/>
        <v>1.2</v>
      </c>
      <c r="C23" s="5">
        <f>((1-$N23)*(C$8/$L$8)+$N23*(B23/$K23))*'global path'!$C21</f>
        <v>7.4138315261553771</v>
      </c>
      <c r="D23" s="4">
        <f t="shared" si="0"/>
        <v>6.1781929384628143</v>
      </c>
      <c r="E23" s="128">
        <f t="shared" si="7"/>
        <v>4</v>
      </c>
      <c r="F23" s="5">
        <f>((1-$N23)*(F$8/$L$8)+$N23*(E23/$K23))*'global path'!$C21</f>
        <v>11.246862572625947</v>
      </c>
      <c r="G23" s="4">
        <f t="shared" si="1"/>
        <v>2.8117156431564867</v>
      </c>
      <c r="H23" s="128">
        <f t="shared" si="8"/>
        <v>1.7000000000000004</v>
      </c>
      <c r="I23" s="5">
        <f>((1-$N23)*(I$8/$L$8)+$N23*(H23/$K23))*'global path'!$C21</f>
        <v>2.8974137150889794</v>
      </c>
      <c r="J23" s="4">
        <f t="shared" si="2"/>
        <v>1.7043610088758698</v>
      </c>
      <c r="K23" s="129">
        <f t="shared" si="9"/>
        <v>6.9</v>
      </c>
      <c r="L23" s="19">
        <f t="shared" si="10"/>
        <v>21.558107813870304</v>
      </c>
      <c r="M23" s="4">
        <f t="shared" si="3"/>
        <v>3.1243634512855514</v>
      </c>
      <c r="N23" s="160">
        <f t="shared" si="4"/>
        <v>0.4838709677419355</v>
      </c>
    </row>
    <row r="24" spans="1:14" x14ac:dyDescent="0.2">
      <c r="A24" s="49">
        <f t="shared" si="5"/>
        <v>2035</v>
      </c>
      <c r="B24" s="128">
        <f t="shared" si="6"/>
        <v>1.2</v>
      </c>
      <c r="C24" s="5">
        <f>((1-$N24)*(C$8/$L$8)+$N24*(B24/$K24))*'global path'!$C22</f>
        <v>6.6874922098769094</v>
      </c>
      <c r="D24" s="4">
        <f t="shared" si="0"/>
        <v>5.5729101748974248</v>
      </c>
      <c r="E24" s="128">
        <f t="shared" si="7"/>
        <v>4</v>
      </c>
      <c r="F24" s="5">
        <f>((1-$N24)*(F$8/$L$8)+$N24*(E24/$K24))*'global path'!$C22</f>
        <v>10.541152602133071</v>
      </c>
      <c r="G24" s="4">
        <f t="shared" si="1"/>
        <v>2.6352881505332677</v>
      </c>
      <c r="H24" s="128">
        <f t="shared" si="8"/>
        <v>1.7000000000000004</v>
      </c>
      <c r="I24" s="5">
        <f>((1-$N24)*(I$8/$L$8)+$N24*(H24/$K24))*'global path'!$C22</f>
        <v>2.8372988673572404</v>
      </c>
      <c r="J24" s="4">
        <f t="shared" si="2"/>
        <v>1.6689993337395528</v>
      </c>
      <c r="K24" s="129">
        <f t="shared" si="9"/>
        <v>6.9</v>
      </c>
      <c r="L24" s="19">
        <f t="shared" si="10"/>
        <v>20.065943679367223</v>
      </c>
      <c r="M24" s="4">
        <f t="shared" si="3"/>
        <v>2.908107779618438</v>
      </c>
      <c r="N24" s="160">
        <f t="shared" si="4"/>
        <v>0.5161290322580645</v>
      </c>
    </row>
    <row r="25" spans="1:14" x14ac:dyDescent="0.2">
      <c r="A25" s="49">
        <f t="shared" si="5"/>
        <v>2036</v>
      </c>
      <c r="B25" s="128">
        <f t="shared" si="6"/>
        <v>1.2</v>
      </c>
      <c r="C25" s="5">
        <f>((1-$N25)*(C$8/$L$8)+$N25*(B25/$K25))*'global path'!$C23</f>
        <v>6.0049402727674064</v>
      </c>
      <c r="D25" s="4">
        <f t="shared" si="0"/>
        <v>5.0041168939728387</v>
      </c>
      <c r="E25" s="128">
        <f t="shared" si="7"/>
        <v>4</v>
      </c>
      <c r="F25" s="5">
        <f>((1-$N25)*(F$8/$L$8)+$N25*(E25/$K25))*'global path'!$C23</f>
        <v>9.84442853552871</v>
      </c>
      <c r="G25" s="4">
        <f t="shared" si="1"/>
        <v>2.4611071338821775</v>
      </c>
      <c r="H25" s="128">
        <f t="shared" si="8"/>
        <v>1.7000000000000004</v>
      </c>
      <c r="I25" s="5">
        <f>((1-$N25)*(I$8/$L$8)+$N25*(H25/$K25))*'global path'!$C23</f>
        <v>2.7618546570648999</v>
      </c>
      <c r="J25" s="4">
        <f t="shared" si="2"/>
        <v>1.6246203865087643</v>
      </c>
      <c r="K25" s="129">
        <f t="shared" si="9"/>
        <v>6.9</v>
      </c>
      <c r="L25" s="19">
        <f t="shared" si="10"/>
        <v>18.611223465361014</v>
      </c>
      <c r="M25" s="4">
        <f t="shared" si="3"/>
        <v>2.6972787630957988</v>
      </c>
      <c r="N25" s="160">
        <f t="shared" si="4"/>
        <v>0.54838709677419351</v>
      </c>
    </row>
    <row r="26" spans="1:14" x14ac:dyDescent="0.2">
      <c r="A26" s="49">
        <f t="shared" si="5"/>
        <v>2037</v>
      </c>
      <c r="B26" s="128">
        <f t="shared" si="6"/>
        <v>1.2</v>
      </c>
      <c r="C26" s="5">
        <f>((1-$N26)*(C$8/$L$8)+$N26*(B26/$K26))*'global path'!$C24</f>
        <v>5.3671522252863522</v>
      </c>
      <c r="D26" s="4">
        <f t="shared" si="0"/>
        <v>4.4726268544052941</v>
      </c>
      <c r="E26" s="128">
        <f t="shared" si="7"/>
        <v>4</v>
      </c>
      <c r="F26" s="5">
        <f>((1-$N26)*(F$8/$L$8)+$N26*(E26/$K26))*'global path'!$C24</f>
        <v>9.1608013656110661</v>
      </c>
      <c r="G26" s="4">
        <f t="shared" si="1"/>
        <v>2.2902003414027665</v>
      </c>
      <c r="H26" s="128">
        <f t="shared" si="8"/>
        <v>1.7000000000000004</v>
      </c>
      <c r="I26" s="5">
        <f>((1-$N26)*(I$8/$L$8)+$N26*(H26/$K26))*'global path'!$C24</f>
        <v>2.6729479170854358</v>
      </c>
      <c r="J26" s="4">
        <f t="shared" si="2"/>
        <v>1.5723223041679031</v>
      </c>
      <c r="K26" s="129">
        <f t="shared" si="9"/>
        <v>6.9</v>
      </c>
      <c r="L26" s="19">
        <f t="shared" si="10"/>
        <v>17.200901507982856</v>
      </c>
      <c r="M26" s="4">
        <f t="shared" si="3"/>
        <v>2.4928842765192543</v>
      </c>
      <c r="N26" s="160">
        <f t="shared" si="4"/>
        <v>0.58064516129032262</v>
      </c>
    </row>
    <row r="27" spans="1:14" x14ac:dyDescent="0.2">
      <c r="A27" s="49">
        <f t="shared" si="5"/>
        <v>2038</v>
      </c>
      <c r="B27" s="128">
        <f t="shared" si="6"/>
        <v>1.2</v>
      </c>
      <c r="C27" s="5">
        <f>((1-$N27)*(C$8/$L$8)+$N27*(B27/$K27))*'global path'!$C25</f>
        <v>4.7745322415022304</v>
      </c>
      <c r="D27" s="4">
        <f t="shared" si="0"/>
        <v>3.9787768679185254</v>
      </c>
      <c r="E27" s="128">
        <f t="shared" si="7"/>
        <v>4</v>
      </c>
      <c r="F27" s="5">
        <f>((1-$N27)*(F$8/$L$8)+$N27*(E27/$K27))*'global path'!$C25</f>
        <v>8.4939905081477232</v>
      </c>
      <c r="G27" s="4">
        <f t="shared" si="1"/>
        <v>2.1234976270369308</v>
      </c>
      <c r="H27" s="128">
        <f t="shared" si="8"/>
        <v>1.7000000000000004</v>
      </c>
      <c r="I27" s="5">
        <f>((1-$N27)*(I$8/$L$8)+$N27*(H27/$K27))*'global path'!$C25</f>
        <v>2.5724910228277929</v>
      </c>
      <c r="J27" s="4">
        <f t="shared" si="2"/>
        <v>1.5132300134281131</v>
      </c>
      <c r="K27" s="129">
        <f t="shared" si="9"/>
        <v>6.9</v>
      </c>
      <c r="L27" s="19">
        <f t="shared" si="10"/>
        <v>15.841013772477746</v>
      </c>
      <c r="M27" s="4">
        <f t="shared" si="3"/>
        <v>2.2957990974605429</v>
      </c>
      <c r="N27" s="160">
        <f t="shared" si="4"/>
        <v>0.61290322580645162</v>
      </c>
    </row>
    <row r="28" spans="1:14" x14ac:dyDescent="0.2">
      <c r="A28" s="49">
        <f t="shared" si="5"/>
        <v>2039</v>
      </c>
      <c r="B28" s="128">
        <f t="shared" si="6"/>
        <v>1.2</v>
      </c>
      <c r="C28" s="5">
        <f>((1-$N28)*(C$8/$L$8)+$N28*(B28/$K28))*'global path'!$C26</f>
        <v>4.226956392622637</v>
      </c>
      <c r="D28" s="4">
        <f t="shared" si="0"/>
        <v>3.5224636605188642</v>
      </c>
      <c r="E28" s="128">
        <f t="shared" si="7"/>
        <v>4</v>
      </c>
      <c r="F28" s="5">
        <f>((1-$N28)*(F$8/$L$8)+$N28*(E28/$K28))*'global path'!$C26</f>
        <v>7.8472987042888214</v>
      </c>
      <c r="G28" s="4">
        <f t="shared" si="1"/>
        <v>1.9618246760722053</v>
      </c>
      <c r="H28" s="128">
        <f t="shared" si="8"/>
        <v>1.7000000000000004</v>
      </c>
      <c r="I28" s="5">
        <f>((1-$N28)*(I$8/$L$8)+$N28*(H28/$K28))*'global path'!$C26</f>
        <v>2.4624071046944045</v>
      </c>
      <c r="J28" s="4">
        <f t="shared" si="2"/>
        <v>1.4484747674672964</v>
      </c>
      <c r="K28" s="129">
        <f t="shared" si="9"/>
        <v>6.9</v>
      </c>
      <c r="L28" s="19">
        <f t="shared" si="10"/>
        <v>14.536662201605864</v>
      </c>
      <c r="M28" s="4">
        <f t="shared" si="3"/>
        <v>2.1067626379138931</v>
      </c>
      <c r="N28" s="160">
        <f t="shared" si="4"/>
        <v>0.64516129032258063</v>
      </c>
    </row>
    <row r="29" spans="1:14" x14ac:dyDescent="0.2">
      <c r="A29" s="49">
        <f t="shared" si="5"/>
        <v>2040</v>
      </c>
      <c r="B29" s="128">
        <f t="shared" si="6"/>
        <v>1.2</v>
      </c>
      <c r="C29" s="5">
        <f>((1-$N29)*(C$8/$L$8)+$N29*(B29/$K29))*'global path'!$C27</f>
        <v>3.7238224745308166</v>
      </c>
      <c r="D29" s="4">
        <f t="shared" si="0"/>
        <v>3.1031853954423472</v>
      </c>
      <c r="E29" s="128">
        <f t="shared" si="7"/>
        <v>4</v>
      </c>
      <c r="F29" s="5">
        <f>((1-$N29)*(F$8/$L$8)+$N29*(E29/$K29))*'global path'!$C27</f>
        <v>7.2235954985427897</v>
      </c>
      <c r="G29" s="4">
        <f t="shared" si="1"/>
        <v>1.8058988746356974</v>
      </c>
      <c r="H29" s="128">
        <f t="shared" si="8"/>
        <v>1.7000000000000004</v>
      </c>
      <c r="I29" s="5">
        <f>((1-$N29)*(I$8/$L$8)+$N29*(H29/$K29))*'global path'!$C27</f>
        <v>2.344597497233321</v>
      </c>
      <c r="J29" s="4">
        <f t="shared" si="2"/>
        <v>1.3791749983725414</v>
      </c>
      <c r="K29" s="129">
        <f t="shared" si="9"/>
        <v>6.9</v>
      </c>
      <c r="L29" s="19">
        <f t="shared" si="10"/>
        <v>13.292015470306927</v>
      </c>
      <c r="M29" s="4">
        <f t="shared" si="3"/>
        <v>1.9263790536676704</v>
      </c>
      <c r="N29" s="160">
        <f t="shared" si="4"/>
        <v>0.67741935483870963</v>
      </c>
    </row>
    <row r="30" spans="1:14" x14ac:dyDescent="0.2">
      <c r="A30" s="49">
        <f t="shared" si="5"/>
        <v>2041</v>
      </c>
      <c r="B30" s="128">
        <f t="shared" si="6"/>
        <v>1.2</v>
      </c>
      <c r="C30" s="5">
        <f>((1-$N30)*(C$8/$L$8)+$N30*(B30/$K30))*'global path'!$C28</f>
        <v>3.2641038991305327</v>
      </c>
      <c r="D30" s="4">
        <f t="shared" si="0"/>
        <v>2.7200865826087774</v>
      </c>
      <c r="E30" s="128">
        <f t="shared" si="7"/>
        <v>4</v>
      </c>
      <c r="F30" s="5">
        <f>((1-$N30)*(F$8/$L$8)+$N30*(E30/$K30))*'global path'!$C28</f>
        <v>6.6253090793200595</v>
      </c>
      <c r="G30" s="4">
        <f t="shared" si="1"/>
        <v>1.6563272698300149</v>
      </c>
      <c r="H30" s="128">
        <f t="shared" si="8"/>
        <v>1.7000000000000004</v>
      </c>
      <c r="I30" s="5">
        <f>((1-$N30)*(I$8/$L$8)+$N30*(H30/$K30))*'global path'!$C28</f>
        <v>2.2209120177460533</v>
      </c>
      <c r="J30" s="4">
        <f t="shared" si="2"/>
        <v>1.3064188339682663</v>
      </c>
      <c r="K30" s="129">
        <f t="shared" si="9"/>
        <v>6.9</v>
      </c>
      <c r="L30" s="19">
        <f t="shared" si="10"/>
        <v>12.110324996196645</v>
      </c>
      <c r="M30" s="4">
        <f t="shared" si="3"/>
        <v>1.7551195646661804</v>
      </c>
      <c r="N30" s="160">
        <f t="shared" si="4"/>
        <v>0.70967741935483875</v>
      </c>
    </row>
    <row r="31" spans="1:14" x14ac:dyDescent="0.2">
      <c r="A31" s="49">
        <f t="shared" si="5"/>
        <v>2042</v>
      </c>
      <c r="B31" s="128">
        <f t="shared" si="6"/>
        <v>1.2</v>
      </c>
      <c r="C31" s="5">
        <f>((1-$N31)*(C$8/$L$8)+$N31*(B31/$K31))*'global path'!$C29</f>
        <v>2.8464061469790338</v>
      </c>
      <c r="D31" s="4">
        <f t="shared" si="0"/>
        <v>2.3720051224825283</v>
      </c>
      <c r="E31" s="128">
        <f t="shared" si="7"/>
        <v>4</v>
      </c>
      <c r="F31" s="5">
        <f>((1-$N31)*(F$8/$L$8)+$N31*(E31/$K31))*'global path'!$C29</f>
        <v>6.0544260865733222</v>
      </c>
      <c r="G31" s="4">
        <f t="shared" si="1"/>
        <v>1.5136065216433305</v>
      </c>
      <c r="H31" s="128">
        <f t="shared" si="8"/>
        <v>1.7000000000000004</v>
      </c>
      <c r="I31" s="5">
        <f>((1-$N31)*(I$8/$L$8)+$N31*(H31/$K31))*'global path'!$C29</f>
        <v>2.0931225511526277</v>
      </c>
      <c r="J31" s="4">
        <f t="shared" si="2"/>
        <v>1.2312485595015454</v>
      </c>
      <c r="K31" s="129">
        <f t="shared" si="9"/>
        <v>6.9</v>
      </c>
      <c r="L31" s="19">
        <f t="shared" si="10"/>
        <v>10.993954784704984</v>
      </c>
      <c r="M31" s="4">
        <f t="shared" si="3"/>
        <v>1.5933267803920266</v>
      </c>
      <c r="N31" s="160">
        <f t="shared" si="4"/>
        <v>0.74193548387096775</v>
      </c>
    </row>
    <row r="32" spans="1:14" x14ac:dyDescent="0.2">
      <c r="A32" s="49">
        <f t="shared" si="5"/>
        <v>2043</v>
      </c>
      <c r="B32" s="128">
        <f t="shared" si="6"/>
        <v>1.2</v>
      </c>
      <c r="C32" s="5">
        <f>((1-$N32)*(C$8/$L$8)+$N32*(B32/$K32))*'global path'!$C30</f>
        <v>2.4690243461699852</v>
      </c>
      <c r="D32" s="4">
        <f t="shared" si="0"/>
        <v>2.0575202884749877</v>
      </c>
      <c r="E32" s="128">
        <f t="shared" si="7"/>
        <v>4</v>
      </c>
      <c r="F32" s="5">
        <f>((1-$N32)*(F$8/$L$8)+$N32*(E32/$K32))*'global path'!$C30</f>
        <v>5.5124988308185259</v>
      </c>
      <c r="G32" s="4">
        <f t="shared" si="1"/>
        <v>1.3781247077046315</v>
      </c>
      <c r="H32" s="128">
        <f t="shared" si="8"/>
        <v>1.7000000000000004</v>
      </c>
      <c r="I32" s="5">
        <f>((1-$N32)*(I$8/$L$8)+$N32*(H32/$K32))*'global path'!$C30</f>
        <v>1.96290029596351</v>
      </c>
      <c r="J32" s="4">
        <f t="shared" si="2"/>
        <v>1.1546472329197115</v>
      </c>
      <c r="K32" s="129">
        <f t="shared" si="9"/>
        <v>6.9</v>
      </c>
      <c r="L32" s="19">
        <f t="shared" si="10"/>
        <v>9.9444234729520211</v>
      </c>
      <c r="M32" s="4">
        <f t="shared" si="3"/>
        <v>1.4412207931814522</v>
      </c>
      <c r="N32" s="160">
        <f t="shared" si="4"/>
        <v>0.77419354838709675</v>
      </c>
    </row>
    <row r="33" spans="1:14" x14ac:dyDescent="0.2">
      <c r="A33" s="49">
        <f t="shared" si="5"/>
        <v>2044</v>
      </c>
      <c r="B33" s="128">
        <f t="shared" si="6"/>
        <v>1.2</v>
      </c>
      <c r="C33" s="5">
        <f>((1-$N33)*(C$8/$L$8)+$N33*(B33/$K33))*'global path'!$C31</f>
        <v>2.1300006443452646</v>
      </c>
      <c r="D33" s="4">
        <f t="shared" si="0"/>
        <v>1.7750005369543873</v>
      </c>
      <c r="E33" s="128">
        <f t="shared" si="7"/>
        <v>4</v>
      </c>
      <c r="F33" s="5">
        <f>((1-$N33)*(F$8/$L$8)+$N33*(E33/$K33))*'global path'!$C31</f>
        <v>5.0006592332139412</v>
      </c>
      <c r="G33" s="4">
        <f t="shared" si="1"/>
        <v>1.2501648083034853</v>
      </c>
      <c r="H33" s="128">
        <f t="shared" si="8"/>
        <v>1.7000000000000004</v>
      </c>
      <c r="I33" s="5">
        <f>((1-$N33)*(I$8/$L$8)+$N33*(H33/$K33))*'global path'!$C31</f>
        <v>1.8317969026898953</v>
      </c>
      <c r="J33" s="4">
        <f t="shared" si="2"/>
        <v>1.0775275898175851</v>
      </c>
      <c r="K33" s="129">
        <f t="shared" si="9"/>
        <v>6.9</v>
      </c>
      <c r="L33" s="19">
        <f t="shared" si="10"/>
        <v>8.9624567802491004</v>
      </c>
      <c r="M33" s="4">
        <f t="shared" si="3"/>
        <v>1.2989067797462464</v>
      </c>
      <c r="N33" s="160">
        <f t="shared" si="4"/>
        <v>0.80645161290322576</v>
      </c>
    </row>
    <row r="34" spans="1:14" x14ac:dyDescent="0.2">
      <c r="A34" s="49">
        <f t="shared" si="5"/>
        <v>2045</v>
      </c>
      <c r="B34" s="128">
        <f t="shared" si="6"/>
        <v>1.2</v>
      </c>
      <c r="C34" s="5">
        <f>((1-$N34)*(C$8/$L$8)+$N34*(B34/$K34))*'global path'!$C32</f>
        <v>1.8271801709349464</v>
      </c>
      <c r="D34" s="4">
        <f t="shared" si="0"/>
        <v>1.5226501424457888</v>
      </c>
      <c r="E34" s="128">
        <f t="shared" si="7"/>
        <v>4</v>
      </c>
      <c r="F34" s="5">
        <f>((1-$N34)*(F$8/$L$8)+$N34*(E34/$K34))*'global path'!$C32</f>
        <v>4.51963868973505</v>
      </c>
      <c r="G34" s="4">
        <f t="shared" si="1"/>
        <v>1.1299096724337625</v>
      </c>
      <c r="H34" s="128">
        <f t="shared" si="8"/>
        <v>1.7000000000000004</v>
      </c>
      <c r="I34" s="5">
        <f>((1-$N34)*(I$8/$L$8)+$N34*(H34/$K34))*'global path'!$C32</f>
        <v>1.7012296151123476</v>
      </c>
      <c r="J34" s="4">
        <f t="shared" si="2"/>
        <v>1.0007233030072631</v>
      </c>
      <c r="K34" s="129">
        <f t="shared" si="9"/>
        <v>6.9</v>
      </c>
      <c r="L34" s="19">
        <f t="shared" si="10"/>
        <v>8.0480484757823447</v>
      </c>
      <c r="M34" s="4">
        <f t="shared" si="3"/>
        <v>1.1663838370699049</v>
      </c>
      <c r="N34" s="160">
        <f t="shared" si="4"/>
        <v>0.83870967741935487</v>
      </c>
    </row>
    <row r="35" spans="1:14" x14ac:dyDescent="0.2">
      <c r="A35" s="49">
        <f t="shared" si="5"/>
        <v>2046</v>
      </c>
      <c r="B35" s="128">
        <f t="shared" si="6"/>
        <v>1.2</v>
      </c>
      <c r="C35" s="5">
        <f>((1-$N35)*(C$8/$L$8)+$N35*(B35/$K35))*'global path'!$C33</f>
        <v>1.5582645386498566</v>
      </c>
      <c r="D35" s="4">
        <f t="shared" si="0"/>
        <v>1.2985537822082138</v>
      </c>
      <c r="E35" s="128">
        <f t="shared" si="7"/>
        <v>4</v>
      </c>
      <c r="F35" s="5">
        <f>((1-$N35)*(F$8/$L$8)+$N35*(E35/$K35))*'global path'!$C33</f>
        <v>4.0697929850481938</v>
      </c>
      <c r="G35" s="4">
        <f t="shared" si="1"/>
        <v>1.0174482462620484</v>
      </c>
      <c r="H35" s="128">
        <f t="shared" si="8"/>
        <v>1.7000000000000004</v>
      </c>
      <c r="I35" s="5">
        <f>((1-$N35)*(I$8/$L$8)+$N35*(H35/$K35))*'global path'!$C33</f>
        <v>1.5724704102968761</v>
      </c>
      <c r="J35" s="4">
        <f t="shared" si="2"/>
        <v>0.9249825942922798</v>
      </c>
      <c r="K35" s="129">
        <f t="shared" si="9"/>
        <v>6.9</v>
      </c>
      <c r="L35" s="19">
        <f t="shared" si="10"/>
        <v>7.2005279339949269</v>
      </c>
      <c r="M35" s="4">
        <f t="shared" si="3"/>
        <v>1.043554773042743</v>
      </c>
      <c r="N35" s="160">
        <f t="shared" si="4"/>
        <v>0.87096774193548387</v>
      </c>
    </row>
    <row r="36" spans="1:14" x14ac:dyDescent="0.2">
      <c r="A36" s="49">
        <f t="shared" si="5"/>
        <v>2047</v>
      </c>
      <c r="B36" s="128">
        <f t="shared" si="6"/>
        <v>1.2</v>
      </c>
      <c r="C36" s="5">
        <f>((1-$N36)*(C$8/$L$8)+$N36*(B36/$K36))*'global path'!$C34</f>
        <v>1.3208620001053837</v>
      </c>
      <c r="D36" s="4">
        <f t="shared" si="0"/>
        <v>1.1007183334211532</v>
      </c>
      <c r="E36" s="128">
        <f t="shared" si="7"/>
        <v>4</v>
      </c>
      <c r="F36" s="5">
        <f>((1-$N36)*(F$8/$L$8)+$N36*(E36/$K36))*'global path'!$C34</f>
        <v>3.6511313336290407</v>
      </c>
      <c r="G36" s="4">
        <f t="shared" si="1"/>
        <v>0.91278283340726019</v>
      </c>
      <c r="H36" s="128">
        <f t="shared" si="8"/>
        <v>1.7000000000000004</v>
      </c>
      <c r="I36" s="5">
        <f>((1-$N36)*(I$8/$L$8)+$N36*(H36/$K36))*'global path'!$C34</f>
        <v>1.446639028352285</v>
      </c>
      <c r="J36" s="4">
        <f t="shared" si="2"/>
        <v>0.85096413432487328</v>
      </c>
      <c r="K36" s="129">
        <f t="shared" si="9"/>
        <v>6.9</v>
      </c>
      <c r="L36" s="19">
        <f t="shared" si="10"/>
        <v>6.4186323620867096</v>
      </c>
      <c r="M36" s="4">
        <f t="shared" si="3"/>
        <v>0.93023657421546513</v>
      </c>
      <c r="N36" s="160">
        <f t="shared" si="4"/>
        <v>0.90322580645161288</v>
      </c>
    </row>
    <row r="37" spans="1:14" x14ac:dyDescent="0.2">
      <c r="A37" s="49">
        <f t="shared" si="5"/>
        <v>2048</v>
      </c>
      <c r="B37" s="128">
        <f t="shared" si="6"/>
        <v>1.2</v>
      </c>
      <c r="C37" s="5">
        <f>((1-$N37)*(C$8/$L$8)+$N37*(B37/$K37))*'global path'!$C35</f>
        <v>1.1125335505609162</v>
      </c>
      <c r="D37" s="4">
        <f t="shared" si="0"/>
        <v>0.92711129213409682</v>
      </c>
      <c r="E37" s="128">
        <f t="shared" si="7"/>
        <v>4</v>
      </c>
      <c r="F37" s="5">
        <f>((1-$N37)*(F$8/$L$8)+$N37*(E37/$K37))*'global path'!$C35</f>
        <v>3.2633486061711601</v>
      </c>
      <c r="G37" s="4">
        <f t="shared" si="1"/>
        <v>0.81583715154279002</v>
      </c>
      <c r="H37" s="128">
        <f t="shared" si="8"/>
        <v>1.7000000000000004</v>
      </c>
      <c r="I37" s="5">
        <f>((1-$N37)*(I$8/$L$8)+$N37*(H37/$K37))*'global path'!$C35</f>
        <v>1.3246996903107859</v>
      </c>
      <c r="J37" s="4">
        <f t="shared" si="2"/>
        <v>0.77923511194752093</v>
      </c>
      <c r="K37" s="129">
        <f t="shared" si="9"/>
        <v>6.9</v>
      </c>
      <c r="L37" s="19">
        <f t="shared" si="10"/>
        <v>5.7005818470428622</v>
      </c>
      <c r="M37" s="4">
        <f t="shared" si="3"/>
        <v>0.82617128218012492</v>
      </c>
      <c r="N37" s="160">
        <f t="shared" si="4"/>
        <v>0.93548387096774188</v>
      </c>
    </row>
    <row r="38" spans="1:14" x14ac:dyDescent="0.2">
      <c r="A38" s="49">
        <f t="shared" si="5"/>
        <v>2049</v>
      </c>
      <c r="B38" s="128">
        <f t="shared" si="6"/>
        <v>1.2</v>
      </c>
      <c r="C38" s="5">
        <f>((1-$N38)*(C$8/$L$8)+$N38*(B38/$K38))*'global path'!$C36</f>
        <v>0.93083444478183575</v>
      </c>
      <c r="D38" s="4">
        <f t="shared" si="0"/>
        <v>0.77569537065152983</v>
      </c>
      <c r="E38" s="128">
        <f t="shared" si="7"/>
        <v>4</v>
      </c>
      <c r="F38" s="5">
        <f>((1-$N38)*(F$8/$L$8)+$N38*(E38/$K38))*'global path'!$C36</f>
        <v>2.9058598066722436</v>
      </c>
      <c r="G38" s="4">
        <f t="shared" si="1"/>
        <v>0.72646495166806091</v>
      </c>
      <c r="H38" s="128">
        <f t="shared" si="8"/>
        <v>1.7000000000000004</v>
      </c>
      <c r="I38" s="5">
        <f>((1-$N38)*(I$8/$L$8)+$N38*(H38/$K38))*'global path'!$C36</f>
        <v>1.2074612241695597</v>
      </c>
      <c r="J38" s="4">
        <f t="shared" si="2"/>
        <v>0.71027130833503493</v>
      </c>
      <c r="K38" s="129">
        <f t="shared" si="9"/>
        <v>6.9</v>
      </c>
      <c r="L38" s="19">
        <f t="shared" si="10"/>
        <v>5.0441554756236382</v>
      </c>
      <c r="M38" s="4">
        <f t="shared" si="3"/>
        <v>0.73103702545270111</v>
      </c>
      <c r="N38" s="160">
        <f t="shared" si="4"/>
        <v>0.967741935483871</v>
      </c>
    </row>
    <row r="39" spans="1:14" ht="13.5" thickBot="1" x14ac:dyDescent="0.25">
      <c r="A39" s="49">
        <f t="shared" si="5"/>
        <v>2050</v>
      </c>
      <c r="B39" s="139">
        <f>RF!B40</f>
        <v>1.2</v>
      </c>
      <c r="C39" s="5">
        <f>((1-$N39)*(C$8/$L$8)+$N39*(B39/$K39))*'global path'!$C37</f>
        <v>0.77335076918943702</v>
      </c>
      <c r="D39" s="140">
        <f t="shared" si="0"/>
        <v>0.64445897432453092</v>
      </c>
      <c r="E39" s="141">
        <f>RF!E40</f>
        <v>4</v>
      </c>
      <c r="F39" s="5">
        <f>((1-$N39)*(F$8/$L$8)+$N39*(E39/$K39))*'global path'!$C37</f>
        <v>2.5778358972981237</v>
      </c>
      <c r="G39" s="140">
        <f t="shared" si="1"/>
        <v>0.64445897432453092</v>
      </c>
      <c r="H39" s="149">
        <f>K39-E39-B39</f>
        <v>1.7000000000000004</v>
      </c>
      <c r="I39" s="5">
        <f>((1-$N39)*(I$8/$L$8)+$N39*(H39/$K39))*'global path'!$C37</f>
        <v>1.0955802563517028</v>
      </c>
      <c r="J39" s="140">
        <f t="shared" si="2"/>
        <v>0.64445897432453092</v>
      </c>
      <c r="K39" s="141">
        <f>RF!K40</f>
        <v>6.9</v>
      </c>
      <c r="L39" s="19">
        <f t="shared" si="10"/>
        <v>4.4467669228392639</v>
      </c>
      <c r="M39" s="4">
        <f t="shared" si="3"/>
        <v>0.64445897432453092</v>
      </c>
      <c r="N39" s="161">
        <f t="shared" si="4"/>
        <v>1</v>
      </c>
    </row>
    <row r="40" spans="1:14" ht="13.5" thickBot="1" x14ac:dyDescent="0.25">
      <c r="A40" s="143" t="s">
        <v>1</v>
      </c>
      <c r="B40" s="144"/>
      <c r="C40" s="145">
        <f>SUM(C9:C39)</f>
        <v>253.28991557053203</v>
      </c>
      <c r="D40" s="146"/>
      <c r="E40" s="144"/>
      <c r="F40" s="145">
        <f>SUM(F9:F39)</f>
        <v>333.27303582261447</v>
      </c>
      <c r="G40" s="146"/>
      <c r="H40" s="144"/>
      <c r="I40" s="145">
        <f>SUM(I9:I39)</f>
        <v>70.200694964696666</v>
      </c>
      <c r="J40" s="146"/>
      <c r="K40" s="144"/>
      <c r="L40" s="147">
        <f>SUM(L9:L39)</f>
        <v>656.76364635784307</v>
      </c>
      <c r="M40" s="148"/>
      <c r="N40" s="138"/>
    </row>
    <row r="41" spans="1:1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 x14ac:dyDescent="0.2">
      <c r="A42" s="7"/>
      <c r="B42" s="7"/>
      <c r="C42" s="7"/>
      <c r="D42" s="7"/>
      <c r="E42" s="7"/>
      <c r="F42" s="7"/>
      <c r="G42" s="7"/>
      <c r="H42" s="7"/>
      <c r="I42" s="7"/>
      <c r="J42" s="7" t="s">
        <v>41</v>
      </c>
      <c r="K42" s="114"/>
      <c r="L42" s="113">
        <f>'global path'!C89</f>
        <v>656.76364635784296</v>
      </c>
      <c r="M42" s="7"/>
      <c r="N42" s="7"/>
    </row>
    <row r="43" spans="1:14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113">
        <f>L40-L42</f>
        <v>0</v>
      </c>
      <c r="M43" s="7"/>
      <c r="N43" s="7"/>
    </row>
  </sheetData>
  <sheetProtection selectLockedCells="1"/>
  <mergeCells count="5">
    <mergeCell ref="B4:D4"/>
    <mergeCell ref="E4:G4"/>
    <mergeCell ref="H4:J4"/>
    <mergeCell ref="K4:N4"/>
    <mergeCell ref="F1:J1"/>
  </mergeCells>
  <conditionalFormatting sqref="L43">
    <cfRule type="cellIs" dxfId="55" priority="1" stopIfTrue="1" operator="equal">
      <formula>0</formula>
    </cfRule>
  </conditionalFormatting>
  <conditionalFormatting sqref="N8:N39">
    <cfRule type="expression" dxfId="54" priority="2" stopIfTrue="1">
      <formula>AND(N8=-100,N9=-100)</formula>
    </cfRule>
  </conditionalFormatting>
  <hyperlinks>
    <hyperlink ref="F1" r:id="rId1"/>
  </hyperlink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2"/>
  <headerFooter>
    <oddHeader>&amp;LRegensburger Modell</oddHeader>
    <oddFooter>&amp;LSargl/Wolfsteiner/Wittmann&amp;R&amp;18Anlage 1.3.1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00B0F0"/>
    <pageSetUpPr fitToPage="1"/>
  </sheetPr>
  <dimension ref="A1:AR56"/>
  <sheetViews>
    <sheetView zoomScale="110" zoomScaleNormal="110" workbookViewId="0"/>
  </sheetViews>
  <sheetFormatPr baseColWidth="10" defaultColWidth="11.7109375" defaultRowHeight="12.75" x14ac:dyDescent="0.2"/>
  <cols>
    <col min="1" max="1" width="6.42578125" style="3" customWidth="1"/>
    <col min="2" max="2" width="5.85546875" style="3" customWidth="1"/>
    <col min="3" max="3" width="4.42578125" style="3" bestFit="1" customWidth="1"/>
    <col min="4" max="4" width="5.42578125" style="3" bestFit="1" customWidth="1"/>
    <col min="5" max="5" width="4.42578125" style="3" customWidth="1"/>
    <col min="6" max="6" width="7.85546875" style="3" bestFit="1" customWidth="1"/>
    <col min="7" max="7" width="6.7109375" style="3" customWidth="1"/>
    <col min="8" max="8" width="8.42578125" style="3" customWidth="1"/>
    <col min="9" max="9" width="7.5703125" style="3" bestFit="1" customWidth="1"/>
    <col min="10" max="10" width="4.42578125" style="3" customWidth="1"/>
    <col min="11" max="11" width="6.42578125" style="3" customWidth="1"/>
    <col min="12" max="12" width="5.140625" style="3" customWidth="1"/>
    <col min="13" max="13" width="5.28515625" style="3" customWidth="1"/>
    <col min="14" max="14" width="7.28515625" style="3" bestFit="1" customWidth="1"/>
    <col min="15" max="15" width="4.42578125" style="3" customWidth="1"/>
    <col min="16" max="16" width="5.28515625" style="3" bestFit="1" customWidth="1"/>
    <col min="17" max="17" width="8.140625" style="3" bestFit="1" customWidth="1"/>
    <col min="18" max="18" width="3.7109375" style="3" customWidth="1"/>
    <col min="19" max="19" width="8.42578125" style="3" customWidth="1"/>
    <col min="20" max="20" width="5.140625" style="3" bestFit="1" customWidth="1"/>
    <col min="21" max="21" width="4.85546875" style="3" bestFit="1" customWidth="1"/>
    <col min="22" max="22" width="6" style="3" customWidth="1"/>
    <col min="23" max="23" width="6.7109375" style="3" customWidth="1"/>
    <col min="24" max="24" width="5.42578125" style="3" customWidth="1"/>
    <col min="25" max="25" width="7.28515625" style="3" bestFit="1" customWidth="1"/>
    <col min="26" max="26" width="6.42578125" style="3" customWidth="1"/>
    <col min="27" max="27" width="6.28515625" style="3" customWidth="1"/>
    <col min="28" max="28" width="7.42578125" style="3" bestFit="1" customWidth="1"/>
    <col min="29" max="29" width="6.7109375" style="3" customWidth="1"/>
    <col min="30" max="30" width="4.28515625" style="3" customWidth="1"/>
    <col min="31" max="36" width="8.42578125" style="1" bestFit="1" customWidth="1"/>
    <col min="37" max="37" width="8.42578125" style="3" bestFit="1" customWidth="1"/>
    <col min="38" max="44" width="8.42578125" style="1" bestFit="1" customWidth="1"/>
    <col min="45" max="45" width="8.42578125" style="3" bestFit="1" customWidth="1"/>
    <col min="46" max="16384" width="11.7109375" style="3"/>
  </cols>
  <sheetData>
    <row r="1" spans="1:44" ht="15.6" customHeight="1" x14ac:dyDescent="0.25">
      <c r="A1" s="51" t="s">
        <v>147</v>
      </c>
      <c r="G1" s="296"/>
      <c r="H1" s="7" t="s">
        <v>111</v>
      </c>
      <c r="I1" s="297"/>
      <c r="J1" s="297"/>
      <c r="K1" s="297"/>
      <c r="L1" s="297"/>
      <c r="M1" s="297"/>
      <c r="N1" s="297"/>
    </row>
    <row r="2" spans="1:44" ht="16.5" thickBot="1" x14ac:dyDescent="0.3">
      <c r="A2" s="1" t="s">
        <v>148</v>
      </c>
      <c r="V2" s="416" t="s">
        <v>102</v>
      </c>
      <c r="W2" s="169"/>
      <c r="X2" s="169"/>
      <c r="Y2" s="169"/>
      <c r="Z2" s="169"/>
    </row>
    <row r="3" spans="1:44" ht="19.5" thickBot="1" x14ac:dyDescent="0.4">
      <c r="A3" s="25" t="s">
        <v>31</v>
      </c>
      <c r="G3" s="743" t="s">
        <v>134</v>
      </c>
      <c r="H3" s="744"/>
      <c r="V3" s="417" t="s">
        <v>149</v>
      </c>
      <c r="W3" s="169" t="s">
        <v>110</v>
      </c>
      <c r="X3" s="169"/>
      <c r="Y3" s="305"/>
      <c r="Z3" s="305"/>
      <c r="AA3" s="206"/>
      <c r="AB3" s="206"/>
    </row>
    <row r="4" spans="1:44" ht="15.75" x14ac:dyDescent="0.25">
      <c r="A4" s="25"/>
      <c r="V4" s="169"/>
      <c r="W4" s="169"/>
      <c r="X4" s="169"/>
      <c r="Y4" s="169"/>
      <c r="Z4" s="169"/>
    </row>
    <row r="5" spans="1:44" ht="15.75" x14ac:dyDescent="0.25">
      <c r="A5" s="776" t="s">
        <v>29</v>
      </c>
      <c r="B5" s="777"/>
      <c r="C5" s="777"/>
      <c r="D5" s="777"/>
      <c r="E5" s="777"/>
      <c r="F5" s="777"/>
      <c r="G5" s="777"/>
      <c r="H5" s="777"/>
      <c r="I5" s="778"/>
      <c r="V5" s="418" t="s">
        <v>164</v>
      </c>
      <c r="W5" s="418"/>
      <c r="X5" s="418"/>
      <c r="Y5" s="419">
        <f>(1/(2050-2019))^2</f>
        <v>1.0405827263267429E-3</v>
      </c>
      <c r="Z5" s="169"/>
    </row>
    <row r="6" spans="1:44" ht="15.75" x14ac:dyDescent="0.25">
      <c r="A6" s="66"/>
      <c r="B6" s="52"/>
      <c r="C6" s="52"/>
      <c r="D6" s="35"/>
      <c r="E6" s="60"/>
      <c r="F6" s="67" t="s">
        <v>2</v>
      </c>
      <c r="G6" s="68" t="s">
        <v>3</v>
      </c>
      <c r="H6" s="69" t="s">
        <v>4</v>
      </c>
      <c r="I6" s="110" t="s">
        <v>28</v>
      </c>
      <c r="V6" s="418" t="s">
        <v>165</v>
      </c>
      <c r="W6" s="418"/>
      <c r="X6" s="418"/>
      <c r="Y6" s="419">
        <f>-(1/(2050-2019))^2+2/(2050-2019)</f>
        <v>6.555671175858481E-2</v>
      </c>
      <c r="Z6" s="169"/>
    </row>
    <row r="7" spans="1:44" s="43" customFormat="1" ht="15.75" x14ac:dyDescent="0.25">
      <c r="A7" s="92" t="s">
        <v>14</v>
      </c>
      <c r="B7" s="34"/>
      <c r="C7" s="34"/>
      <c r="D7" s="43" t="s">
        <v>24</v>
      </c>
      <c r="F7" s="73">
        <v>0</v>
      </c>
      <c r="G7" s="74">
        <v>0</v>
      </c>
      <c r="H7" s="75">
        <v>1</v>
      </c>
      <c r="I7" s="111">
        <v>0</v>
      </c>
      <c r="V7" s="169" t="s">
        <v>145</v>
      </c>
      <c r="W7" s="169"/>
      <c r="X7" s="169"/>
      <c r="Y7" s="420">
        <f>1/(2050-2019)</f>
        <v>3.2258064516129031E-2</v>
      </c>
      <c r="Z7" s="418"/>
      <c r="AE7" s="10"/>
      <c r="AF7" s="10"/>
      <c r="AG7" s="10"/>
      <c r="AH7" s="10"/>
      <c r="AI7" s="10"/>
      <c r="AJ7" s="10"/>
      <c r="AL7" s="10"/>
      <c r="AM7" s="10"/>
      <c r="AN7" s="10"/>
      <c r="AO7" s="10"/>
      <c r="AP7" s="10"/>
      <c r="AQ7" s="10"/>
      <c r="AR7" s="10"/>
    </row>
    <row r="8" spans="1:44" s="43" customFormat="1" ht="15.75" x14ac:dyDescent="0.25">
      <c r="A8" s="76" t="s">
        <v>15</v>
      </c>
      <c r="B8" s="52"/>
      <c r="C8" s="52"/>
      <c r="D8" s="43" t="s">
        <v>25</v>
      </c>
      <c r="F8" s="77">
        <f>31^2</f>
        <v>961</v>
      </c>
      <c r="G8" s="78">
        <v>31</v>
      </c>
      <c r="H8" s="79">
        <v>1</v>
      </c>
      <c r="I8" s="112">
        <v>1</v>
      </c>
      <c r="V8" s="421" t="s">
        <v>146</v>
      </c>
      <c r="W8" s="421"/>
      <c r="X8" s="421"/>
      <c r="Y8" s="422">
        <v>0.04</v>
      </c>
      <c r="Z8" s="418"/>
      <c r="AE8" s="10"/>
      <c r="AF8" s="10"/>
      <c r="AG8" s="10"/>
      <c r="AH8" s="10"/>
      <c r="AI8" s="10"/>
      <c r="AJ8" s="10"/>
      <c r="AL8" s="10"/>
      <c r="AM8" s="10"/>
      <c r="AN8" s="10"/>
      <c r="AO8" s="10"/>
      <c r="AP8" s="10"/>
      <c r="AQ8" s="10"/>
      <c r="AR8" s="10"/>
    </row>
    <row r="9" spans="1:44" s="43" customFormat="1" ht="15.75" x14ac:dyDescent="0.25">
      <c r="A9" s="40" t="s">
        <v>16</v>
      </c>
      <c r="B9" s="41"/>
      <c r="C9" s="41"/>
      <c r="D9" s="41" t="s">
        <v>26</v>
      </c>
      <c r="E9" s="93"/>
      <c r="F9" s="70">
        <v>1</v>
      </c>
      <c r="G9" s="71">
        <v>1</v>
      </c>
      <c r="H9" s="72">
        <v>1</v>
      </c>
      <c r="I9" s="415">
        <f>Y9</f>
        <v>0.04</v>
      </c>
      <c r="J9" s="65"/>
      <c r="V9" s="775" t="s">
        <v>146</v>
      </c>
      <c r="W9" s="775"/>
      <c r="X9" s="775"/>
      <c r="Y9" s="419">
        <f>VLOOKUP(V9,V5:Y8,4,FALSE)</f>
        <v>0.04</v>
      </c>
      <c r="Z9" s="418"/>
      <c r="AE9" s="10"/>
      <c r="AF9" s="10"/>
      <c r="AG9" s="10"/>
      <c r="AH9" s="10"/>
      <c r="AI9" s="10"/>
      <c r="AJ9" s="10"/>
      <c r="AL9" s="10"/>
      <c r="AM9" s="10"/>
      <c r="AN9" s="10"/>
      <c r="AO9" s="10"/>
      <c r="AP9" s="10"/>
      <c r="AQ9" s="10"/>
      <c r="AR9" s="10"/>
    </row>
    <row r="10" spans="1:44" x14ac:dyDescent="0.2">
      <c r="A10" s="36"/>
      <c r="B10" s="11"/>
      <c r="C10" s="11"/>
      <c r="D10" s="11"/>
      <c r="E10" s="97"/>
      <c r="F10" s="37"/>
      <c r="G10" s="38"/>
      <c r="H10" s="39"/>
      <c r="I10" s="39"/>
    </row>
    <row r="11" spans="1:44" s="43" customFormat="1" x14ac:dyDescent="0.25">
      <c r="A11" s="92" t="s">
        <v>17</v>
      </c>
      <c r="B11" s="34"/>
      <c r="C11" s="34"/>
      <c r="D11" s="34"/>
      <c r="E11" s="98"/>
      <c r="F11" s="73">
        <f t="array" ref="F11:I13">MMULT(MINVERSE(F7:H9),F7:I9)</f>
        <v>1</v>
      </c>
      <c r="G11" s="74">
        <v>6.9388939039072284E-18</v>
      </c>
      <c r="H11" s="75">
        <v>0</v>
      </c>
      <c r="I11" s="75">
        <v>-2.58064516129032E-4</v>
      </c>
      <c r="AE11" s="10"/>
      <c r="AF11" s="10"/>
      <c r="AG11" s="10"/>
      <c r="AH11" s="10"/>
      <c r="AI11" s="10"/>
      <c r="AJ11" s="10"/>
      <c r="AL11" s="10"/>
      <c r="AM11" s="10"/>
      <c r="AN11" s="10"/>
      <c r="AO11" s="10"/>
      <c r="AP11" s="10"/>
      <c r="AQ11" s="10"/>
      <c r="AR11" s="10"/>
    </row>
    <row r="12" spans="1:44" s="43" customFormat="1" x14ac:dyDescent="0.2">
      <c r="A12" s="76" t="s">
        <v>18</v>
      </c>
      <c r="B12" s="52"/>
      <c r="C12" s="52"/>
      <c r="D12" s="52"/>
      <c r="E12" s="94"/>
      <c r="F12" s="77">
        <v>-2.2204460492503131E-16</v>
      </c>
      <c r="G12" s="78">
        <v>0.99999999999999989</v>
      </c>
      <c r="H12" s="79">
        <v>0</v>
      </c>
      <c r="I12" s="79">
        <v>4.0258064516129025E-2</v>
      </c>
      <c r="L12" s="3"/>
      <c r="M12" s="3"/>
      <c r="N12" s="3"/>
      <c r="O12" s="3"/>
      <c r="P12" s="3"/>
      <c r="Q12" s="3"/>
      <c r="R12" s="3"/>
      <c r="S12" s="3"/>
      <c r="AE12" s="10"/>
      <c r="AF12" s="10"/>
      <c r="AG12" s="10"/>
      <c r="AH12" s="10"/>
      <c r="AI12" s="10"/>
      <c r="AJ12" s="10"/>
      <c r="AL12" s="10"/>
      <c r="AM12" s="10"/>
      <c r="AN12" s="10"/>
      <c r="AO12" s="10"/>
      <c r="AP12" s="10"/>
      <c r="AQ12" s="10"/>
      <c r="AR12" s="10"/>
    </row>
    <row r="13" spans="1:44" s="43" customFormat="1" x14ac:dyDescent="0.25">
      <c r="A13" s="80" t="s">
        <v>19</v>
      </c>
      <c r="B13" s="81"/>
      <c r="C13" s="81"/>
      <c r="D13" s="81"/>
      <c r="E13" s="82"/>
      <c r="F13" s="83">
        <v>0</v>
      </c>
      <c r="G13" s="84">
        <v>0</v>
      </c>
      <c r="H13" s="85">
        <v>1</v>
      </c>
      <c r="I13" s="85">
        <v>0</v>
      </c>
      <c r="AE13" s="10"/>
      <c r="AF13" s="10"/>
      <c r="AG13" s="10"/>
      <c r="AH13" s="10"/>
      <c r="AI13" s="10"/>
      <c r="AJ13" s="10"/>
      <c r="AL13" s="10"/>
      <c r="AM13" s="10"/>
      <c r="AN13" s="10"/>
      <c r="AO13" s="10"/>
      <c r="AP13" s="10"/>
      <c r="AQ13" s="10"/>
      <c r="AR13" s="10"/>
    </row>
    <row r="14" spans="1:44" x14ac:dyDescent="0.2">
      <c r="A14" s="95"/>
      <c r="B14" s="21"/>
      <c r="C14" s="21"/>
      <c r="D14" s="22"/>
      <c r="E14" s="96"/>
      <c r="F14" s="27"/>
      <c r="G14" s="24"/>
      <c r="H14" s="26"/>
      <c r="I14" s="26"/>
    </row>
    <row r="15" spans="1:44" x14ac:dyDescent="0.2">
      <c r="A15" s="40" t="s">
        <v>144</v>
      </c>
      <c r="B15" s="41"/>
      <c r="C15" s="41"/>
      <c r="D15" s="22"/>
      <c r="E15" s="61"/>
      <c r="F15" s="64">
        <f>I11</f>
        <v>-2.58064516129032E-4</v>
      </c>
      <c r="G15" s="62">
        <f>I12</f>
        <v>4.0258064516129025E-2</v>
      </c>
      <c r="H15" s="63">
        <f>I13</f>
        <v>0</v>
      </c>
      <c r="I15" s="42"/>
      <c r="K15" s="12"/>
    </row>
    <row r="16" spans="1:44" ht="13.5" thickBot="1" x14ac:dyDescent="0.25">
      <c r="B16" s="11"/>
      <c r="C16" s="11"/>
      <c r="D16" s="11"/>
      <c r="E16" s="11"/>
      <c r="F16" s="11"/>
      <c r="G16" s="59"/>
      <c r="H16" s="59"/>
      <c r="I16" s="59"/>
      <c r="J16" s="59"/>
      <c r="K16" s="59"/>
      <c r="L16" s="59"/>
      <c r="M16" s="59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AE16" s="58"/>
      <c r="AF16" s="28"/>
      <c r="AL16" s="28"/>
      <c r="AM16" s="28"/>
      <c r="AN16" s="28"/>
    </row>
    <row r="17" spans="1:44" s="7" customFormat="1" ht="16.5" thickBot="1" x14ac:dyDescent="0.25">
      <c r="A17" s="6"/>
      <c r="B17" s="754" t="s">
        <v>7</v>
      </c>
      <c r="C17" s="755"/>
      <c r="D17" s="755"/>
      <c r="E17" s="756" t="s">
        <v>8</v>
      </c>
      <c r="F17" s="757"/>
      <c r="G17" s="757"/>
      <c r="H17" s="758" t="s">
        <v>9</v>
      </c>
      <c r="I17" s="759"/>
      <c r="J17" s="759"/>
      <c r="K17" s="751" t="s">
        <v>5</v>
      </c>
      <c r="L17" s="752"/>
      <c r="M17" s="752"/>
      <c r="N17" s="753"/>
      <c r="AE17" s="1"/>
      <c r="AF17" s="1"/>
      <c r="AG17" s="1"/>
      <c r="AH17" s="1"/>
      <c r="AI17" s="1"/>
      <c r="AJ17" s="1"/>
      <c r="AL17" s="1"/>
      <c r="AM17" s="1"/>
      <c r="AN17" s="1"/>
      <c r="AO17" s="1"/>
      <c r="AP17" s="1"/>
      <c r="AQ17" s="1"/>
      <c r="AR17" s="1"/>
    </row>
    <row r="18" spans="1:44" s="7" customFormat="1" ht="13.5" thickBot="1" x14ac:dyDescent="0.25">
      <c r="A18" s="44"/>
      <c r="B18" s="87"/>
      <c r="C18" s="88"/>
      <c r="D18" s="90"/>
      <c r="E18" s="87"/>
      <c r="F18" s="88"/>
      <c r="G18" s="90"/>
      <c r="H18" s="87"/>
      <c r="I18" s="88"/>
      <c r="J18" s="90"/>
      <c r="K18" s="87"/>
      <c r="L18" s="89"/>
      <c r="M18" s="90"/>
      <c r="N18" s="125"/>
      <c r="AE18" s="1"/>
      <c r="AF18" s="1"/>
      <c r="AG18" s="1"/>
      <c r="AH18" s="1"/>
      <c r="AI18" s="1"/>
      <c r="AJ18" s="1"/>
      <c r="AL18" s="1"/>
      <c r="AM18" s="1"/>
      <c r="AN18" s="1"/>
      <c r="AO18" s="1"/>
      <c r="AP18" s="1"/>
      <c r="AQ18" s="1"/>
      <c r="AR18" s="1"/>
    </row>
    <row r="19" spans="1:44" s="7" customFormat="1" ht="46.5" x14ac:dyDescent="0.25">
      <c r="A19" s="46" t="s">
        <v>10</v>
      </c>
      <c r="B19" s="126" t="s">
        <v>13</v>
      </c>
      <c r="C19" s="20" t="s">
        <v>12</v>
      </c>
      <c r="D19" s="14" t="s">
        <v>11</v>
      </c>
      <c r="E19" s="13" t="s">
        <v>13</v>
      </c>
      <c r="F19" s="20" t="s">
        <v>12</v>
      </c>
      <c r="G19" s="14" t="s">
        <v>11</v>
      </c>
      <c r="H19" s="13" t="s">
        <v>13</v>
      </c>
      <c r="I19" s="20" t="s">
        <v>12</v>
      </c>
      <c r="J19" s="14" t="s">
        <v>11</v>
      </c>
      <c r="K19" s="13" t="s">
        <v>22</v>
      </c>
      <c r="L19" s="20" t="s">
        <v>23</v>
      </c>
      <c r="M19" s="14" t="s">
        <v>11</v>
      </c>
      <c r="N19" s="91" t="s">
        <v>30</v>
      </c>
      <c r="AE19" s="1"/>
      <c r="AF19" s="1"/>
      <c r="AG19" s="1"/>
      <c r="AH19" s="1"/>
      <c r="AI19" s="1"/>
      <c r="AJ19" s="1"/>
      <c r="AL19" s="1"/>
      <c r="AM19" s="1"/>
      <c r="AN19" s="1"/>
      <c r="AO19" s="1"/>
      <c r="AP19" s="1"/>
      <c r="AQ19" s="1"/>
      <c r="AR19" s="1"/>
    </row>
    <row r="20" spans="1:44" s="7" customFormat="1" x14ac:dyDescent="0.2">
      <c r="A20" s="47"/>
      <c r="B20" s="127" t="s">
        <v>6</v>
      </c>
      <c r="C20" s="108" t="s">
        <v>21</v>
      </c>
      <c r="D20" s="30" t="s">
        <v>0</v>
      </c>
      <c r="E20" s="109" t="s">
        <v>6</v>
      </c>
      <c r="F20" s="108" t="s">
        <v>21</v>
      </c>
      <c r="G20" s="30" t="s">
        <v>0</v>
      </c>
      <c r="H20" s="109" t="s">
        <v>6</v>
      </c>
      <c r="I20" s="108" t="s">
        <v>21</v>
      </c>
      <c r="J20" s="30" t="s">
        <v>0</v>
      </c>
      <c r="K20" s="29" t="s">
        <v>6</v>
      </c>
      <c r="L20" s="108" t="s">
        <v>21</v>
      </c>
      <c r="M20" s="30" t="s">
        <v>0</v>
      </c>
      <c r="N20" s="33"/>
      <c r="AE20" s="1"/>
      <c r="AF20" s="1"/>
      <c r="AG20" s="1"/>
      <c r="AH20" s="1"/>
      <c r="AI20" s="1"/>
      <c r="AJ20" s="1"/>
      <c r="AL20" s="1"/>
      <c r="AM20" s="1"/>
      <c r="AN20" s="1"/>
      <c r="AO20" s="1"/>
      <c r="AP20" s="1"/>
      <c r="AQ20" s="1"/>
      <c r="AR20" s="1"/>
    </row>
    <row r="21" spans="1:44" s="7" customFormat="1" x14ac:dyDescent="0.2">
      <c r="A21" s="48">
        <v>2019</v>
      </c>
      <c r="B21" s="131">
        <f>RF!B9</f>
        <v>1.2</v>
      </c>
      <c r="C21" s="132">
        <f>RF!C9</f>
        <v>21</v>
      </c>
      <c r="D21" s="130">
        <f>C21/B21</f>
        <v>17.5</v>
      </c>
      <c r="E21" s="133">
        <f>RF!E9</f>
        <v>4</v>
      </c>
      <c r="F21" s="132">
        <f>RF!F9</f>
        <v>19.5</v>
      </c>
      <c r="G21" s="130">
        <f>F21/E21</f>
        <v>4.875</v>
      </c>
      <c r="H21" s="137">
        <f>K21-E21-B21</f>
        <v>1.7000000000000004</v>
      </c>
      <c r="I21" s="117">
        <f>'global path'!$C$6-C21-F21</f>
        <v>1.2277171013052595</v>
      </c>
      <c r="J21" s="130">
        <f>I21/H21</f>
        <v>0.72218653017956425</v>
      </c>
      <c r="K21" s="133">
        <f>RF!K9</f>
        <v>6.9</v>
      </c>
      <c r="L21" s="32">
        <f>I21+F21+C21</f>
        <v>41.727717101305259</v>
      </c>
      <c r="M21" s="31">
        <f>L21/K21</f>
        <v>6.047495232073226</v>
      </c>
      <c r="N21" s="660">
        <f>$F$15*(A21-2019)^2+$G$15*(A21-2019)+$H$15</f>
        <v>0</v>
      </c>
      <c r="Q21" s="57"/>
      <c r="AE21" s="1"/>
      <c r="AF21" s="1"/>
      <c r="AG21" s="1"/>
      <c r="AH21" s="1"/>
      <c r="AI21" s="1"/>
      <c r="AJ21" s="1"/>
      <c r="AL21" s="1"/>
      <c r="AM21" s="1"/>
      <c r="AN21" s="1"/>
      <c r="AO21" s="1"/>
      <c r="AP21" s="1"/>
      <c r="AQ21" s="1"/>
      <c r="AR21" s="1"/>
    </row>
    <row r="22" spans="1:44" x14ac:dyDescent="0.2">
      <c r="A22" s="49">
        <f>A21+1</f>
        <v>2020</v>
      </c>
      <c r="B22" s="128">
        <f>B$21*(B$52/B$21)^(($A22-2019)/31)</f>
        <v>1.2</v>
      </c>
      <c r="C22" s="5">
        <f>((1-$N22)*(C$21/$L$21)+$N22*(B22/$K22))*'global path'!$C7</f>
        <v>20.041274175716723</v>
      </c>
      <c r="D22" s="4">
        <f t="shared" ref="D22:D52" si="0">C22/B22</f>
        <v>16.701061813097269</v>
      </c>
      <c r="E22" s="128">
        <f>E$21*(E$52/E$21)^(($A22-2019)/31)</f>
        <v>4</v>
      </c>
      <c r="F22" s="5">
        <f>((1-$N22)*(F$21/$L$21)+$N22*(E22/$K22))*'global path'!$C7</f>
        <v>19.293847252389082</v>
      </c>
      <c r="G22" s="4">
        <f t="shared" ref="G22:G52" si="1">F22/E22</f>
        <v>4.8234618130972704</v>
      </c>
      <c r="H22" s="128">
        <f>H$21*(H$52/H$21)^(($A22-2019)/31)</f>
        <v>1.7000000000000004</v>
      </c>
      <c r="I22" s="5">
        <f>((1-$N22)*(I$21/$L$21)+$N22*(H22/$K22))*'global path'!$C7</f>
        <v>1.5580413311733476</v>
      </c>
      <c r="J22" s="4">
        <f t="shared" ref="J22:J52" si="2">I22/H22</f>
        <v>0.91649490069020423</v>
      </c>
      <c r="K22" s="129">
        <f>B22+E22+H22</f>
        <v>6.9</v>
      </c>
      <c r="L22" s="19">
        <f>I22+F22+C22</f>
        <v>40.89316275927915</v>
      </c>
      <c r="M22" s="4">
        <f t="shared" ref="M22:M52" si="3">L22/K22</f>
        <v>5.9265453274317608</v>
      </c>
      <c r="N22" s="663">
        <f t="shared" ref="N22:N52" si="4">$F$15*(A22-2019)^2+$G$15*(A22-2019)+$H$15</f>
        <v>3.9999999999999994E-2</v>
      </c>
      <c r="Q22" s="57"/>
    </row>
    <row r="23" spans="1:44" x14ac:dyDescent="0.2">
      <c r="A23" s="49">
        <f t="shared" ref="A23:A52" si="5">A22+1</f>
        <v>2021</v>
      </c>
      <c r="B23" s="128">
        <f t="shared" ref="B23:B51" si="6">B$21*(B$52/B$21)^(($A23-2019)/31)</f>
        <v>1.2</v>
      </c>
      <c r="C23" s="5">
        <f>((1-$N23)*(C$21/$L$21)+$N23*(B23/$K23))*'global path'!C8</f>
        <v>19.055297802323075</v>
      </c>
      <c r="D23" s="4">
        <f t="shared" si="0"/>
        <v>15.87941483526923</v>
      </c>
      <c r="E23" s="128">
        <f t="shared" ref="E23:E51" si="7">E$21*(E$52/E$21)^(($A23-2019)/31)</f>
        <v>4</v>
      </c>
      <c r="F23" s="5">
        <f>((1-$N23)*(F$21/$L$21)+$N23*(E23/$K23))*'global path'!$C8</f>
        <v>19.021916117536371</v>
      </c>
      <c r="G23" s="4">
        <f t="shared" si="1"/>
        <v>4.7554790293840927</v>
      </c>
      <c r="H23" s="128">
        <f t="shared" ref="H23:H51" si="8">H$21*(H$52/H$21)^(($A23-2019)/31)</f>
        <v>1.7000000000000004</v>
      </c>
      <c r="I23" s="5">
        <f>((1-$N23)*(I$21/$L$21)+$N23*(H23/$K23))*'global path'!$C8</f>
        <v>1.8639126257101084</v>
      </c>
      <c r="J23" s="4">
        <f t="shared" si="2"/>
        <v>1.0964191915941812</v>
      </c>
      <c r="K23" s="129">
        <f t="shared" ref="K23:K51" si="9">B23+E23+H23</f>
        <v>6.9</v>
      </c>
      <c r="L23" s="19">
        <f t="shared" ref="L23:L52" si="10">I23+F23+C23</f>
        <v>39.941126545569553</v>
      </c>
      <c r="M23" s="4">
        <f t="shared" si="3"/>
        <v>5.788569064575297</v>
      </c>
      <c r="N23" s="368">
        <f t="shared" si="4"/>
        <v>7.9483870967741926E-2</v>
      </c>
      <c r="Q23" s="57"/>
    </row>
    <row r="24" spans="1:44" x14ac:dyDescent="0.2">
      <c r="A24" s="49">
        <f t="shared" si="5"/>
        <v>2022</v>
      </c>
      <c r="B24" s="128">
        <f t="shared" si="6"/>
        <v>1.2</v>
      </c>
      <c r="C24" s="5">
        <f>((1-$N24)*(C$21/$L$21)+$N24*(B24/$K24))*'global path'!C9</f>
        <v>18.05015974982587</v>
      </c>
      <c r="D24" s="4">
        <f t="shared" si="0"/>
        <v>15.041799791521559</v>
      </c>
      <c r="E24" s="128">
        <f t="shared" si="7"/>
        <v>4</v>
      </c>
      <c r="F24" s="5">
        <f>((1-$N24)*(F$21/$L$21)+$N24*(E24/$K24))*'global path'!$C9</f>
        <v>18.686940173094314</v>
      </c>
      <c r="G24" s="4">
        <f t="shared" si="1"/>
        <v>4.6717350432735785</v>
      </c>
      <c r="H24" s="128">
        <f t="shared" si="8"/>
        <v>1.7000000000000004</v>
      </c>
      <c r="I24" s="5">
        <f>((1-$N24)*(I$21/$L$21)+$N24*(H24/$K24))*'global path'!$C9</f>
        <v>2.1431055523343301</v>
      </c>
      <c r="J24" s="4">
        <f t="shared" si="2"/>
        <v>1.2606503249025469</v>
      </c>
      <c r="K24" s="129">
        <f t="shared" si="9"/>
        <v>6.9</v>
      </c>
      <c r="L24" s="19">
        <f t="shared" si="10"/>
        <v>38.880205475254513</v>
      </c>
      <c r="M24" s="4">
        <f t="shared" si="3"/>
        <v>5.6348123877180454</v>
      </c>
      <c r="N24" s="368">
        <f t="shared" si="4"/>
        <v>0.11845161290322578</v>
      </c>
      <c r="Q24" s="57"/>
    </row>
    <row r="25" spans="1:44" x14ac:dyDescent="0.2">
      <c r="A25" s="49">
        <f t="shared" si="5"/>
        <v>2023</v>
      </c>
      <c r="B25" s="128">
        <f t="shared" si="6"/>
        <v>1.2</v>
      </c>
      <c r="C25" s="5">
        <f>((1-$N25)*(C$21/$L$21)+$N25*(B25/$K25))*'global path'!C10</f>
        <v>17.033799927453945</v>
      </c>
      <c r="D25" s="4">
        <f t="shared" si="0"/>
        <v>14.194833272878288</v>
      </c>
      <c r="E25" s="128">
        <f t="shared" si="7"/>
        <v>4</v>
      </c>
      <c r="F25" s="5">
        <f>((1-$N25)*(F$21/$L$21)+$N25*(E25/$K25))*'global path'!$C10</f>
        <v>18.292278879193869</v>
      </c>
      <c r="G25" s="4">
        <f t="shared" si="1"/>
        <v>4.5730697197984673</v>
      </c>
      <c r="H25" s="128">
        <f t="shared" si="8"/>
        <v>1.7000000000000004</v>
      </c>
      <c r="I25" s="5">
        <f>((1-$N25)*(I$21/$L$21)+$N25*(H25/$K25))*'global path'!$C10</f>
        <v>2.3938175900085046</v>
      </c>
      <c r="J25" s="4">
        <f t="shared" si="2"/>
        <v>1.4081279941226494</v>
      </c>
      <c r="K25" s="129">
        <f t="shared" si="9"/>
        <v>6.9</v>
      </c>
      <c r="L25" s="19">
        <f t="shared" si="10"/>
        <v>37.719896396656324</v>
      </c>
      <c r="M25" s="4">
        <f t="shared" si="3"/>
        <v>5.4666516516893218</v>
      </c>
      <c r="N25" s="368">
        <f t="shared" si="4"/>
        <v>0.15690322580645158</v>
      </c>
      <c r="Q25" s="57"/>
    </row>
    <row r="26" spans="1:44" x14ac:dyDescent="0.2">
      <c r="A26" s="49">
        <f t="shared" si="5"/>
        <v>2024</v>
      </c>
      <c r="B26" s="128">
        <f t="shared" si="6"/>
        <v>1.2</v>
      </c>
      <c r="C26" s="5">
        <f>((1-$N26)*(C$21/$L$21)+$N26*(B26/$K26))*'global path'!C11</f>
        <v>16.013905054474272</v>
      </c>
      <c r="D26" s="4">
        <f t="shared" si="0"/>
        <v>13.34492087872856</v>
      </c>
      <c r="E26" s="128">
        <f t="shared" si="7"/>
        <v>4</v>
      </c>
      <c r="F26" s="5">
        <f>((1-$N26)*(F$21/$L$21)+$N26*(E26/$K26))*'global path'!$C11</f>
        <v>17.841861995267184</v>
      </c>
      <c r="G26" s="4">
        <f t="shared" si="1"/>
        <v>4.460465498816796</v>
      </c>
      <c r="H26" s="128">
        <f t="shared" si="8"/>
        <v>1.7000000000000004</v>
      </c>
      <c r="I26" s="5">
        <f>((1-$N26)*(I$21/$L$21)+$N26*(H26/$K26))*'global path'!$C11</f>
        <v>2.6146863059832035</v>
      </c>
      <c r="J26" s="4">
        <f t="shared" si="2"/>
        <v>1.5380507682254134</v>
      </c>
      <c r="K26" s="129">
        <f t="shared" si="9"/>
        <v>6.9</v>
      </c>
      <c r="L26" s="19">
        <f t="shared" si="10"/>
        <v>36.470453355724658</v>
      </c>
      <c r="M26" s="4">
        <f t="shared" si="3"/>
        <v>5.2855729501050224</v>
      </c>
      <c r="N26" s="368">
        <f t="shared" si="4"/>
        <v>0.19483870967741931</v>
      </c>
      <c r="Q26" s="57"/>
    </row>
    <row r="27" spans="1:44" x14ac:dyDescent="0.2">
      <c r="A27" s="49">
        <f t="shared" si="5"/>
        <v>2025</v>
      </c>
      <c r="B27" s="128">
        <f t="shared" si="6"/>
        <v>1.2</v>
      </c>
      <c r="C27" s="5">
        <f>((1-$N27)*(C$21/$L$21)+$N27*(B27/$K27))*'global path'!C12</f>
        <v>14.997813188599956</v>
      </c>
      <c r="D27" s="4">
        <f t="shared" si="0"/>
        <v>12.498177657166631</v>
      </c>
      <c r="E27" s="128">
        <f t="shared" si="7"/>
        <v>4</v>
      </c>
      <c r="F27" s="5">
        <f>((1-$N27)*(F$21/$L$21)+$N27*(E27/$K27))*'global path'!$C12</f>
        <v>17.340124892839</v>
      </c>
      <c r="G27" s="4">
        <f t="shared" si="1"/>
        <v>4.3350312232097501</v>
      </c>
      <c r="H27" s="128">
        <f t="shared" si="8"/>
        <v>1.7000000000000004</v>
      </c>
      <c r="I27" s="5">
        <f>((1-$N27)*(I$21/$L$21)+$N27*(H27/$K27))*'global path'!$C12</f>
        <v>2.8047973096356049</v>
      </c>
      <c r="J27" s="4">
        <f t="shared" si="2"/>
        <v>1.6498807703738849</v>
      </c>
      <c r="K27" s="129">
        <f t="shared" si="9"/>
        <v>6.9</v>
      </c>
      <c r="L27" s="19">
        <f t="shared" si="10"/>
        <v>35.142735391074559</v>
      </c>
      <c r="M27" s="4">
        <f t="shared" si="3"/>
        <v>5.0931500566774721</v>
      </c>
      <c r="N27" s="368">
        <f t="shared" si="4"/>
        <v>0.23225806451612899</v>
      </c>
      <c r="Q27" s="57"/>
      <c r="S27" s="136"/>
      <c r="T27" s="135"/>
    </row>
    <row r="28" spans="1:44" x14ac:dyDescent="0.2">
      <c r="A28" s="49">
        <f t="shared" si="5"/>
        <v>2026</v>
      </c>
      <c r="B28" s="128">
        <f t="shared" si="6"/>
        <v>1.2</v>
      </c>
      <c r="C28" s="5">
        <f>((1-$N28)*(C$21/$L$21)+$N28*(B28/$K28))*'global path'!C13</f>
        <v>13.992428638651971</v>
      </c>
      <c r="D28" s="4">
        <f t="shared" si="0"/>
        <v>11.660357198876643</v>
      </c>
      <c r="E28" s="128">
        <f t="shared" si="7"/>
        <v>4</v>
      </c>
      <c r="F28" s="5">
        <f>((1-$N28)*(F$21/$L$21)+$N28*(E28/$K28))*'global path'!$C13</f>
        <v>16.791936246330899</v>
      </c>
      <c r="G28" s="4">
        <f t="shared" si="1"/>
        <v>4.1979840615827246</v>
      </c>
      <c r="H28" s="128">
        <f t="shared" si="8"/>
        <v>1.7000000000000004</v>
      </c>
      <c r="I28" s="5">
        <f>((1-$N28)*(I$21/$L$21)+$N28*(H28/$K28))*'global path'!$C13</f>
        <v>2.963683062445357</v>
      </c>
      <c r="J28" s="4">
        <f t="shared" si="2"/>
        <v>1.743342977909033</v>
      </c>
      <c r="K28" s="129">
        <f t="shared" si="9"/>
        <v>6.9</v>
      </c>
      <c r="L28" s="19">
        <f t="shared" si="10"/>
        <v>33.748047947428226</v>
      </c>
      <c r="M28" s="4">
        <f t="shared" si="3"/>
        <v>4.8910214416562647</v>
      </c>
      <c r="N28" s="368">
        <f t="shared" si="4"/>
        <v>0.26916129032258063</v>
      </c>
      <c r="Q28" s="57"/>
    </row>
    <row r="29" spans="1:44" x14ac:dyDescent="0.2">
      <c r="A29" s="49">
        <f t="shared" si="5"/>
        <v>2027</v>
      </c>
      <c r="B29" s="128">
        <f t="shared" si="6"/>
        <v>1.2</v>
      </c>
      <c r="C29" s="5">
        <f>((1-$N29)*(C$21/$L$21)+$N29*(B29/$K29))*'global path'!C14</f>
        <v>13.00414857031577</v>
      </c>
      <c r="D29" s="4">
        <f t="shared" si="0"/>
        <v>10.836790475263143</v>
      </c>
      <c r="E29" s="128">
        <f t="shared" si="7"/>
        <v>4</v>
      </c>
      <c r="F29" s="5">
        <f>((1-$N29)*(F$21/$L$21)+$N29*(E29/$K29))*'global path'!$C14</f>
        <v>16.202519745306276</v>
      </c>
      <c r="G29" s="4">
        <f t="shared" si="1"/>
        <v>4.050629936326569</v>
      </c>
      <c r="H29" s="128">
        <f t="shared" si="8"/>
        <v>1.7000000000000004</v>
      </c>
      <c r="I29" s="5">
        <f>((1-$N29)*(I$21/$L$21)+$N29*(H29/$K29))*'global path'!$C14</f>
        <v>3.0913128624021775</v>
      </c>
      <c r="J29" s="4">
        <f t="shared" si="2"/>
        <v>1.8184193308248098</v>
      </c>
      <c r="K29" s="129">
        <f t="shared" si="9"/>
        <v>6.9</v>
      </c>
      <c r="L29" s="19">
        <f t="shared" si="10"/>
        <v>32.297981178024223</v>
      </c>
      <c r="M29" s="4">
        <f t="shared" si="3"/>
        <v>4.6808668373948148</v>
      </c>
      <c r="N29" s="368">
        <f t="shared" si="4"/>
        <v>0.30554838709677412</v>
      </c>
      <c r="Q29" s="57"/>
    </row>
    <row r="30" spans="1:44" x14ac:dyDescent="0.2">
      <c r="A30" s="49">
        <f t="shared" si="5"/>
        <v>2028</v>
      </c>
      <c r="B30" s="128">
        <f t="shared" si="6"/>
        <v>1.2</v>
      </c>
      <c r="C30" s="5">
        <f>((1-$N30)*(C$21/$L$21)+$N30*(B30/$K30))*'global path'!C15</f>
        <v>12.038802272517154</v>
      </c>
      <c r="D30" s="4">
        <f t="shared" si="0"/>
        <v>10.032335227097629</v>
      </c>
      <c r="E30" s="128">
        <f t="shared" si="7"/>
        <v>4</v>
      </c>
      <c r="F30" s="5">
        <f>((1-$N30)*(F$21/$L$21)+$N30*(E30/$K30))*'global path'!$C15</f>
        <v>15.577371585065514</v>
      </c>
      <c r="G30" s="4">
        <f t="shared" si="1"/>
        <v>3.8943428962663784</v>
      </c>
      <c r="H30" s="128">
        <f t="shared" si="8"/>
        <v>1.7000000000000004</v>
      </c>
      <c r="I30" s="5">
        <f>((1-$N30)*(I$21/$L$21)+$N30*(H30/$K30))*'global path'!$C15</f>
        <v>3.1880745442847709</v>
      </c>
      <c r="J30" s="4">
        <f t="shared" si="2"/>
        <v>1.8753379672263353</v>
      </c>
      <c r="K30" s="129">
        <f t="shared" si="9"/>
        <v>6.9</v>
      </c>
      <c r="L30" s="19">
        <f t="shared" si="10"/>
        <v>30.80424840186744</v>
      </c>
      <c r="M30" s="4">
        <f t="shared" si="3"/>
        <v>4.4643838263575999</v>
      </c>
      <c r="N30" s="368">
        <f t="shared" si="4"/>
        <v>0.34141935483870961</v>
      </c>
      <c r="Q30" s="57"/>
    </row>
    <row r="31" spans="1:44" x14ac:dyDescent="0.2">
      <c r="A31" s="49">
        <f t="shared" si="5"/>
        <v>2029</v>
      </c>
      <c r="B31" s="128">
        <f t="shared" si="6"/>
        <v>1.2</v>
      </c>
      <c r="C31" s="5">
        <f>((1-$N31)*(C$21/$L$21)+$N31*(B31/$K31))*'global path'!C16</f>
        <v>11.101603698668026</v>
      </c>
      <c r="D31" s="4">
        <f t="shared" si="0"/>
        <v>9.251336415556688</v>
      </c>
      <c r="E31" s="128">
        <f t="shared" si="7"/>
        <v>4</v>
      </c>
      <c r="F31" s="5">
        <f>((1-$N31)*(F$21/$L$21)+$N31*(E31/$K31))*'global path'!$C16</f>
        <v>14.922175555350131</v>
      </c>
      <c r="G31" s="4">
        <f t="shared" si="1"/>
        <v>3.7305438888375329</v>
      </c>
      <c r="H31" s="128">
        <f t="shared" si="8"/>
        <v>1.7000000000000004</v>
      </c>
      <c r="I31" s="5">
        <f>((1-$N31)*(I$21/$L$21)+$N31*(H31/$K31))*'global path'!$C16</f>
        <v>3.2547486373704499</v>
      </c>
      <c r="J31" s="4">
        <f t="shared" si="2"/>
        <v>1.9145580219826173</v>
      </c>
      <c r="K31" s="129">
        <f t="shared" si="9"/>
        <v>6.9</v>
      </c>
      <c r="L31" s="19">
        <f t="shared" si="10"/>
        <v>29.278527891388606</v>
      </c>
      <c r="M31" s="4">
        <f t="shared" si="3"/>
        <v>4.2432649117954497</v>
      </c>
      <c r="N31" s="368">
        <f t="shared" si="4"/>
        <v>0.37677419354838704</v>
      </c>
      <c r="Q31" s="57"/>
    </row>
    <row r="32" spans="1:44" x14ac:dyDescent="0.2">
      <c r="A32" s="49">
        <f t="shared" si="5"/>
        <v>2030</v>
      </c>
      <c r="B32" s="128">
        <f t="shared" si="6"/>
        <v>1.2</v>
      </c>
      <c r="C32" s="5">
        <f>((1-$N32)*(C$21/$L$21)+$N32*(B32/$K32))*'global path'!C17</f>
        <v>10.197117543302983</v>
      </c>
      <c r="D32" s="4">
        <f t="shared" si="0"/>
        <v>8.4975979527524874</v>
      </c>
      <c r="E32" s="128">
        <f t="shared" si="7"/>
        <v>4</v>
      </c>
      <c r="F32" s="5">
        <f>((1-$N32)*(F$21/$L$21)+$N32*(E32/$K32))*'global path'!$C17</f>
        <v>14.242717558183829</v>
      </c>
      <c r="G32" s="4">
        <f t="shared" si="1"/>
        <v>3.5606793895459572</v>
      </c>
      <c r="H32" s="128">
        <f t="shared" si="8"/>
        <v>1.7000000000000004</v>
      </c>
      <c r="I32" s="5">
        <f>((1-$N32)*(I$21/$L$21)+$N32*(H32/$K32))*'global path'!$C17</f>
        <v>3.2924758933351335</v>
      </c>
      <c r="J32" s="4">
        <f t="shared" si="2"/>
        <v>1.9367505254912545</v>
      </c>
      <c r="K32" s="129">
        <f t="shared" si="9"/>
        <v>6.9</v>
      </c>
      <c r="L32" s="19">
        <f t="shared" si="10"/>
        <v>27.732310994821948</v>
      </c>
      <c r="M32" s="4">
        <f t="shared" si="3"/>
        <v>4.0191755064959338</v>
      </c>
      <c r="N32" s="368">
        <f t="shared" si="4"/>
        <v>0.4116129032258064</v>
      </c>
      <c r="Q32" s="57"/>
    </row>
    <row r="33" spans="1:19" x14ac:dyDescent="0.2">
      <c r="A33" s="49">
        <f t="shared" si="5"/>
        <v>2031</v>
      </c>
      <c r="B33" s="128">
        <f t="shared" si="6"/>
        <v>1.2</v>
      </c>
      <c r="C33" s="5">
        <f>((1-$N33)*(C$21/$L$21)+$N33*(B33/$K33))*'global path'!C18</f>
        <v>9.3292387714713012</v>
      </c>
      <c r="D33" s="4">
        <f t="shared" si="0"/>
        <v>7.774365642892751</v>
      </c>
      <c r="E33" s="128">
        <f t="shared" si="7"/>
        <v>4</v>
      </c>
      <c r="F33" s="5">
        <f>((1-$N33)*(F$21/$L$21)+$N33*(E33/$K33))*'global path'!$C18</f>
        <v>13.544801346410619</v>
      </c>
      <c r="G33" s="4">
        <f t="shared" si="1"/>
        <v>3.3862003366026547</v>
      </c>
      <c r="H33" s="128">
        <f t="shared" si="8"/>
        <v>1.7000000000000004</v>
      </c>
      <c r="I33" s="5">
        <f>((1-$N33)*(I$21/$L$21)+$N33*(H33/$K33))*'global path'!$C18</f>
        <v>3.302719234720167</v>
      </c>
      <c r="J33" s="4">
        <f t="shared" si="2"/>
        <v>1.9427760204236273</v>
      </c>
      <c r="K33" s="129">
        <f t="shared" si="9"/>
        <v>6.9</v>
      </c>
      <c r="L33" s="19">
        <f t="shared" si="10"/>
        <v>26.17675935260209</v>
      </c>
      <c r="M33" s="4">
        <f t="shared" si="3"/>
        <v>3.7937332395075489</v>
      </c>
      <c r="N33" s="368">
        <f t="shared" si="4"/>
        <v>0.44593548387096771</v>
      </c>
      <c r="Q33" s="57"/>
    </row>
    <row r="34" spans="1:19" x14ac:dyDescent="0.2">
      <c r="A34" s="49">
        <f t="shared" si="5"/>
        <v>2032</v>
      </c>
      <c r="B34" s="128">
        <f t="shared" si="6"/>
        <v>1.2</v>
      </c>
      <c r="C34" s="5">
        <f>((1-$N34)*(C$21/$L$21)+$N34*(B34/$K34))*'global path'!C19</f>
        <v>8.5011851958246396</v>
      </c>
      <c r="D34" s="4">
        <f t="shared" si="0"/>
        <v>7.0843209965205336</v>
      </c>
      <c r="E34" s="128">
        <f t="shared" si="7"/>
        <v>4</v>
      </c>
      <c r="F34" s="5">
        <f>((1-$N34)*(F$21/$L$21)+$N34*(E34/$K34))*'global path'!$C19</f>
        <v>12.834167186847734</v>
      </c>
      <c r="G34" s="4">
        <f t="shared" si="1"/>
        <v>3.2085417967119336</v>
      </c>
      <c r="H34" s="128">
        <f t="shared" si="8"/>
        <v>1.7000000000000004</v>
      </c>
      <c r="I34" s="5">
        <f>((1-$N34)*(I$21/$L$21)+$N34*(H34/$K34))*'global path'!$C19</f>
        <v>3.2872212750894527</v>
      </c>
      <c r="J34" s="4">
        <f t="shared" si="2"/>
        <v>1.9336595735820306</v>
      </c>
      <c r="K34" s="129">
        <f t="shared" si="9"/>
        <v>6.9</v>
      </c>
      <c r="L34" s="19">
        <f t="shared" si="10"/>
        <v>24.622573657761826</v>
      </c>
      <c r="M34" s="4">
        <f t="shared" si="3"/>
        <v>3.5684889359075109</v>
      </c>
      <c r="N34" s="368">
        <f t="shared" si="4"/>
        <v>0.47974193548387095</v>
      </c>
      <c r="Q34" s="57"/>
    </row>
    <row r="35" spans="1:19" x14ac:dyDescent="0.2">
      <c r="A35" s="49">
        <f t="shared" si="5"/>
        <v>2033</v>
      </c>
      <c r="B35" s="128">
        <f t="shared" si="6"/>
        <v>1.2</v>
      </c>
      <c r="C35" s="5">
        <f>((1-$N35)*(C$21/$L$21)+$N35*(B35/$K35))*'global path'!C20</f>
        <v>7.7155024035915565</v>
      </c>
      <c r="D35" s="4">
        <f t="shared" si="0"/>
        <v>6.4295853363262969</v>
      </c>
      <c r="E35" s="128">
        <f t="shared" si="7"/>
        <v>4</v>
      </c>
      <c r="F35" s="5">
        <f>((1-$N35)*(F$21/$L$21)+$N35*(E35/$K35))*'global path'!$C20</f>
        <v>12.116415020301432</v>
      </c>
      <c r="G35" s="4">
        <f t="shared" si="1"/>
        <v>3.0291037550753579</v>
      </c>
      <c r="H35" s="128">
        <f t="shared" si="8"/>
        <v>1.7000000000000004</v>
      </c>
      <c r="I35" s="5">
        <f>((1-$N35)*(I$21/$L$21)+$N35*(H35/$K35))*'global path'!$C20</f>
        <v>3.2479586240525178</v>
      </c>
      <c r="J35" s="4">
        <f t="shared" si="2"/>
        <v>1.9105638965014806</v>
      </c>
      <c r="K35" s="129">
        <f t="shared" si="9"/>
        <v>6.9</v>
      </c>
      <c r="L35" s="19">
        <f t="shared" si="10"/>
        <v>23.079876047945508</v>
      </c>
      <c r="M35" s="4">
        <f t="shared" si="3"/>
        <v>3.3449095721660154</v>
      </c>
      <c r="N35" s="368">
        <f t="shared" si="4"/>
        <v>0.51303225806451613</v>
      </c>
      <c r="Q35" s="57"/>
    </row>
    <row r="36" spans="1:19" x14ac:dyDescent="0.2">
      <c r="A36" s="49">
        <f t="shared" si="5"/>
        <v>2034</v>
      </c>
      <c r="B36" s="128">
        <f t="shared" si="6"/>
        <v>1.2</v>
      </c>
      <c r="C36" s="5">
        <f>((1-$N36)*(C$21/$L$21)+$N36*(B36/$K36))*'global path'!C21</f>
        <v>6.9740800800018521</v>
      </c>
      <c r="D36" s="4">
        <f t="shared" si="0"/>
        <v>5.8117334000015433</v>
      </c>
      <c r="E36" s="128">
        <f t="shared" si="7"/>
        <v>4</v>
      </c>
      <c r="F36" s="5">
        <f>((1-$N36)*(F$21/$L$21)+$N36*(E36/$K36))*'global path'!$C21</f>
        <v>11.396933520527897</v>
      </c>
      <c r="G36" s="4">
        <f t="shared" si="1"/>
        <v>2.8492333801319742</v>
      </c>
      <c r="H36" s="128">
        <f t="shared" si="8"/>
        <v>1.7000000000000004</v>
      </c>
      <c r="I36" s="5">
        <f>((1-$N36)*(I$21/$L$21)+$N36*(H36/$K36))*'global path'!$C21</f>
        <v>3.1870942133405546</v>
      </c>
      <c r="J36" s="4">
        <f t="shared" si="2"/>
        <v>1.8747613019650318</v>
      </c>
      <c r="K36" s="129">
        <f t="shared" si="9"/>
        <v>6.9</v>
      </c>
      <c r="L36" s="19">
        <f t="shared" si="10"/>
        <v>21.558107813870304</v>
      </c>
      <c r="M36" s="4">
        <f t="shared" si="3"/>
        <v>3.1243634512855514</v>
      </c>
      <c r="N36" s="368">
        <f t="shared" si="4"/>
        <v>0.5458064516129032</v>
      </c>
      <c r="Q36" s="57"/>
      <c r="S36" s="116"/>
    </row>
    <row r="37" spans="1:19" x14ac:dyDescent="0.2">
      <c r="A37" s="49">
        <f t="shared" si="5"/>
        <v>2035</v>
      </c>
      <c r="B37" s="128">
        <f t="shared" si="6"/>
        <v>1.2</v>
      </c>
      <c r="C37" s="5">
        <f>((1-$N37)*(C$21/$L$21)+$N37*(B37/$K37))*'global path'!C22</f>
        <v>6.2781785619620569</v>
      </c>
      <c r="D37" s="4">
        <f t="shared" si="0"/>
        <v>5.231815468301714</v>
      </c>
      <c r="E37" s="128">
        <f t="shared" si="7"/>
        <v>4</v>
      </c>
      <c r="F37" s="5">
        <f>((1-$N37)*(F$21/$L$21)+$N37*(E37/$K37))*'global path'!$C22</f>
        <v>10.680836252224678</v>
      </c>
      <c r="G37" s="4">
        <f t="shared" si="1"/>
        <v>2.6702090630561695</v>
      </c>
      <c r="H37" s="128">
        <f t="shared" si="8"/>
        <v>1.7000000000000004</v>
      </c>
      <c r="I37" s="5">
        <f>((1-$N37)*(I$21/$L$21)+$N37*(H37/$K37))*'global path'!$C22</f>
        <v>3.1069288651804858</v>
      </c>
      <c r="J37" s="4">
        <f t="shared" si="2"/>
        <v>1.8276052148120501</v>
      </c>
      <c r="K37" s="129">
        <f t="shared" si="9"/>
        <v>6.9</v>
      </c>
      <c r="L37" s="19">
        <f t="shared" si="10"/>
        <v>20.065943679367219</v>
      </c>
      <c r="M37" s="4">
        <f t="shared" si="3"/>
        <v>2.9081077796184376</v>
      </c>
      <c r="N37" s="368">
        <f t="shared" si="4"/>
        <v>0.5780645161290322</v>
      </c>
      <c r="Q37" s="57"/>
    </row>
    <row r="38" spans="1:19" x14ac:dyDescent="0.2">
      <c r="A38" s="49">
        <f t="shared" si="5"/>
        <v>2036</v>
      </c>
      <c r="B38" s="128">
        <f t="shared" si="6"/>
        <v>1.2</v>
      </c>
      <c r="C38" s="5">
        <f>((1-$N38)*(C$21/$L$21)+$N38*(B38/$K38))*'global path'!C23</f>
        <v>5.6284642898082735</v>
      </c>
      <c r="D38" s="4">
        <f t="shared" si="0"/>
        <v>4.6903869081735614</v>
      </c>
      <c r="E38" s="128">
        <f t="shared" si="7"/>
        <v>4</v>
      </c>
      <c r="F38" s="5">
        <f>((1-$N38)*(F$21/$L$21)+$N38*(E38/$K38))*'global path'!$C23</f>
        <v>9.9729059018209174</v>
      </c>
      <c r="G38" s="4">
        <f t="shared" si="1"/>
        <v>2.4932264754552294</v>
      </c>
      <c r="H38" s="128">
        <f t="shared" si="8"/>
        <v>1.7000000000000004</v>
      </c>
      <c r="I38" s="5">
        <f>((1-$N38)*(I$21/$L$21)+$N38*(H38/$K38))*'global path'!$C23</f>
        <v>3.0098532737318222</v>
      </c>
      <c r="J38" s="4">
        <f t="shared" si="2"/>
        <v>1.7705019257246009</v>
      </c>
      <c r="K38" s="129">
        <f t="shared" si="9"/>
        <v>6.9</v>
      </c>
      <c r="L38" s="19">
        <f t="shared" si="10"/>
        <v>18.611223465361014</v>
      </c>
      <c r="M38" s="4">
        <f t="shared" si="3"/>
        <v>2.6972787630957988</v>
      </c>
      <c r="N38" s="368">
        <f t="shared" si="4"/>
        <v>0.60980645161290314</v>
      </c>
      <c r="Q38" s="57"/>
    </row>
    <row r="39" spans="1:19" x14ac:dyDescent="0.2">
      <c r="A39" s="49">
        <f t="shared" si="5"/>
        <v>2037</v>
      </c>
      <c r="B39" s="128">
        <f t="shared" si="6"/>
        <v>1.2</v>
      </c>
      <c r="C39" s="5">
        <f>((1-$N39)*(C$21/$L$21)+$N39*(B39/$K39))*'global path'!C24</f>
        <v>5.0250527078276459</v>
      </c>
      <c r="D39" s="4">
        <f t="shared" si="0"/>
        <v>4.1875439231897049</v>
      </c>
      <c r="E39" s="128">
        <f t="shared" si="7"/>
        <v>4</v>
      </c>
      <c r="F39" s="5">
        <f>((1-$N39)*(F$21/$L$21)+$N39*(E39/$K39))*'global path'!$C24</f>
        <v>9.2775473122381609</v>
      </c>
      <c r="G39" s="4">
        <f t="shared" si="1"/>
        <v>2.3193868280595402</v>
      </c>
      <c r="H39" s="128">
        <f t="shared" si="8"/>
        <v>1.7000000000000004</v>
      </c>
      <c r="I39" s="5">
        <f>((1-$N39)*(I$21/$L$21)+$N39*(H39/$K39))*'global path'!$C24</f>
        <v>2.8983014879170459</v>
      </c>
      <c r="J39" s="4">
        <f t="shared" si="2"/>
        <v>1.7048832281864972</v>
      </c>
      <c r="K39" s="129">
        <f t="shared" si="9"/>
        <v>6.9</v>
      </c>
      <c r="L39" s="19">
        <f t="shared" si="10"/>
        <v>17.200901507982852</v>
      </c>
      <c r="M39" s="4">
        <f t="shared" si="3"/>
        <v>2.4928842765192538</v>
      </c>
      <c r="N39" s="368">
        <f t="shared" si="4"/>
        <v>0.64103225806451603</v>
      </c>
      <c r="Q39" s="57"/>
    </row>
    <row r="40" spans="1:19" x14ac:dyDescent="0.2">
      <c r="A40" s="49">
        <f t="shared" si="5"/>
        <v>2038</v>
      </c>
      <c r="B40" s="128">
        <f t="shared" si="6"/>
        <v>1.2</v>
      </c>
      <c r="C40" s="5">
        <f>((1-$N40)*(C$21/$L$21)+$N40*(B40/$K40))*'global path'!C25</f>
        <v>4.4675570961706956</v>
      </c>
      <c r="D40" s="4">
        <f t="shared" si="0"/>
        <v>3.722964246808913</v>
      </c>
      <c r="E40" s="128">
        <f t="shared" si="7"/>
        <v>4</v>
      </c>
      <c r="F40" s="5">
        <f>((1-$N40)*(F$21/$L$21)+$N40*(E40/$K40))*'global path'!$C25</f>
        <v>8.598749802165278</v>
      </c>
      <c r="G40" s="4">
        <f t="shared" si="1"/>
        <v>2.1496874505413195</v>
      </c>
      <c r="H40" s="128">
        <f t="shared" si="8"/>
        <v>1.7000000000000004</v>
      </c>
      <c r="I40" s="5">
        <f>((1-$N40)*(I$21/$L$21)+$N40*(H40/$K40))*'global path'!$C25</f>
        <v>2.7747068741417724</v>
      </c>
      <c r="J40" s="4">
        <f t="shared" si="2"/>
        <v>1.6321805142010422</v>
      </c>
      <c r="K40" s="129">
        <f t="shared" si="9"/>
        <v>6.9</v>
      </c>
      <c r="L40" s="19">
        <f t="shared" si="10"/>
        <v>15.841013772477746</v>
      </c>
      <c r="M40" s="4">
        <f t="shared" si="3"/>
        <v>2.2957990974605429</v>
      </c>
      <c r="N40" s="368">
        <f t="shared" si="4"/>
        <v>0.67174193548387084</v>
      </c>
      <c r="Q40" s="57"/>
    </row>
    <row r="41" spans="1:19" x14ac:dyDescent="0.2">
      <c r="A41" s="49">
        <f t="shared" si="5"/>
        <v>2039</v>
      </c>
      <c r="B41" s="128">
        <f t="shared" si="6"/>
        <v>1.2</v>
      </c>
      <c r="C41" s="5">
        <f>((1-$N41)*(C$21/$L$21)+$N41*(B41/$K41))*'global path'!C26</f>
        <v>3.9551417962824833</v>
      </c>
      <c r="D41" s="4">
        <f t="shared" si="0"/>
        <v>3.2959514969020693</v>
      </c>
      <c r="E41" s="128">
        <f t="shared" si="7"/>
        <v>4</v>
      </c>
      <c r="F41" s="5">
        <f>((1-$N41)*(F$21/$L$21)+$N41*(E41/$K41))*'global path'!$C26</f>
        <v>7.9400589998675022</v>
      </c>
      <c r="G41" s="4">
        <f t="shared" si="1"/>
        <v>1.9850147499668755</v>
      </c>
      <c r="H41" s="128">
        <f t="shared" si="8"/>
        <v>1.7000000000000004</v>
      </c>
      <c r="I41" s="5">
        <f>((1-$N41)*(I$21/$L$21)+$N41*(H41/$K41))*'global path'!$C26</f>
        <v>2.6414614054558787</v>
      </c>
      <c r="J41" s="4">
        <f t="shared" si="2"/>
        <v>1.5538008267387518</v>
      </c>
      <c r="K41" s="129">
        <f t="shared" si="9"/>
        <v>6.9</v>
      </c>
      <c r="L41" s="19">
        <f t="shared" si="10"/>
        <v>14.536662201605864</v>
      </c>
      <c r="M41" s="4">
        <f t="shared" si="3"/>
        <v>2.1067626379138931</v>
      </c>
      <c r="N41" s="368">
        <f t="shared" si="4"/>
        <v>0.7019354838709676</v>
      </c>
      <c r="Q41" s="57"/>
    </row>
    <row r="42" spans="1:19" x14ac:dyDescent="0.2">
      <c r="A42" s="49">
        <f t="shared" si="5"/>
        <v>2040</v>
      </c>
      <c r="B42" s="128">
        <f t="shared" si="6"/>
        <v>1.2</v>
      </c>
      <c r="C42" s="5">
        <f>((1-$N42)*(C$21/$L$21)+$N42*(B42/$K42))*'global path'!C27</f>
        <v>3.4865783160290413</v>
      </c>
      <c r="D42" s="4">
        <f t="shared" si="0"/>
        <v>2.9054819300242012</v>
      </c>
      <c r="E42" s="128">
        <f t="shared" si="7"/>
        <v>4</v>
      </c>
      <c r="F42" s="5">
        <f>((1-$N42)*(F$21/$L$21)+$N42*(E42/$K42))*'global path'!$C27</f>
        <v>7.3045581788522762</v>
      </c>
      <c r="G42" s="4">
        <f t="shared" si="1"/>
        <v>1.8261395447130691</v>
      </c>
      <c r="H42" s="128">
        <f t="shared" si="8"/>
        <v>1.7000000000000004</v>
      </c>
      <c r="I42" s="5">
        <f>((1-$N42)*(I$21/$L$21)+$N42*(H42/$K42))*'global path'!$C27</f>
        <v>2.5008789754256098</v>
      </c>
      <c r="J42" s="4">
        <f t="shared" si="2"/>
        <v>1.4711052796621231</v>
      </c>
      <c r="K42" s="129">
        <f t="shared" si="9"/>
        <v>6.9</v>
      </c>
      <c r="L42" s="19">
        <f t="shared" si="10"/>
        <v>13.292015470306927</v>
      </c>
      <c r="M42" s="4">
        <f t="shared" si="3"/>
        <v>1.9263790536676704</v>
      </c>
      <c r="N42" s="368">
        <f t="shared" si="4"/>
        <v>0.73161290322580641</v>
      </c>
      <c r="Q42" s="57"/>
    </row>
    <row r="43" spans="1:19" x14ac:dyDescent="0.2">
      <c r="A43" s="49">
        <f t="shared" si="5"/>
        <v>2041</v>
      </c>
      <c r="B43" s="128">
        <f t="shared" si="6"/>
        <v>1.2</v>
      </c>
      <c r="C43" s="5">
        <f>((1-$N43)*(C$21/$L$21)+$N43*(B43/$K43))*'global path'!C28</f>
        <v>3.0603028649410562</v>
      </c>
      <c r="D43" s="4">
        <f t="shared" si="0"/>
        <v>2.5502523874508802</v>
      </c>
      <c r="E43" s="128">
        <f t="shared" si="7"/>
        <v>4</v>
      </c>
      <c r="F43" s="5">
        <f>((1-$N43)*(F$21/$L$21)+$N43*(E43/$K43))*'global path'!$C28</f>
        <v>6.6948588548847203</v>
      </c>
      <c r="G43" s="4">
        <f t="shared" si="1"/>
        <v>1.6737147137211801</v>
      </c>
      <c r="H43" s="128">
        <f t="shared" si="8"/>
        <v>1.7000000000000004</v>
      </c>
      <c r="I43" s="5">
        <f>((1-$N43)*(I$21/$L$21)+$N43*(H43/$K43))*'global path'!$C28</f>
        <v>2.3551632763708694</v>
      </c>
      <c r="J43" s="4">
        <f t="shared" si="2"/>
        <v>1.3853901625710994</v>
      </c>
      <c r="K43" s="129">
        <f t="shared" si="9"/>
        <v>6.9</v>
      </c>
      <c r="L43" s="19">
        <f t="shared" si="10"/>
        <v>12.110324996196645</v>
      </c>
      <c r="M43" s="4">
        <f t="shared" si="3"/>
        <v>1.7551195646661804</v>
      </c>
      <c r="N43" s="368">
        <f t="shared" si="4"/>
        <v>0.76077419354838705</v>
      </c>
      <c r="Q43" s="57"/>
    </row>
    <row r="44" spans="1:19" x14ac:dyDescent="0.2">
      <c r="A44" s="49">
        <f t="shared" si="5"/>
        <v>2042</v>
      </c>
      <c r="B44" s="128">
        <f t="shared" si="6"/>
        <v>1.2</v>
      </c>
      <c r="C44" s="5">
        <f>((1-$N44)*(C$21/$L$21)+$N44*(B44/$K44))*'global path'!C29</f>
        <v>2.6744739690454509</v>
      </c>
      <c r="D44" s="4">
        <f t="shared" si="0"/>
        <v>2.2287283075378759</v>
      </c>
      <c r="E44" s="128">
        <f t="shared" si="7"/>
        <v>4</v>
      </c>
      <c r="F44" s="5">
        <f>((1-$N44)*(F$21/$L$21)+$N44*(E44/$K44))*'global path'!$C29</f>
        <v>6.1131001970123631</v>
      </c>
      <c r="G44" s="4">
        <f t="shared" si="1"/>
        <v>1.5282750492530908</v>
      </c>
      <c r="H44" s="128">
        <f t="shared" si="8"/>
        <v>1.7000000000000004</v>
      </c>
      <c r="I44" s="5">
        <f>((1-$N44)*(I$21/$L$21)+$N44*(H44/$K44))*'global path'!$C29</f>
        <v>2.2063806186471697</v>
      </c>
      <c r="J44" s="4">
        <f t="shared" si="2"/>
        <v>1.2978709521453937</v>
      </c>
      <c r="K44" s="129">
        <f t="shared" si="9"/>
        <v>6.9</v>
      </c>
      <c r="L44" s="19">
        <f t="shared" si="10"/>
        <v>10.993954784704984</v>
      </c>
      <c r="M44" s="4">
        <f t="shared" si="3"/>
        <v>1.5933267803920266</v>
      </c>
      <c r="N44" s="368">
        <f t="shared" si="4"/>
        <v>0.78941935483870962</v>
      </c>
      <c r="Q44" s="57"/>
    </row>
    <row r="45" spans="1:19" x14ac:dyDescent="0.2">
      <c r="A45" s="49">
        <f t="shared" si="5"/>
        <v>2043</v>
      </c>
      <c r="B45" s="128">
        <f t="shared" si="6"/>
        <v>1.2</v>
      </c>
      <c r="C45" s="5">
        <f>((1-$N45)*(C$21/$L$21)+$N45*(B45/$K45))*'global path'!C30</f>
        <v>2.3270289424543549</v>
      </c>
      <c r="D45" s="4">
        <f t="shared" si="0"/>
        <v>1.9391907853786292</v>
      </c>
      <c r="E45" s="128">
        <f t="shared" si="7"/>
        <v>4</v>
      </c>
      <c r="F45" s="5">
        <f>((1-$N45)*(F$21/$L$21)+$N45*(E45/$K45))*'global path'!$C30</f>
        <v>5.5609566244647244</v>
      </c>
      <c r="G45" s="4">
        <f t="shared" si="1"/>
        <v>1.3902391561161811</v>
      </c>
      <c r="H45" s="128">
        <f t="shared" si="8"/>
        <v>1.7000000000000004</v>
      </c>
      <c r="I45" s="5">
        <f>((1-$N45)*(I$21/$L$21)+$N45*(H45/$K45))*'global path'!$C30</f>
        <v>2.0564379060329423</v>
      </c>
      <c r="J45" s="4">
        <f t="shared" si="2"/>
        <v>1.2096693564899659</v>
      </c>
      <c r="K45" s="129">
        <f t="shared" si="9"/>
        <v>6.9</v>
      </c>
      <c r="L45" s="19">
        <f t="shared" si="10"/>
        <v>9.9444234729520211</v>
      </c>
      <c r="M45" s="4">
        <f t="shared" si="3"/>
        <v>1.4412207931814522</v>
      </c>
      <c r="N45" s="368">
        <f t="shared" si="4"/>
        <v>0.81754838709677413</v>
      </c>
      <c r="Q45" s="57"/>
    </row>
    <row r="46" spans="1:19" x14ac:dyDescent="0.2">
      <c r="A46" s="49">
        <f t="shared" si="5"/>
        <v>2044</v>
      </c>
      <c r="B46" s="128">
        <f t="shared" si="6"/>
        <v>1.2</v>
      </c>
      <c r="C46" s="5">
        <f>((1-$N46)*(C$21/$L$21)+$N46*(B46/$K46))*'global path'!C31</f>
        <v>2.0157381426153105</v>
      </c>
      <c r="D46" s="4">
        <f t="shared" si="0"/>
        <v>1.6797817855127588</v>
      </c>
      <c r="E46" s="128">
        <f t="shared" si="7"/>
        <v>4</v>
      </c>
      <c r="F46" s="5">
        <f>((1-$N46)*(F$21/$L$21)+$N46*(E46/$K46))*'global path'!$C31</f>
        <v>5.0396528103681497</v>
      </c>
      <c r="G46" s="4">
        <f t="shared" si="1"/>
        <v>1.2599132025920374</v>
      </c>
      <c r="H46" s="128">
        <f t="shared" si="8"/>
        <v>1.7000000000000004</v>
      </c>
      <c r="I46" s="5">
        <f>((1-$N46)*(I$21/$L$21)+$N46*(H46/$K46))*'global path'!$C31</f>
        <v>1.90706582726564</v>
      </c>
      <c r="J46" s="4">
        <f t="shared" si="2"/>
        <v>1.1218034278033173</v>
      </c>
      <c r="K46" s="129">
        <f t="shared" si="9"/>
        <v>6.9</v>
      </c>
      <c r="L46" s="19">
        <f t="shared" si="10"/>
        <v>8.9624567802491004</v>
      </c>
      <c r="M46" s="4">
        <f t="shared" si="3"/>
        <v>1.2989067797462464</v>
      </c>
      <c r="N46" s="368">
        <f t="shared" si="4"/>
        <v>0.84516129032258069</v>
      </c>
      <c r="Q46" s="57"/>
    </row>
    <row r="47" spans="1:19" x14ac:dyDescent="0.2">
      <c r="A47" s="49">
        <f t="shared" si="5"/>
        <v>2045</v>
      </c>
      <c r="B47" s="128">
        <f t="shared" si="6"/>
        <v>1.2</v>
      </c>
      <c r="C47" s="5">
        <f>((1-$N47)*(C$21/$L$21)+$N47*(B47/$K47))*'global path'!C32</f>
        <v>1.7382561011131257</v>
      </c>
      <c r="D47" s="4">
        <f t="shared" si="0"/>
        <v>1.4485467509276049</v>
      </c>
      <c r="E47" s="128">
        <f t="shared" si="7"/>
        <v>4</v>
      </c>
      <c r="F47" s="5">
        <f>((1-$N47)*(F$21/$L$21)+$N47*(E47/$K47))*'global path'!$C32</f>
        <v>4.5499851947123195</v>
      </c>
      <c r="G47" s="4">
        <f t="shared" si="1"/>
        <v>1.1374962986780799</v>
      </c>
      <c r="H47" s="128">
        <f t="shared" si="8"/>
        <v>1.7000000000000004</v>
      </c>
      <c r="I47" s="5">
        <f>((1-$N47)*(I$21/$L$21)+$N47*(H47/$K47))*'global path'!$C32</f>
        <v>1.7598071799568977</v>
      </c>
      <c r="J47" s="4">
        <f t="shared" si="2"/>
        <v>1.0351806940922925</v>
      </c>
      <c r="K47" s="129">
        <f t="shared" si="9"/>
        <v>6.9</v>
      </c>
      <c r="L47" s="19">
        <f t="shared" si="10"/>
        <v>8.0480484757823429</v>
      </c>
      <c r="M47" s="4">
        <f t="shared" si="3"/>
        <v>1.1663838370699047</v>
      </c>
      <c r="N47" s="368">
        <f t="shared" si="4"/>
        <v>0.87225806451612908</v>
      </c>
      <c r="Q47" s="57"/>
    </row>
    <row r="48" spans="1:19" x14ac:dyDescent="0.2">
      <c r="A48" s="49">
        <f t="shared" si="5"/>
        <v>2046</v>
      </c>
      <c r="B48" s="128">
        <f t="shared" si="6"/>
        <v>1.2</v>
      </c>
      <c r="C48" s="5">
        <f>((1-$N48)*(C$21/$L$21)+$N48*(B48/$K48))*'global path'!C33</f>
        <v>1.4921687954741665</v>
      </c>
      <c r="D48" s="4">
        <f t="shared" si="0"/>
        <v>1.2434739962284722</v>
      </c>
      <c r="E48" s="128">
        <f t="shared" si="7"/>
        <v>4</v>
      </c>
      <c r="F48" s="5">
        <f>((1-$N48)*(F$21/$L$21)+$N48*(E48/$K48))*'global path'!$C33</f>
        <v>4.0923490241867144</v>
      </c>
      <c r="G48" s="4">
        <f t="shared" si="1"/>
        <v>1.0230872560466786</v>
      </c>
      <c r="H48" s="128">
        <f t="shared" si="8"/>
        <v>1.7000000000000004</v>
      </c>
      <c r="I48" s="5">
        <f>((1-$N48)*(I$21/$L$21)+$N48*(H48/$K48))*'global path'!$C33</f>
        <v>1.6160101143340466</v>
      </c>
      <c r="J48" s="4">
        <f t="shared" si="2"/>
        <v>0.95059418490238012</v>
      </c>
      <c r="K48" s="129">
        <f t="shared" si="9"/>
        <v>6.9</v>
      </c>
      <c r="L48" s="19">
        <f t="shared" si="10"/>
        <v>7.2005279339949269</v>
      </c>
      <c r="M48" s="4">
        <f t="shared" si="3"/>
        <v>1.043554773042743</v>
      </c>
      <c r="N48" s="368">
        <f t="shared" si="4"/>
        <v>0.89883870967741941</v>
      </c>
      <c r="Q48" s="57"/>
    </row>
    <row r="49" spans="1:17" x14ac:dyDescent="0.2">
      <c r="A49" s="49">
        <f t="shared" si="5"/>
        <v>2047</v>
      </c>
      <c r="B49" s="128">
        <f t="shared" si="6"/>
        <v>1.2</v>
      </c>
      <c r="C49" s="5">
        <f>((1-$N49)*(C$21/$L$21)+$N49*(B49/$K49))*'global path'!C34</f>
        <v>1.2750365032308943</v>
      </c>
      <c r="D49" s="4">
        <f t="shared" si="0"/>
        <v>1.0625304193590788</v>
      </c>
      <c r="E49" s="128">
        <f t="shared" si="7"/>
        <v>4</v>
      </c>
      <c r="F49" s="5">
        <f>((1-$N49)*(F$21/$L$21)+$N49*(E49/$K49))*'global path'!$C34</f>
        <v>3.666769885393192</v>
      </c>
      <c r="G49" s="4">
        <f t="shared" si="1"/>
        <v>0.91669247134829801</v>
      </c>
      <c r="H49" s="128">
        <f t="shared" si="8"/>
        <v>1.7000000000000004</v>
      </c>
      <c r="I49" s="5">
        <f>((1-$N49)*(I$21/$L$21)+$N49*(H49/$K49))*'global path'!$C34</f>
        <v>1.4768259734626226</v>
      </c>
      <c r="J49" s="4">
        <f t="shared" si="2"/>
        <v>0.86872116086036599</v>
      </c>
      <c r="K49" s="129">
        <f t="shared" si="9"/>
        <v>6.9</v>
      </c>
      <c r="L49" s="19">
        <f t="shared" si="10"/>
        <v>6.4186323620867087</v>
      </c>
      <c r="M49" s="4">
        <f t="shared" si="3"/>
        <v>0.93023657421546502</v>
      </c>
      <c r="N49" s="368">
        <f t="shared" si="4"/>
        <v>0.92490322580645168</v>
      </c>
      <c r="Q49" s="57"/>
    </row>
    <row r="50" spans="1:17" x14ac:dyDescent="0.2">
      <c r="A50" s="49">
        <f t="shared" si="5"/>
        <v>2048</v>
      </c>
      <c r="B50" s="128">
        <f t="shared" si="6"/>
        <v>1.2</v>
      </c>
      <c r="C50" s="5">
        <f>((1-$N50)*(C$21/$L$21)+$N50*(B50/$K50))*'global path'!C35</f>
        <v>1.0844318517897302</v>
      </c>
      <c r="D50" s="4">
        <f t="shared" si="0"/>
        <v>0.90369320982477519</v>
      </c>
      <c r="E50" s="128">
        <f t="shared" si="7"/>
        <v>4</v>
      </c>
      <c r="F50" s="5">
        <f>((1-$N50)*(F$21/$L$21)+$N50*(E50/$K50))*'global path'!$C35</f>
        <v>3.272938679402607</v>
      </c>
      <c r="G50" s="4">
        <f t="shared" si="1"/>
        <v>0.81823466985065174</v>
      </c>
      <c r="H50" s="128">
        <f t="shared" si="8"/>
        <v>1.7000000000000004</v>
      </c>
      <c r="I50" s="5">
        <f>((1-$N50)*(I$21/$L$21)+$N50*(H50/$K50))*'global path'!$C35</f>
        <v>1.3432113158505252</v>
      </c>
      <c r="J50" s="4">
        <f t="shared" si="2"/>
        <v>0.79012430344148521</v>
      </c>
      <c r="K50" s="129">
        <f t="shared" si="9"/>
        <v>6.9</v>
      </c>
      <c r="L50" s="19">
        <f t="shared" si="10"/>
        <v>5.7005818470428622</v>
      </c>
      <c r="M50" s="4">
        <f t="shared" si="3"/>
        <v>0.82617128218012492</v>
      </c>
      <c r="N50" s="368">
        <f t="shared" si="4"/>
        <v>0.95045161290322588</v>
      </c>
      <c r="Q50" s="57"/>
    </row>
    <row r="51" spans="1:17" x14ac:dyDescent="0.2">
      <c r="A51" s="49">
        <f t="shared" si="5"/>
        <v>2049</v>
      </c>
      <c r="B51" s="128">
        <f t="shared" si="6"/>
        <v>1.2</v>
      </c>
      <c r="C51" s="5">
        <f>((1-$N51)*(C$21/$L$21)+$N51*(B51/$K51))*'global path'!C36</f>
        <v>0.91797284136457302</v>
      </c>
      <c r="D51" s="4">
        <f t="shared" si="0"/>
        <v>0.76497736780381087</v>
      </c>
      <c r="E51" s="128">
        <f t="shared" si="7"/>
        <v>4</v>
      </c>
      <c r="F51" s="5">
        <f>((1-$N51)*(F$21/$L$21)+$N51*(E51/$K51))*'global path'!$C36</f>
        <v>2.9102489975054988</v>
      </c>
      <c r="G51" s="4">
        <f t="shared" si="1"/>
        <v>0.7275622493763747</v>
      </c>
      <c r="H51" s="128">
        <f t="shared" si="8"/>
        <v>1.7000000000000004</v>
      </c>
      <c r="I51" s="5">
        <f>((1-$N51)*(I$21/$L$21)+$N51*(H51/$K51))*'global path'!$C36</f>
        <v>1.2159336367535676</v>
      </c>
      <c r="J51" s="4">
        <f t="shared" si="2"/>
        <v>0.7152550804432749</v>
      </c>
      <c r="K51" s="129">
        <f t="shared" si="9"/>
        <v>6.9</v>
      </c>
      <c r="L51" s="19">
        <f t="shared" si="10"/>
        <v>5.04415547562364</v>
      </c>
      <c r="M51" s="4">
        <f t="shared" si="3"/>
        <v>0.73103702545270144</v>
      </c>
      <c r="N51" s="368">
        <f t="shared" si="4"/>
        <v>0.97548387096774203</v>
      </c>
      <c r="Q51" s="57"/>
    </row>
    <row r="52" spans="1:17" ht="13.5" thickBot="1" x14ac:dyDescent="0.25">
      <c r="A52" s="49">
        <f t="shared" si="5"/>
        <v>2050</v>
      </c>
      <c r="B52" s="139">
        <f>RF!B40</f>
        <v>1.2</v>
      </c>
      <c r="C52" s="5">
        <f>((1-$N52)*(C$21/$L$21)+$N52*(B52/$K52))*'global path'!C37</f>
        <v>0.77335076918943702</v>
      </c>
      <c r="D52" s="140">
        <f t="shared" si="0"/>
        <v>0.64445897432453092</v>
      </c>
      <c r="E52" s="141">
        <f>RF!E40</f>
        <v>4</v>
      </c>
      <c r="F52" s="5">
        <f>((1-$N52)*(F$21/$L$21)+$N52*(E52/$K52))*'global path'!$C37</f>
        <v>2.5778358972981237</v>
      </c>
      <c r="G52" s="140">
        <f t="shared" si="1"/>
        <v>0.64445897432453092</v>
      </c>
      <c r="H52" s="142">
        <f>K52-E52-B52</f>
        <v>1.7000000000000004</v>
      </c>
      <c r="I52" s="5">
        <f>((1-$N52)*(I$21/$L$21)+$N52*(H52/$K52))*'global path'!$C37</f>
        <v>1.0955802563517028</v>
      </c>
      <c r="J52" s="140">
        <f t="shared" si="2"/>
        <v>0.64445897432453092</v>
      </c>
      <c r="K52" s="141">
        <f>RF!K40</f>
        <v>6.9</v>
      </c>
      <c r="L52" s="19">
        <f t="shared" si="10"/>
        <v>4.4467669228392639</v>
      </c>
      <c r="M52" s="4">
        <f t="shared" si="3"/>
        <v>0.64445897432453092</v>
      </c>
      <c r="N52" s="664">
        <f t="shared" si="4"/>
        <v>1</v>
      </c>
      <c r="Q52" s="57"/>
    </row>
    <row r="53" spans="1:17" ht="13.5" thickBot="1" x14ac:dyDescent="0.25">
      <c r="A53" s="143" t="s">
        <v>1</v>
      </c>
      <c r="B53" s="144"/>
      <c r="C53" s="145">
        <f>SUM(C22:C52)</f>
        <v>244.2460906220374</v>
      </c>
      <c r="D53" s="146"/>
      <c r="E53" s="144"/>
      <c r="F53" s="145">
        <f>SUM(F22:F52)</f>
        <v>336.35935968704138</v>
      </c>
      <c r="G53" s="146"/>
      <c r="H53" s="144"/>
      <c r="I53" s="145">
        <f>SUM(I22:I52)</f>
        <v>76.158196048764268</v>
      </c>
      <c r="J53" s="146"/>
      <c r="K53" s="144"/>
      <c r="L53" s="147">
        <f>SUM(L22:L52)</f>
        <v>656.76364635784296</v>
      </c>
      <c r="M53" s="148"/>
      <c r="N53" s="138"/>
    </row>
    <row r="54" spans="1:17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7" x14ac:dyDescent="0.2">
      <c r="A55" s="7"/>
      <c r="B55" s="7"/>
      <c r="C55" s="7"/>
      <c r="D55" s="7"/>
      <c r="E55" s="7"/>
      <c r="F55" s="7"/>
      <c r="G55" s="7"/>
      <c r="H55" s="7"/>
      <c r="I55" s="7"/>
      <c r="J55" s="7" t="s">
        <v>41</v>
      </c>
      <c r="K55" s="114"/>
      <c r="L55" s="113">
        <f>'global path'!C89</f>
        <v>656.76364635784296</v>
      </c>
      <c r="M55" s="7"/>
      <c r="N55" s="7"/>
    </row>
    <row r="56" spans="1:17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113">
        <f>L53-L55</f>
        <v>0</v>
      </c>
      <c r="M56" s="7"/>
      <c r="N56" s="7"/>
    </row>
  </sheetData>
  <sheetProtection selectLockedCells="1"/>
  <mergeCells count="7">
    <mergeCell ref="V9:X9"/>
    <mergeCell ref="G3:H3"/>
    <mergeCell ref="B17:D17"/>
    <mergeCell ref="E17:G17"/>
    <mergeCell ref="H17:J17"/>
    <mergeCell ref="K17:N17"/>
    <mergeCell ref="A5:I5"/>
  </mergeCells>
  <conditionalFormatting sqref="L56">
    <cfRule type="cellIs" dxfId="53" priority="1" stopIfTrue="1" operator="equal">
      <formula>0</formula>
    </cfRule>
  </conditionalFormatting>
  <conditionalFormatting sqref="N21:N52">
    <cfRule type="expression" dxfId="52" priority="2" stopIfTrue="1">
      <formula>AND(N21=-100,N22=-100)</formula>
    </cfRule>
  </conditionalFormatting>
  <dataValidations count="2">
    <dataValidation allowBlank="1" showInputMessage="1" showErrorMessage="1" error="Wert zwichen 0 und 100 eingeben." prompt="Anteil Verteilung der weltweiten Emissionen nach Kopf an einzelne Länder." sqref="I9"/>
    <dataValidation type="list" allowBlank="1" showInputMessage="1" showErrorMessage="1" sqref="V9">
      <formula1>$V$5:$V$8</formula1>
    </dataValidation>
  </dataValidations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00B0F0"/>
    <pageSetUpPr fitToPage="1"/>
  </sheetPr>
  <dimension ref="A1:AL108"/>
  <sheetViews>
    <sheetView zoomScale="110" zoomScaleNormal="110" workbookViewId="0"/>
  </sheetViews>
  <sheetFormatPr baseColWidth="10" defaultColWidth="11.7109375" defaultRowHeight="12.75" x14ac:dyDescent="0.2"/>
  <cols>
    <col min="1" max="1" width="8.85546875" style="3" customWidth="1"/>
    <col min="2" max="2" width="4.42578125" style="3" bestFit="1" customWidth="1"/>
    <col min="3" max="3" width="6" style="3" bestFit="1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7.28515625" style="3" bestFit="1" customWidth="1"/>
    <col min="10" max="10" width="5.85546875" style="3" customWidth="1"/>
    <col min="11" max="11" width="5.28515625" style="3" bestFit="1" customWidth="1"/>
    <col min="12" max="12" width="7.5703125" style="3" bestFit="1" customWidth="1"/>
    <col min="13" max="14" width="7.28515625" style="3" bestFit="1" customWidth="1"/>
    <col min="15" max="17" width="5" style="3" bestFit="1" customWidth="1"/>
    <col min="18" max="19" width="4.42578125" style="3" bestFit="1" customWidth="1"/>
    <col min="20" max="20" width="6.7109375" style="3" customWidth="1"/>
    <col min="21" max="21" width="4.28515625" style="3" customWidth="1"/>
    <col min="22" max="27" width="8.42578125" style="1" bestFit="1" customWidth="1"/>
    <col min="28" max="28" width="8.42578125" style="3" bestFit="1" customWidth="1"/>
    <col min="29" max="35" width="8.42578125" style="1" bestFit="1" customWidth="1"/>
    <col min="36" max="36" width="8.42578125" style="3" bestFit="1" customWidth="1"/>
    <col min="37" max="16384" width="11.7109375" style="3"/>
  </cols>
  <sheetData>
    <row r="1" spans="1:38" ht="15.75" x14ac:dyDescent="0.25">
      <c r="A1" s="167" t="s">
        <v>207</v>
      </c>
      <c r="D1" s="1"/>
      <c r="F1" s="16"/>
    </row>
    <row r="2" spans="1:38" ht="15.75" x14ac:dyDescent="0.25">
      <c r="A2" s="169" t="s">
        <v>162</v>
      </c>
      <c r="B2" s="166" t="s">
        <v>80</v>
      </c>
      <c r="D2" s="1"/>
      <c r="F2" s="16"/>
    </row>
    <row r="3" spans="1:38" ht="16.5" thickBot="1" x14ac:dyDescent="0.3">
      <c r="A3" s="51"/>
      <c r="D3" s="1"/>
      <c r="F3" s="16"/>
    </row>
    <row r="4" spans="1:38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P4" s="3"/>
      <c r="Q4" s="3"/>
      <c r="R4" s="3"/>
      <c r="S4" s="167" t="s">
        <v>61</v>
      </c>
      <c r="T4" s="3"/>
      <c r="U4" s="3"/>
      <c r="V4" s="1"/>
      <c r="W4" s="1"/>
      <c r="X4" s="1"/>
      <c r="Y4" s="1"/>
      <c r="Z4" s="1"/>
      <c r="AA4" s="1"/>
      <c r="AB4" s="3"/>
      <c r="AC4" s="1"/>
      <c r="AD4" s="1"/>
      <c r="AE4" s="1"/>
      <c r="AF4" s="1"/>
      <c r="AG4" s="1"/>
      <c r="AH4" s="1"/>
      <c r="AI4" s="10"/>
    </row>
    <row r="5" spans="1:38" ht="15.6" customHeight="1" x14ac:dyDescent="0.2">
      <c r="A5" s="173"/>
      <c r="B5" s="457" t="s">
        <v>89</v>
      </c>
      <c r="C5" s="458">
        <f>W8*'global path'!C88/K11*B11+(1-W8)*'global path'!C88*C11/L11</f>
        <v>118.95064441576383</v>
      </c>
      <c r="D5" s="459" t="s">
        <v>21</v>
      </c>
      <c r="E5" s="457" t="s">
        <v>90</v>
      </c>
      <c r="F5" s="458">
        <f>W8*'global path'!C88/K11*E11+(1-W8)*'global path'!C88*F11/L11</f>
        <v>396.50214805254615</v>
      </c>
      <c r="G5" s="459" t="s">
        <v>21</v>
      </c>
      <c r="H5" s="457" t="s">
        <v>91</v>
      </c>
      <c r="I5" s="458">
        <f>W8*'global path'!C88/K11*H11+(1-W8)*'global path'!C88*I11/L11</f>
        <v>168.51341292233215</v>
      </c>
      <c r="J5" s="459" t="s">
        <v>21</v>
      </c>
      <c r="K5" s="457" t="s">
        <v>92</v>
      </c>
      <c r="L5" s="460">
        <f>C5+F5+I5</f>
        <v>683.96620539064213</v>
      </c>
      <c r="M5" s="459" t="s">
        <v>21</v>
      </c>
      <c r="N5" s="461"/>
      <c r="S5" s="782" t="s">
        <v>190</v>
      </c>
      <c r="T5" s="782"/>
      <c r="U5" s="782"/>
      <c r="V5" s="782"/>
      <c r="W5" s="782"/>
      <c r="X5" s="782"/>
      <c r="Y5" s="782"/>
      <c r="Z5" s="782"/>
      <c r="AA5" s="782"/>
      <c r="AB5" s="782"/>
      <c r="AC5" s="782"/>
      <c r="AD5" s="782"/>
      <c r="AE5" s="782"/>
    </row>
    <row r="6" spans="1:38" ht="16.5" thickBot="1" x14ac:dyDescent="0.25">
      <c r="A6" s="176"/>
      <c r="B6" s="174" t="s">
        <v>43</v>
      </c>
      <c r="C6" s="175">
        <f>C5/C11</f>
        <v>5.6643164007506588</v>
      </c>
      <c r="D6" s="178"/>
      <c r="E6" s="174" t="s">
        <v>47</v>
      </c>
      <c r="F6" s="175">
        <f>F5/F11</f>
        <v>20.33344348987416</v>
      </c>
      <c r="G6" s="172"/>
      <c r="H6" s="174" t="s">
        <v>49</v>
      </c>
      <c r="I6" s="175">
        <f>I5/I11</f>
        <v>137.25752678949854</v>
      </c>
      <c r="J6" s="178"/>
      <c r="K6" s="783" t="s">
        <v>57</v>
      </c>
      <c r="L6" s="784"/>
      <c r="M6" s="784"/>
      <c r="N6" s="785"/>
      <c r="S6" s="782"/>
      <c r="T6" s="782"/>
      <c r="U6" s="782"/>
      <c r="V6" s="782"/>
      <c r="W6" s="782"/>
      <c r="X6" s="782"/>
      <c r="Y6" s="782"/>
      <c r="Z6" s="782"/>
      <c r="AA6" s="782"/>
      <c r="AB6" s="782"/>
      <c r="AC6" s="782"/>
      <c r="AD6" s="782"/>
      <c r="AE6" s="782"/>
      <c r="AG6" s="10"/>
      <c r="AH6" s="10"/>
    </row>
    <row r="7" spans="1:38" ht="16.5" thickBot="1" x14ac:dyDescent="0.25">
      <c r="A7" s="176"/>
      <c r="B7" s="174" t="s">
        <v>44</v>
      </c>
      <c r="C7" s="298">
        <v>0</v>
      </c>
      <c r="D7" s="178"/>
      <c r="E7" s="174" t="s">
        <v>46</v>
      </c>
      <c r="F7" s="298">
        <v>0.03</v>
      </c>
      <c r="G7" s="172"/>
      <c r="H7" s="174" t="s">
        <v>50</v>
      </c>
      <c r="I7" s="298">
        <v>0.02</v>
      </c>
      <c r="J7" s="178"/>
      <c r="K7" s="783"/>
      <c r="L7" s="784"/>
      <c r="M7" s="784"/>
      <c r="N7" s="785"/>
      <c r="P7" s="743" t="s">
        <v>40</v>
      </c>
      <c r="Q7" s="744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</row>
    <row r="8" spans="1:38" ht="16.5" thickBot="1" x14ac:dyDescent="0.3">
      <c r="A8" s="177"/>
      <c r="B8" s="87" t="s">
        <v>45</v>
      </c>
      <c r="C8" s="88">
        <f>(1+SQRT(1+C7*C6))/C6</f>
        <v>0.35308762055293236</v>
      </c>
      <c r="D8" s="179"/>
      <c r="E8" s="87" t="s">
        <v>48</v>
      </c>
      <c r="F8" s="88">
        <f>(1+SQRT(1+F7*F6))/F6</f>
        <v>0.11158262777315084</v>
      </c>
      <c r="G8" s="90"/>
      <c r="H8" s="87" t="s">
        <v>51</v>
      </c>
      <c r="I8" s="88">
        <f>(1+SQRT(1+I7*I6))/I6</f>
        <v>2.1384904787472729E-2</v>
      </c>
      <c r="J8" s="179"/>
      <c r="K8" s="786"/>
      <c r="L8" s="787"/>
      <c r="M8" s="787"/>
      <c r="N8" s="788"/>
      <c r="S8" s="455" t="s">
        <v>188</v>
      </c>
      <c r="T8" s="312"/>
      <c r="U8" s="312"/>
      <c r="V8" s="456"/>
      <c r="W8" s="586">
        <v>1</v>
      </c>
    </row>
    <row r="9" spans="1:38" s="43" customFormat="1" ht="46.5" x14ac:dyDescent="0.25">
      <c r="A9" s="126" t="s">
        <v>10</v>
      </c>
      <c r="B9" s="191" t="s">
        <v>13</v>
      </c>
      <c r="C9" s="20" t="s">
        <v>12</v>
      </c>
      <c r="D9" s="192" t="s">
        <v>11</v>
      </c>
      <c r="E9" s="14" t="s">
        <v>13</v>
      </c>
      <c r="F9" s="14" t="s">
        <v>12</v>
      </c>
      <c r="G9" s="14" t="s">
        <v>11</v>
      </c>
      <c r="H9" s="13" t="s">
        <v>13</v>
      </c>
      <c r="I9" s="14" t="s">
        <v>12</v>
      </c>
      <c r="J9" s="14" t="s">
        <v>11</v>
      </c>
      <c r="K9" s="191" t="s">
        <v>22</v>
      </c>
      <c r="L9" s="20" t="s">
        <v>23</v>
      </c>
      <c r="M9" s="192" t="s">
        <v>11</v>
      </c>
      <c r="N9" s="201"/>
      <c r="P9" s="3"/>
      <c r="Q9" s="3"/>
      <c r="R9" s="3"/>
      <c r="S9" s="304" t="s">
        <v>59</v>
      </c>
      <c r="T9" s="3"/>
      <c r="U9" s="3"/>
      <c r="V9" s="1"/>
      <c r="W9" s="1"/>
      <c r="X9" s="1"/>
      <c r="Y9" s="1"/>
      <c r="Z9" s="1"/>
      <c r="AA9" s="1"/>
      <c r="AB9" s="3"/>
      <c r="AC9" s="1"/>
      <c r="AD9" s="1"/>
      <c r="AE9" s="1"/>
      <c r="AF9" s="1"/>
      <c r="AG9" s="1"/>
      <c r="AH9" s="1"/>
      <c r="AI9" s="10"/>
    </row>
    <row r="10" spans="1:38" s="43" customFormat="1" x14ac:dyDescent="0.2">
      <c r="A10" s="187"/>
      <c r="B10" s="127" t="s">
        <v>6</v>
      </c>
      <c r="C10" s="108" t="s">
        <v>21</v>
      </c>
      <c r="D10" s="193" t="s">
        <v>0</v>
      </c>
      <c r="E10" s="108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02" t="s">
        <v>6</v>
      </c>
      <c r="L10" s="108" t="s">
        <v>21</v>
      </c>
      <c r="M10" s="193" t="s">
        <v>0</v>
      </c>
      <c r="N10" s="30"/>
      <c r="O10" s="452" t="s">
        <v>129</v>
      </c>
      <c r="P10" s="453" t="s">
        <v>130</v>
      </c>
      <c r="Q10" s="454" t="s">
        <v>131</v>
      </c>
      <c r="R10" s="3"/>
      <c r="S10" s="3" t="s">
        <v>60</v>
      </c>
      <c r="T10" s="1" t="s">
        <v>105</v>
      </c>
      <c r="U10" s="3"/>
      <c r="V10" s="1"/>
      <c r="W10" s="1"/>
      <c r="X10" s="1"/>
      <c r="Y10" s="1"/>
      <c r="Z10" s="1"/>
      <c r="AA10" s="1"/>
      <c r="AB10" s="3"/>
      <c r="AC10" s="1"/>
      <c r="AD10" s="1"/>
      <c r="AE10" s="1"/>
      <c r="AF10" s="1"/>
      <c r="AG10" s="1"/>
      <c r="AH10" s="1"/>
      <c r="AI10" s="10"/>
    </row>
    <row r="11" spans="1:38" s="43" customFormat="1" x14ac:dyDescent="0.2">
      <c r="A11" s="188">
        <v>2019</v>
      </c>
      <c r="B11" s="131">
        <f>RF!B9</f>
        <v>1.2</v>
      </c>
      <c r="C11" s="132">
        <f>RF!C9</f>
        <v>21</v>
      </c>
      <c r="D11" s="194">
        <f>C11/B11</f>
        <v>17.5</v>
      </c>
      <c r="E11" s="132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1">
        <f>RF!K9</f>
        <v>6.9</v>
      </c>
      <c r="L11" s="32">
        <f>I11+F11+C11</f>
        <v>41.727717101305259</v>
      </c>
      <c r="M11" s="31">
        <f>L11/K11</f>
        <v>6.047495232073226</v>
      </c>
      <c r="N11" s="779" t="s">
        <v>172</v>
      </c>
      <c r="O11" s="780"/>
      <c r="P11" s="780"/>
      <c r="Q11" s="781"/>
      <c r="R11" s="3"/>
      <c r="S11" s="3" t="s">
        <v>60</v>
      </c>
      <c r="T11" s="1" t="s">
        <v>106</v>
      </c>
      <c r="U11" s="3"/>
      <c r="V11" s="1"/>
      <c r="W11" s="1"/>
      <c r="X11" s="1"/>
      <c r="Y11" s="1"/>
      <c r="Z11" s="1"/>
      <c r="AA11" s="1"/>
      <c r="AB11" s="3"/>
      <c r="AC11" s="1"/>
      <c r="AD11" s="1"/>
      <c r="AE11" s="1"/>
      <c r="AF11" s="1"/>
      <c r="AG11" s="1"/>
      <c r="AH11" s="1"/>
      <c r="AI11" s="10"/>
    </row>
    <row r="12" spans="1:38" x14ac:dyDescent="0.2">
      <c r="A12" s="180">
        <f>A11+1</f>
        <v>2020</v>
      </c>
      <c r="B12" s="128">
        <f t="shared" ref="B12:B41" si="0">B$11*(B$42/B$11)^(($A12-2019)/31)</f>
        <v>1.2</v>
      </c>
      <c r="C12" s="5">
        <f>-C$11*EXP(-C$8*($A12-$A$11))/C$8^2*((C$7*C$8+C$8^2)*($A12-$A$11)+2*C$8+C$7)
  +C$11*EXP(-C$8*($A11-$A$11))/C$8^2*((C$7*C$8+C$8^2)*($A11-$A$11)+2*C$8+C$7)</f>
        <v>20.633128463331417</v>
      </c>
      <c r="D12" s="195">
        <f t="shared" ref="D12:D42" si="1">C12/B12</f>
        <v>17.194273719442847</v>
      </c>
      <c r="E12" s="5">
        <f t="shared" ref="E12:E41" si="2">E$11*(E$42/E$11)^(($A12-2019)/31)</f>
        <v>4</v>
      </c>
      <c r="F12" s="5">
        <f>-F$11*EXP(-F$8*($A12-$A$11))/F$8^2*((F$7*F$8+F$8^2)*($A12-$A$11)+2*F$8+F$7)
  +F$11*EXP(-F$8*($A11-$A$11))/F$8^2*((F$7*F$8+F$8^2)*($A11-$A$11)+2*F$8+F$7)</f>
        <v>19.733344496566019</v>
      </c>
      <c r="G12" s="4">
        <f t="shared" ref="G12:G42" si="3">F12/E12</f>
        <v>4.9333361241415048</v>
      </c>
      <c r="H12" s="128">
        <f t="shared" ref="H12:H41" si="4">H$11*(H$42/H$11)^(($A12-2019)/31)</f>
        <v>1.7000000000000004</v>
      </c>
      <c r="I12" s="5">
        <f>-I$11*EXP(-I$8*($A12-$A$11))/I$8^2*((I$7*I$8+I$8^2)*($A12-$A$11)+2*I$8+I$7)
  +I$11*EXP(-I$8*($A11-$A$11))/I$8^2*((I$7*I$8+I$8^2)*($A11-$A$11)+2*I$8+I$7)</f>
        <v>1.2397280559859212</v>
      </c>
      <c r="J12" s="4">
        <f t="shared" ref="J12:J42" si="5">I12/H12</f>
        <v>0.72925179763877701</v>
      </c>
      <c r="K12" s="128">
        <f>B12+E12+H12</f>
        <v>6.9</v>
      </c>
      <c r="L12" s="19">
        <f>I12+F12+C12</f>
        <v>41.606201015883357</v>
      </c>
      <c r="M12" s="195">
        <f t="shared" ref="M12:M42" si="6">L12/K12</f>
        <v>6.029884205200486</v>
      </c>
      <c r="N12" s="439">
        <f>L12/L11-1</f>
        <v>-2.9121191827218285E-3</v>
      </c>
      <c r="O12" s="450">
        <f>C12/C11-1</f>
        <v>-1.74700731746944E-2</v>
      </c>
      <c r="P12" s="442">
        <f>F12/F11-1</f>
        <v>1.1966384439282995E-2</v>
      </c>
      <c r="Q12" s="443">
        <f>I12/I11-1</f>
        <v>9.7831615018575402E-3</v>
      </c>
      <c r="R12" s="43"/>
      <c r="T12" s="1"/>
      <c r="AI12" s="10"/>
      <c r="AJ12" s="43"/>
      <c r="AK12" s="43"/>
      <c r="AL12" s="43"/>
    </row>
    <row r="13" spans="1:38" x14ac:dyDescent="0.2">
      <c r="A13" s="180">
        <f t="shared" ref="A13:A41" si="7">A12+1</f>
        <v>2021</v>
      </c>
      <c r="B13" s="128">
        <f t="shared" si="0"/>
        <v>1.2</v>
      </c>
      <c r="C13" s="5">
        <f t="shared" ref="C13:C42" si="8">-C$11*EXP(-C$8*($A13-$A$11))/C$8^2*((C$7*C$8+C$8^2)*($A13-$A$11)+2*C$8+C$7)
  +C$11*EXP(-C$8*($A12-$A$11))/C$8^2*((C$7*C$8+C$8^2)*($A12-$A$11)+2*C$8+C$7)</f>
        <v>18.883831124220123</v>
      </c>
      <c r="D13" s="195">
        <f t="shared" si="1"/>
        <v>15.736525936850104</v>
      </c>
      <c r="E13" s="5">
        <f t="shared" si="2"/>
        <v>4</v>
      </c>
      <c r="F13" s="5">
        <f t="shared" ref="F13:F42" si="9">-F$11*EXP(-F$8*($A13-$A$11))/F$8^2*((F$7*F$8+F$8^2)*($A13-$A$11)+2*F$8+F$7)
  +F$11*EXP(-F$8*($A12-$A$11))/F$8^2*((F$7*F$8+F$8^2)*($A12-$A$11)+2*F$8+F$7)</f>
        <v>19.98642632965749</v>
      </c>
      <c r="G13" s="4">
        <f t="shared" si="3"/>
        <v>4.9966065824143726</v>
      </c>
      <c r="H13" s="128">
        <f t="shared" si="4"/>
        <v>1.7000000000000004</v>
      </c>
      <c r="I13" s="5">
        <f t="shared" ref="I13:I42" si="10">-I$11*EXP(-I$8*($A13-$A$11))/I$8^2*((I$7*I$8+I$8^2)*($A13-$A$11)+2*I$8+I$7)
  +I$11*EXP(-I$8*($A12-$A$11))/I$8^2*((I$7*I$8+I$8^2)*($A12-$A$11)+2*I$8+I$7)</f>
        <v>1.26270399098388</v>
      </c>
      <c r="J13" s="4">
        <f t="shared" si="5"/>
        <v>0.74276705351992922</v>
      </c>
      <c r="K13" s="128">
        <f t="shared" ref="K13:K41" si="11">B13+E13+H13</f>
        <v>6.9</v>
      </c>
      <c r="L13" s="19">
        <f t="shared" ref="L13:L44" si="12">I13+F13+C13</f>
        <v>40.132961444861493</v>
      </c>
      <c r="M13" s="195">
        <f t="shared" si="6"/>
        <v>5.8163712238929701</v>
      </c>
      <c r="N13" s="440">
        <f t="shared" ref="N13:N42" si="13">L13/L12-1</f>
        <v>-3.5409134577306101E-2</v>
      </c>
      <c r="O13" s="448">
        <f t="shared" ref="O13:O42" si="14">C13/C12-1</f>
        <v>-8.4781003628223051E-2</v>
      </c>
      <c r="P13" s="444">
        <f t="shared" ref="P13:P42" si="15">F13/F12-1</f>
        <v>1.2825085637941935E-2</v>
      </c>
      <c r="Q13" s="445">
        <f t="shared" ref="Q13:Q42" si="16">I13/I12-1</f>
        <v>1.8533044313243874E-2</v>
      </c>
      <c r="S13" s="304" t="s">
        <v>173</v>
      </c>
      <c r="T13" s="1"/>
      <c r="AI13" s="10"/>
      <c r="AJ13" s="43"/>
    </row>
    <row r="14" spans="1:38" x14ac:dyDescent="0.2">
      <c r="A14" s="180">
        <f t="shared" si="7"/>
        <v>2022</v>
      </c>
      <c r="B14" s="128">
        <f t="shared" si="0"/>
        <v>1.2</v>
      </c>
      <c r="C14" s="5">
        <f t="shared" si="8"/>
        <v>16.349342124287709</v>
      </c>
      <c r="D14" s="195">
        <f t="shared" si="1"/>
        <v>13.624451770239759</v>
      </c>
      <c r="E14" s="5">
        <f t="shared" si="2"/>
        <v>4</v>
      </c>
      <c r="F14" s="5">
        <f t="shared" si="9"/>
        <v>19.966085365526965</v>
      </c>
      <c r="G14" s="4">
        <f t="shared" si="3"/>
        <v>4.9915213413817412</v>
      </c>
      <c r="H14" s="128">
        <f t="shared" si="4"/>
        <v>1.7000000000000004</v>
      </c>
      <c r="I14" s="5">
        <f t="shared" si="10"/>
        <v>1.2841527113546647</v>
      </c>
      <c r="J14" s="4">
        <f t="shared" si="5"/>
        <v>0.75538394785568497</v>
      </c>
      <c r="K14" s="128">
        <f t="shared" si="11"/>
        <v>6.9</v>
      </c>
      <c r="L14" s="19">
        <f t="shared" si="12"/>
        <v>37.599580201169339</v>
      </c>
      <c r="M14" s="195">
        <f t="shared" si="6"/>
        <v>5.4492145219085995</v>
      </c>
      <c r="N14" s="440">
        <f t="shared" si="13"/>
        <v>-6.312470230169176E-2</v>
      </c>
      <c r="O14" s="448">
        <f t="shared" si="14"/>
        <v>-0.13421476729272985</v>
      </c>
      <c r="P14" s="444">
        <f t="shared" si="15"/>
        <v>-1.0177389291622374E-3</v>
      </c>
      <c r="Q14" s="445">
        <f t="shared" si="16"/>
        <v>1.698634083992423E-2</v>
      </c>
      <c r="T14" s="1" t="s">
        <v>174</v>
      </c>
      <c r="AI14" s="10"/>
      <c r="AJ14" s="43"/>
    </row>
    <row r="15" spans="1:38" s="7" customFormat="1" x14ac:dyDescent="0.2">
      <c r="A15" s="180">
        <f t="shared" si="7"/>
        <v>2023</v>
      </c>
      <c r="B15" s="128">
        <f t="shared" si="0"/>
        <v>1.2</v>
      </c>
      <c r="C15" s="5">
        <f t="shared" si="8"/>
        <v>13.65163342114294</v>
      </c>
      <c r="D15" s="195">
        <f t="shared" si="1"/>
        <v>11.376361184285784</v>
      </c>
      <c r="E15" s="5">
        <f t="shared" si="2"/>
        <v>4</v>
      </c>
      <c r="F15" s="5">
        <f t="shared" si="9"/>
        <v>19.727237665418045</v>
      </c>
      <c r="G15" s="4">
        <f t="shared" si="3"/>
        <v>4.9318094163545112</v>
      </c>
      <c r="H15" s="128">
        <f t="shared" si="4"/>
        <v>1.7000000000000004</v>
      </c>
      <c r="I15" s="5">
        <f>-I$11*EXP(-I$8*($A15-$A$11))/I$8^2*((I$7*I$8+I$8^2)*($A15-$A$11)+2*I$8+I$7)
  +I$11*EXP(-I$8*($A14-$A$11))/I$8^2*((I$7*I$8+I$8^2)*($A14-$A$11)+2*I$8+I$7)</f>
        <v>1.3041285570104719</v>
      </c>
      <c r="J15" s="4">
        <f t="shared" si="5"/>
        <v>0.76713444530027741</v>
      </c>
      <c r="K15" s="128">
        <f t="shared" si="11"/>
        <v>6.9</v>
      </c>
      <c r="L15" s="19">
        <f t="shared" si="12"/>
        <v>34.682999643571456</v>
      </c>
      <c r="M15" s="195">
        <f t="shared" si="6"/>
        <v>5.0265216874741236</v>
      </c>
      <c r="N15" s="440">
        <f t="shared" si="13"/>
        <v>-7.7569497903787199E-2</v>
      </c>
      <c r="O15" s="448">
        <f t="shared" si="14"/>
        <v>-0.16500411347666388</v>
      </c>
      <c r="P15" s="444">
        <f t="shared" si="15"/>
        <v>-1.1962670485287541E-2</v>
      </c>
      <c r="Q15" s="445">
        <f t="shared" si="16"/>
        <v>1.5555662094685285E-2</v>
      </c>
      <c r="R15" s="3"/>
      <c r="S15" s="3"/>
      <c r="T15" s="3"/>
      <c r="U15" s="3"/>
      <c r="V15" s="1"/>
      <c r="W15" s="1"/>
      <c r="X15" s="1"/>
      <c r="Y15" s="1"/>
      <c r="Z15" s="1"/>
      <c r="AA15" s="1"/>
      <c r="AB15" s="3"/>
      <c r="AC15" s="1"/>
      <c r="AD15" s="1"/>
      <c r="AE15" s="1"/>
      <c r="AF15" s="1"/>
      <c r="AG15" s="10"/>
      <c r="AH15" s="10"/>
      <c r="AI15" s="10"/>
      <c r="AJ15" s="43"/>
      <c r="AK15" s="3"/>
      <c r="AL15" s="3"/>
    </row>
    <row r="16" spans="1:38" s="7" customFormat="1" x14ac:dyDescent="0.2">
      <c r="A16" s="180">
        <f t="shared" si="7"/>
        <v>2024</v>
      </c>
      <c r="B16" s="128">
        <f t="shared" si="0"/>
        <v>1.2</v>
      </c>
      <c r="C16" s="5">
        <f t="shared" si="8"/>
        <v>11.112110172479731</v>
      </c>
      <c r="D16" s="195">
        <f t="shared" si="1"/>
        <v>9.2600918103997767</v>
      </c>
      <c r="E16" s="5">
        <f t="shared" si="2"/>
        <v>4</v>
      </c>
      <c r="F16" s="5">
        <f t="shared" si="9"/>
        <v>19.316250965259087</v>
      </c>
      <c r="G16" s="4">
        <f t="shared" si="3"/>
        <v>4.8290627413147718</v>
      </c>
      <c r="H16" s="128">
        <f t="shared" si="4"/>
        <v>1.7000000000000004</v>
      </c>
      <c r="I16" s="5">
        <f t="shared" si="10"/>
        <v>1.3226842520956836</v>
      </c>
      <c r="J16" s="4">
        <f t="shared" si="5"/>
        <v>0.77804956005628434</v>
      </c>
      <c r="K16" s="128">
        <f t="shared" si="11"/>
        <v>6.9</v>
      </c>
      <c r="L16" s="19">
        <f t="shared" si="12"/>
        <v>31.751045389834502</v>
      </c>
      <c r="M16" s="195">
        <f t="shared" si="6"/>
        <v>4.6016007811354349</v>
      </c>
      <c r="N16" s="440">
        <f t="shared" si="13"/>
        <v>-8.4535774986821188E-2</v>
      </c>
      <c r="O16" s="448">
        <f t="shared" si="14"/>
        <v>-0.18602339883593177</v>
      </c>
      <c r="P16" s="444">
        <f t="shared" si="15"/>
        <v>-2.083346422491883E-2</v>
      </c>
      <c r="Q16" s="445">
        <f t="shared" si="16"/>
        <v>1.4228424786393745E-2</v>
      </c>
      <c r="R16" s="3"/>
      <c r="S16" s="304" t="s">
        <v>103</v>
      </c>
      <c r="T16" s="3"/>
      <c r="U16" s="3"/>
      <c r="V16" s="1"/>
      <c r="W16" s="1"/>
      <c r="X16" s="1"/>
      <c r="Y16" s="1"/>
      <c r="Z16" s="1"/>
      <c r="AA16" s="1"/>
      <c r="AB16" s="3"/>
      <c r="AC16" s="1"/>
      <c r="AD16" s="1"/>
      <c r="AE16" s="1"/>
      <c r="AF16" s="1"/>
      <c r="AG16" s="10"/>
      <c r="AH16" s="10"/>
      <c r="AI16" s="1"/>
      <c r="AJ16" s="3"/>
    </row>
    <row r="17" spans="1:38" s="7" customFormat="1" x14ac:dyDescent="0.2">
      <c r="A17" s="180">
        <f t="shared" si="7"/>
        <v>2025</v>
      </c>
      <c r="B17" s="128">
        <f t="shared" si="0"/>
        <v>1.2</v>
      </c>
      <c r="C17" s="5">
        <f t="shared" si="8"/>
        <v>8.8753959634722399</v>
      </c>
      <c r="D17" s="195">
        <f t="shared" si="1"/>
        <v>7.3961633028935339</v>
      </c>
      <c r="E17" s="5">
        <f t="shared" si="2"/>
        <v>4</v>
      </c>
      <c r="F17" s="5">
        <f t="shared" si="9"/>
        <v>18.77213759704523</v>
      </c>
      <c r="G17" s="4">
        <f t="shared" si="3"/>
        <v>4.6930343992613075</v>
      </c>
      <c r="H17" s="128">
        <f t="shared" si="4"/>
        <v>1.7000000000000004</v>
      </c>
      <c r="I17" s="5">
        <f t="shared" si="10"/>
        <v>1.3398709490343492</v>
      </c>
      <c r="J17" s="4">
        <f t="shared" si="5"/>
        <v>0.78815938178491107</v>
      </c>
      <c r="K17" s="128">
        <f t="shared" si="11"/>
        <v>6.9</v>
      </c>
      <c r="L17" s="19">
        <f t="shared" si="12"/>
        <v>28.987404509551819</v>
      </c>
      <c r="M17" s="195">
        <f t="shared" si="6"/>
        <v>4.2010731173263505</v>
      </c>
      <c r="N17" s="440">
        <f t="shared" si="13"/>
        <v>-8.7040941372201197E-2</v>
      </c>
      <c r="O17" s="448">
        <f t="shared" si="14"/>
        <v>-0.2012861800584862</v>
      </c>
      <c r="P17" s="444">
        <f t="shared" si="15"/>
        <v>-2.8168683933153638E-2</v>
      </c>
      <c r="Q17" s="445">
        <f t="shared" si="16"/>
        <v>1.2993801741749467E-2</v>
      </c>
      <c r="R17" s="43"/>
      <c r="S17" s="3" t="s">
        <v>60</v>
      </c>
      <c r="T17" s="1" t="s">
        <v>107</v>
      </c>
      <c r="U17" s="3"/>
      <c r="V17" s="1"/>
      <c r="W17" s="1"/>
      <c r="X17" s="1"/>
      <c r="Y17" s="1"/>
      <c r="Z17" s="1"/>
      <c r="AA17" s="1"/>
      <c r="AB17" s="3"/>
      <c r="AC17" s="1"/>
      <c r="AD17" s="1"/>
      <c r="AE17" s="1"/>
      <c r="AF17" s="1"/>
      <c r="AG17" s="10"/>
      <c r="AH17" s="10"/>
      <c r="AI17" s="1"/>
      <c r="AJ17" s="3"/>
    </row>
    <row r="18" spans="1:38" s="7" customFormat="1" x14ac:dyDescent="0.2">
      <c r="A18" s="180">
        <f t="shared" si="7"/>
        <v>2026</v>
      </c>
      <c r="B18" s="128">
        <f t="shared" si="0"/>
        <v>1.2</v>
      </c>
      <c r="C18" s="5">
        <f t="shared" si="8"/>
        <v>6.9860689389819903</v>
      </c>
      <c r="D18" s="195">
        <f t="shared" si="1"/>
        <v>5.8217241158183253</v>
      </c>
      <c r="E18" s="5">
        <f t="shared" si="2"/>
        <v>4</v>
      </c>
      <c r="F18" s="5">
        <f t="shared" si="9"/>
        <v>18.127590800832422</v>
      </c>
      <c r="G18" s="4">
        <f t="shared" si="3"/>
        <v>4.5318977002081056</v>
      </c>
      <c r="H18" s="128">
        <f t="shared" si="4"/>
        <v>1.7000000000000004</v>
      </c>
      <c r="I18" s="5">
        <f t="shared" si="10"/>
        <v>1.3557382714355981</v>
      </c>
      <c r="J18" s="4">
        <f t="shared" si="5"/>
        <v>0.79749310084446934</v>
      </c>
      <c r="K18" s="128">
        <f t="shared" si="11"/>
        <v>6.9</v>
      </c>
      <c r="L18" s="19">
        <f t="shared" si="12"/>
        <v>26.469398011250011</v>
      </c>
      <c r="M18" s="195">
        <f t="shared" si="6"/>
        <v>3.8361446393115957</v>
      </c>
      <c r="N18" s="440">
        <f t="shared" si="13"/>
        <v>-8.686553835725741E-2</v>
      </c>
      <c r="O18" s="448">
        <f t="shared" si="14"/>
        <v>-0.21287242082111069</v>
      </c>
      <c r="P18" s="444">
        <f t="shared" si="15"/>
        <v>-3.4335290420748898E-2</v>
      </c>
      <c r="Q18" s="445">
        <f t="shared" si="16"/>
        <v>1.1842425878913598E-2</v>
      </c>
      <c r="R18" s="3"/>
      <c r="S18" s="3" t="s">
        <v>60</v>
      </c>
      <c r="T18" s="1" t="s">
        <v>157</v>
      </c>
      <c r="U18" s="3"/>
      <c r="V18" s="1"/>
      <c r="W18" s="1"/>
      <c r="X18" s="1"/>
      <c r="Y18" s="1"/>
      <c r="Z18" s="1"/>
      <c r="AA18" s="1"/>
      <c r="AB18" s="3"/>
      <c r="AC18" s="1"/>
      <c r="AD18" s="1"/>
      <c r="AE18" s="1"/>
      <c r="AF18" s="10"/>
      <c r="AG18" s="1"/>
      <c r="AH18" s="1"/>
      <c r="AI18" s="1"/>
      <c r="AJ18" s="3"/>
    </row>
    <row r="19" spans="1:38" s="7" customFormat="1" x14ac:dyDescent="0.2">
      <c r="A19" s="180">
        <f t="shared" si="7"/>
        <v>2027</v>
      </c>
      <c r="B19" s="128">
        <f t="shared" si="0"/>
        <v>1.2</v>
      </c>
      <c r="C19" s="5">
        <f t="shared" si="8"/>
        <v>5.4353869662107996</v>
      </c>
      <c r="D19" s="195">
        <f t="shared" si="1"/>
        <v>4.5294891385089997</v>
      </c>
      <c r="E19" s="5">
        <f t="shared" si="2"/>
        <v>4</v>
      </c>
      <c r="F19" s="5">
        <f t="shared" si="9"/>
        <v>17.409884199471776</v>
      </c>
      <c r="G19" s="4">
        <f t="shared" si="3"/>
        <v>4.352471049867944</v>
      </c>
      <c r="H19" s="128">
        <f t="shared" si="4"/>
        <v>1.7000000000000004</v>
      </c>
      <c r="I19" s="5">
        <f t="shared" si="10"/>
        <v>1.3703343558887013</v>
      </c>
      <c r="J19" s="4">
        <f t="shared" si="5"/>
        <v>0.80607903287570648</v>
      </c>
      <c r="K19" s="128">
        <f t="shared" si="11"/>
        <v>6.9</v>
      </c>
      <c r="L19" s="19">
        <f t="shared" si="12"/>
        <v>24.215605521571277</v>
      </c>
      <c r="M19" s="195">
        <f t="shared" si="6"/>
        <v>3.5095080466045325</v>
      </c>
      <c r="N19" s="440">
        <f t="shared" si="13"/>
        <v>-8.5147100388185182E-2</v>
      </c>
      <c r="O19" s="448">
        <f t="shared" si="14"/>
        <v>-0.22196774556839061</v>
      </c>
      <c r="P19" s="444">
        <f t="shared" si="15"/>
        <v>-3.9591946290385649E-2</v>
      </c>
      <c r="Q19" s="445">
        <f t="shared" si="16"/>
        <v>1.076615211109111E-2</v>
      </c>
      <c r="R19" s="43"/>
      <c r="S19" s="3"/>
      <c r="T19" s="3"/>
      <c r="U19" s="43"/>
      <c r="V19" s="10"/>
      <c r="W19" s="10"/>
      <c r="X19" s="10"/>
      <c r="Y19" s="10"/>
      <c r="Z19" s="10"/>
      <c r="AA19" s="10"/>
      <c r="AB19" s="43"/>
      <c r="AC19" s="10"/>
      <c r="AD19" s="10"/>
      <c r="AE19" s="10"/>
      <c r="AF19" s="1"/>
      <c r="AG19" s="1"/>
      <c r="AH19" s="1"/>
      <c r="AI19" s="1"/>
    </row>
    <row r="20" spans="1:38" x14ac:dyDescent="0.2">
      <c r="A20" s="180">
        <f t="shared" si="7"/>
        <v>2028</v>
      </c>
      <c r="B20" s="128">
        <f t="shared" si="0"/>
        <v>1.2</v>
      </c>
      <c r="C20" s="5">
        <f t="shared" si="8"/>
        <v>4.189066502771448</v>
      </c>
      <c r="D20" s="195">
        <f t="shared" si="1"/>
        <v>3.49088875230954</v>
      </c>
      <c r="E20" s="5">
        <f t="shared" si="2"/>
        <v>4</v>
      </c>
      <c r="F20" s="5">
        <f t="shared" si="9"/>
        <v>16.641651778874007</v>
      </c>
      <c r="G20" s="4">
        <f t="shared" si="3"/>
        <v>4.1604129447185016</v>
      </c>
      <c r="H20" s="128">
        <f t="shared" si="4"/>
        <v>1.7000000000000004</v>
      </c>
      <c r="I20" s="5">
        <f t="shared" si="10"/>
        <v>1.3837058926726229</v>
      </c>
      <c r="J20" s="4">
        <f t="shared" si="5"/>
        <v>0.81394464274860157</v>
      </c>
      <c r="K20" s="128">
        <f t="shared" si="11"/>
        <v>6.9</v>
      </c>
      <c r="L20" s="19">
        <f t="shared" si="12"/>
        <v>22.214424174318076</v>
      </c>
      <c r="M20" s="195">
        <f t="shared" si="6"/>
        <v>3.2194817643939238</v>
      </c>
      <c r="N20" s="440">
        <f t="shared" si="13"/>
        <v>-8.2640153081059542E-2</v>
      </c>
      <c r="O20" s="448">
        <f t="shared" si="14"/>
        <v>-0.22929746698572329</v>
      </c>
      <c r="P20" s="444">
        <f t="shared" si="15"/>
        <v>-4.4126222311178687E-2</v>
      </c>
      <c r="Q20" s="445">
        <f t="shared" si="16"/>
        <v>9.757864368254765E-3</v>
      </c>
      <c r="S20" s="206"/>
      <c r="AJ20" s="7"/>
      <c r="AK20" s="7"/>
      <c r="AL20" s="7"/>
    </row>
    <row r="21" spans="1:38" x14ac:dyDescent="0.2">
      <c r="A21" s="180">
        <f t="shared" si="7"/>
        <v>2029</v>
      </c>
      <c r="B21" s="128">
        <f t="shared" si="0"/>
        <v>1.2</v>
      </c>
      <c r="C21" s="5">
        <f t="shared" si="8"/>
        <v>3.2032525887308232</v>
      </c>
      <c r="D21" s="195">
        <f t="shared" si="1"/>
        <v>2.6693771572756861</v>
      </c>
      <c r="E21" s="5">
        <f t="shared" si="2"/>
        <v>4</v>
      </c>
      <c r="F21" s="5">
        <f t="shared" si="9"/>
        <v>15.841563579804244</v>
      </c>
      <c r="G21" s="4">
        <f t="shared" si="3"/>
        <v>3.9603908949510611</v>
      </c>
      <c r="H21" s="128">
        <f t="shared" si="4"/>
        <v>1.7000000000000004</v>
      </c>
      <c r="I21" s="5">
        <f t="shared" si="10"/>
        <v>1.3958981654093634</v>
      </c>
      <c r="J21" s="4">
        <f t="shared" si="5"/>
        <v>0.82111656788786058</v>
      </c>
      <c r="K21" s="128">
        <f t="shared" si="11"/>
        <v>6.9</v>
      </c>
      <c r="L21" s="19">
        <f t="shared" si="12"/>
        <v>20.440714333944431</v>
      </c>
      <c r="M21" s="195">
        <f t="shared" si="6"/>
        <v>2.962422367238323</v>
      </c>
      <c r="N21" s="440">
        <f t="shared" si="13"/>
        <v>-7.9844961384334057E-2</v>
      </c>
      <c r="O21" s="448">
        <f t="shared" si="14"/>
        <v>-0.23533021339919513</v>
      </c>
      <c r="P21" s="444">
        <f t="shared" si="15"/>
        <v>-4.8077451066813381E-2</v>
      </c>
      <c r="Q21" s="445">
        <f t="shared" si="16"/>
        <v>8.8113180707722893E-3</v>
      </c>
      <c r="S21" s="206"/>
      <c r="AJ21" s="7"/>
    </row>
    <row r="22" spans="1:38" x14ac:dyDescent="0.2">
      <c r="A22" s="180">
        <f t="shared" si="7"/>
        <v>2030</v>
      </c>
      <c r="B22" s="128">
        <f t="shared" si="0"/>
        <v>1.2</v>
      </c>
      <c r="C22" s="5">
        <f t="shared" si="8"/>
        <v>2.4332475295649916</v>
      </c>
      <c r="D22" s="195">
        <f t="shared" si="1"/>
        <v>2.027706274637493</v>
      </c>
      <c r="E22" s="5">
        <f t="shared" si="2"/>
        <v>4</v>
      </c>
      <c r="F22" s="5">
        <f t="shared" si="9"/>
        <v>15.024910428331424</v>
      </c>
      <c r="G22" s="4">
        <f t="shared" si="3"/>
        <v>3.756227607082856</v>
      </c>
      <c r="H22" s="128">
        <f t="shared" si="4"/>
        <v>1.7000000000000004</v>
      </c>
      <c r="I22" s="5">
        <f t="shared" si="10"/>
        <v>1.4069550896863063</v>
      </c>
      <c r="J22" s="4">
        <f t="shared" si="5"/>
        <v>0.82762064099194466</v>
      </c>
      <c r="K22" s="128">
        <f t="shared" si="11"/>
        <v>6.9</v>
      </c>
      <c r="L22" s="19">
        <f t="shared" si="12"/>
        <v>18.865113047582721</v>
      </c>
      <c r="M22" s="195">
        <f t="shared" si="6"/>
        <v>2.7340743547221331</v>
      </c>
      <c r="N22" s="440">
        <f t="shared" si="13"/>
        <v>-7.7081517828622159E-2</v>
      </c>
      <c r="O22" s="448">
        <f t="shared" si="14"/>
        <v>-0.24038224830434596</v>
      </c>
      <c r="P22" s="444">
        <f t="shared" si="15"/>
        <v>-5.155129715313822E-2</v>
      </c>
      <c r="Q22" s="445">
        <f t="shared" si="16"/>
        <v>7.9210106803888625E-3</v>
      </c>
      <c r="R22" s="11"/>
      <c r="S22" s="206"/>
      <c r="AJ22" s="7"/>
    </row>
    <row r="23" spans="1:38" x14ac:dyDescent="0.2">
      <c r="A23" s="180">
        <f t="shared" si="7"/>
        <v>2031</v>
      </c>
      <c r="B23" s="128">
        <f t="shared" si="0"/>
        <v>1.2</v>
      </c>
      <c r="C23" s="5">
        <f t="shared" si="8"/>
        <v>1.8378933269474773</v>
      </c>
      <c r="D23" s="195">
        <f t="shared" si="1"/>
        <v>1.5315777724562312</v>
      </c>
      <c r="E23" s="5">
        <f t="shared" si="2"/>
        <v>4</v>
      </c>
      <c r="F23" s="5">
        <f t="shared" si="9"/>
        <v>14.204109380395209</v>
      </c>
      <c r="G23" s="4">
        <f t="shared" si="3"/>
        <v>3.5510273450988024</v>
      </c>
      <c r="H23" s="128">
        <f t="shared" si="4"/>
        <v>1.7000000000000004</v>
      </c>
      <c r="I23" s="5">
        <f t="shared" si="10"/>
        <v>1.4169192506745389</v>
      </c>
      <c r="J23" s="4">
        <f t="shared" si="5"/>
        <v>0.83348191216149325</v>
      </c>
      <c r="K23" s="128">
        <f t="shared" si="11"/>
        <v>6.9</v>
      </c>
      <c r="L23" s="19">
        <f t="shared" si="12"/>
        <v>17.458921958017225</v>
      </c>
      <c r="M23" s="195">
        <f t="shared" si="6"/>
        <v>2.5302785446401774</v>
      </c>
      <c r="N23" s="440">
        <f t="shared" si="13"/>
        <v>-7.4539234724897541E-2</v>
      </c>
      <c r="O23" s="448">
        <f t="shared" si="14"/>
        <v>-0.24467473834195153</v>
      </c>
      <c r="P23" s="444">
        <f t="shared" si="15"/>
        <v>-5.4629347166588627E-2</v>
      </c>
      <c r="Q23" s="445">
        <f t="shared" si="16"/>
        <v>7.0820746598629913E-3</v>
      </c>
      <c r="R23" s="7"/>
      <c r="S23" s="206"/>
      <c r="AF23" s="10"/>
      <c r="AJ23" s="7"/>
    </row>
    <row r="24" spans="1:38" x14ac:dyDescent="0.2">
      <c r="A24" s="180">
        <f t="shared" si="7"/>
        <v>2032</v>
      </c>
      <c r="B24" s="128">
        <f t="shared" si="0"/>
        <v>1.2</v>
      </c>
      <c r="C24" s="5">
        <f t="shared" si="8"/>
        <v>1.3814212797031327</v>
      </c>
      <c r="D24" s="195">
        <f t="shared" si="1"/>
        <v>1.1511843997526106</v>
      </c>
      <c r="E24" s="5">
        <f t="shared" si="2"/>
        <v>4</v>
      </c>
      <c r="F24" s="5">
        <f t="shared" si="9"/>
        <v>13.389140104518759</v>
      </c>
      <c r="G24" s="4">
        <f t="shared" si="3"/>
        <v>3.3472850261296898</v>
      </c>
      <c r="H24" s="128">
        <f t="shared" si="4"/>
        <v>1.7000000000000004</v>
      </c>
      <c r="I24" s="5">
        <f t="shared" si="10"/>
        <v>1.4258319397667663</v>
      </c>
      <c r="J24" s="4">
        <f t="shared" si="5"/>
        <v>0.83872467045103882</v>
      </c>
      <c r="K24" s="128">
        <f t="shared" si="11"/>
        <v>6.9</v>
      </c>
      <c r="L24" s="19">
        <f t="shared" si="12"/>
        <v>16.196393323988659</v>
      </c>
      <c r="M24" s="195">
        <f t="shared" si="6"/>
        <v>2.3473033802882113</v>
      </c>
      <c r="N24" s="440">
        <f t="shared" si="13"/>
        <v>-7.2314237789968816E-2</v>
      </c>
      <c r="O24" s="448">
        <f t="shared" si="14"/>
        <v>-0.24836699744837232</v>
      </c>
      <c r="P24" s="444">
        <f t="shared" si="15"/>
        <v>-5.7375598430781327E-2</v>
      </c>
      <c r="Q24" s="445">
        <f t="shared" si="16"/>
        <v>6.2901884408617104E-3</v>
      </c>
      <c r="R24" s="7"/>
      <c r="S24" s="509"/>
      <c r="T24" s="43"/>
      <c r="U24" s="43"/>
      <c r="V24" s="10"/>
      <c r="W24" s="10"/>
      <c r="X24" s="10"/>
      <c r="Y24" s="10"/>
      <c r="Z24" s="10"/>
      <c r="AA24" s="10"/>
      <c r="AB24" s="43"/>
      <c r="AC24" s="10"/>
      <c r="AD24" s="10"/>
      <c r="AE24" s="10"/>
      <c r="AF24" s="10"/>
    </row>
    <row r="25" spans="1:38" x14ac:dyDescent="0.2">
      <c r="A25" s="180">
        <f t="shared" si="7"/>
        <v>2033</v>
      </c>
      <c r="B25" s="128">
        <f t="shared" si="0"/>
        <v>1.2</v>
      </c>
      <c r="C25" s="5">
        <f t="shared" si="8"/>
        <v>1.0338878777282527</v>
      </c>
      <c r="D25" s="195">
        <f t="shared" si="1"/>
        <v>0.8615732314402107</v>
      </c>
      <c r="E25" s="5">
        <f t="shared" si="2"/>
        <v>4</v>
      </c>
      <c r="F25" s="5">
        <f t="shared" si="9"/>
        <v>12.587921151585022</v>
      </c>
      <c r="G25" s="4">
        <f t="shared" si="3"/>
        <v>3.1469802878962554</v>
      </c>
      <c r="H25" s="128">
        <f t="shared" si="4"/>
        <v>1.7000000000000004</v>
      </c>
      <c r="I25" s="5">
        <f t="shared" si="10"/>
        <v>1.4337331902616484</v>
      </c>
      <c r="J25" s="4">
        <f t="shared" si="5"/>
        <v>0.843372464859793</v>
      </c>
      <c r="K25" s="128">
        <f t="shared" si="11"/>
        <v>6.9</v>
      </c>
      <c r="L25" s="19">
        <f t="shared" si="12"/>
        <v>15.055542219574923</v>
      </c>
      <c r="M25" s="195">
        <f t="shared" si="6"/>
        <v>2.1819626405181047</v>
      </c>
      <c r="N25" s="440">
        <f t="shared" si="13"/>
        <v>-7.043858972750483E-2</v>
      </c>
      <c r="O25" s="448">
        <f t="shared" si="14"/>
        <v>-0.25157669646551617</v>
      </c>
      <c r="P25" s="444">
        <f t="shared" si="15"/>
        <v>-5.9840956676772028E-2</v>
      </c>
      <c r="Q25" s="445">
        <f t="shared" si="16"/>
        <v>5.5415019642319763E-3</v>
      </c>
      <c r="R25" s="7"/>
      <c r="S25" s="206"/>
      <c r="T25" s="43"/>
      <c r="U25" s="43"/>
      <c r="V25" s="10"/>
      <c r="W25" s="10"/>
      <c r="X25" s="10"/>
      <c r="Y25" s="10"/>
      <c r="Z25" s="10"/>
      <c r="AA25" s="10"/>
      <c r="AB25" s="43"/>
      <c r="AC25" s="10"/>
      <c r="AD25" s="10"/>
      <c r="AE25" s="10"/>
      <c r="AF25" s="10"/>
    </row>
    <row r="26" spans="1:38" x14ac:dyDescent="0.2">
      <c r="A26" s="180">
        <f t="shared" si="7"/>
        <v>2034</v>
      </c>
      <c r="B26" s="128">
        <f t="shared" si="0"/>
        <v>1.2</v>
      </c>
      <c r="C26" s="5">
        <f t="shared" si="8"/>
        <v>0.77087441631554388</v>
      </c>
      <c r="D26" s="195">
        <f t="shared" si="1"/>
        <v>0.64239534692961997</v>
      </c>
      <c r="E26" s="5">
        <f t="shared" si="2"/>
        <v>4</v>
      </c>
      <c r="F26" s="5">
        <f t="shared" si="9"/>
        <v>11.806633940780358</v>
      </c>
      <c r="G26" s="4">
        <f t="shared" si="3"/>
        <v>2.9516584851950896</v>
      </c>
      <c r="H26" s="128">
        <f t="shared" si="4"/>
        <v>1.7000000000000004</v>
      </c>
      <c r="I26" s="5">
        <f t="shared" si="10"/>
        <v>1.4406618121162182</v>
      </c>
      <c r="J26" s="4">
        <f t="shared" si="5"/>
        <v>0.8474481247742458</v>
      </c>
      <c r="K26" s="128">
        <f t="shared" si="11"/>
        <v>6.9</v>
      </c>
      <c r="L26" s="19">
        <f t="shared" si="12"/>
        <v>14.018170169212119</v>
      </c>
      <c r="M26" s="195">
        <f t="shared" si="6"/>
        <v>2.0316188651032054</v>
      </c>
      <c r="N26" s="440">
        <f t="shared" si="13"/>
        <v>-6.8903001647727558E-2</v>
      </c>
      <c r="O26" s="448">
        <f t="shared" si="14"/>
        <v>-0.2543926349060448</v>
      </c>
      <c r="P26" s="444">
        <f t="shared" si="15"/>
        <v>-6.2066420769269492E-2</v>
      </c>
      <c r="Q26" s="445">
        <f t="shared" si="16"/>
        <v>4.8325740811687723E-3</v>
      </c>
      <c r="R26" s="7"/>
      <c r="S26" s="43"/>
      <c r="T26" s="43"/>
      <c r="U26" s="43"/>
      <c r="V26" s="10"/>
      <c r="W26" s="10"/>
      <c r="X26" s="10"/>
      <c r="Y26" s="10"/>
      <c r="Z26" s="10"/>
      <c r="AA26" s="10"/>
      <c r="AB26" s="43"/>
      <c r="AC26" s="10"/>
      <c r="AD26" s="10"/>
      <c r="AE26" s="10"/>
    </row>
    <row r="27" spans="1:38" x14ac:dyDescent="0.2">
      <c r="A27" s="180">
        <f t="shared" si="7"/>
        <v>2035</v>
      </c>
      <c r="B27" s="128">
        <f t="shared" si="0"/>
        <v>1.2</v>
      </c>
      <c r="C27" s="5">
        <f t="shared" si="8"/>
        <v>0.57284981893722375</v>
      </c>
      <c r="D27" s="195">
        <f t="shared" si="1"/>
        <v>0.47737484911435313</v>
      </c>
      <c r="E27" s="5">
        <f t="shared" si="2"/>
        <v>4</v>
      </c>
      <c r="F27" s="5">
        <f t="shared" si="9"/>
        <v>11.050001307689627</v>
      </c>
      <c r="G27" s="4">
        <f t="shared" si="3"/>
        <v>2.7625003269224067</v>
      </c>
      <c r="H27" s="128">
        <f t="shared" si="4"/>
        <v>1.7000000000000004</v>
      </c>
      <c r="I27" s="5">
        <f t="shared" si="10"/>
        <v>1.4466554257915618</v>
      </c>
      <c r="J27" s="4">
        <f t="shared" si="5"/>
        <v>0.85097377987738909</v>
      </c>
      <c r="K27" s="128">
        <f t="shared" si="11"/>
        <v>6.9</v>
      </c>
      <c r="L27" s="19">
        <f t="shared" si="12"/>
        <v>13.069506552418412</v>
      </c>
      <c r="M27" s="195">
        <f t="shared" si="6"/>
        <v>1.8941313844084655</v>
      </c>
      <c r="N27" s="440">
        <f t="shared" si="13"/>
        <v>-6.7673855099665059E-2</v>
      </c>
      <c r="O27" s="448">
        <f t="shared" si="14"/>
        <v>-0.25688308392019876</v>
      </c>
      <c r="P27" s="444">
        <f t="shared" si="15"/>
        <v>-6.4085380887206722E-2</v>
      </c>
      <c r="Q27" s="445">
        <f t="shared" si="16"/>
        <v>4.1603196704016465E-3</v>
      </c>
      <c r="R27" s="7"/>
    </row>
    <row r="28" spans="1:38" x14ac:dyDescent="0.2">
      <c r="A28" s="180">
        <f t="shared" si="7"/>
        <v>2036</v>
      </c>
      <c r="B28" s="128">
        <f t="shared" si="0"/>
        <v>1.2</v>
      </c>
      <c r="C28" s="5">
        <f t="shared" si="8"/>
        <v>0.42442363213675027</v>
      </c>
      <c r="D28" s="195">
        <f t="shared" si="1"/>
        <v>0.3536863601139586</v>
      </c>
      <c r="E28" s="5">
        <f t="shared" si="2"/>
        <v>4</v>
      </c>
      <c r="F28" s="5">
        <f t="shared" si="9"/>
        <v>10.321526597741197</v>
      </c>
      <c r="G28" s="4">
        <f t="shared" si="3"/>
        <v>2.5803816494352994</v>
      </c>
      <c r="H28" s="128">
        <f t="shared" si="4"/>
        <v>1.7000000000000004</v>
      </c>
      <c r="I28" s="5">
        <f t="shared" si="10"/>
        <v>1.4517504952135027</v>
      </c>
      <c r="J28" s="4">
        <f t="shared" si="5"/>
        <v>0.8539708795373544</v>
      </c>
      <c r="K28" s="128">
        <f t="shared" si="11"/>
        <v>6.9</v>
      </c>
      <c r="L28" s="19">
        <f t="shared" si="12"/>
        <v>12.197700725091451</v>
      </c>
      <c r="M28" s="195">
        <f t="shared" si="6"/>
        <v>1.7677827137813695</v>
      </c>
      <c r="N28" s="440">
        <f t="shared" si="13"/>
        <v>-6.6705336106636759E-2</v>
      </c>
      <c r="O28" s="448">
        <f t="shared" si="14"/>
        <v>-0.25910139428138479</v>
      </c>
      <c r="P28" s="444">
        <f t="shared" si="15"/>
        <v>-6.5925305315709615E-2</v>
      </c>
      <c r="Q28" s="445">
        <f t="shared" si="16"/>
        <v>3.5219647547743982E-3</v>
      </c>
    </row>
    <row r="29" spans="1:38" x14ac:dyDescent="0.2">
      <c r="A29" s="180">
        <f t="shared" si="7"/>
        <v>2037</v>
      </c>
      <c r="B29" s="128">
        <f t="shared" si="0"/>
        <v>1.2</v>
      </c>
      <c r="C29" s="5">
        <f t="shared" si="8"/>
        <v>0.31361092492831188</v>
      </c>
      <c r="D29" s="195">
        <f t="shared" si="1"/>
        <v>0.26134243744025992</v>
      </c>
      <c r="E29" s="5">
        <f t="shared" si="2"/>
        <v>4</v>
      </c>
      <c r="F29" s="5">
        <f t="shared" si="9"/>
        <v>9.6236985312820309</v>
      </c>
      <c r="G29" s="4">
        <f t="shared" si="3"/>
        <v>2.4059246328205077</v>
      </c>
      <c r="H29" s="128">
        <f t="shared" si="4"/>
        <v>1.7000000000000004</v>
      </c>
      <c r="I29" s="5">
        <f t="shared" si="10"/>
        <v>1.4559823598716832</v>
      </c>
      <c r="J29" s="4">
        <f t="shared" si="5"/>
        <v>0.85646021168922526</v>
      </c>
      <c r="K29" s="128">
        <f t="shared" si="11"/>
        <v>6.9</v>
      </c>
      <c r="L29" s="19">
        <f t="shared" si="12"/>
        <v>11.393291816082026</v>
      </c>
      <c r="M29" s="195">
        <f t="shared" si="6"/>
        <v>1.6512017124756559</v>
      </c>
      <c r="N29" s="440">
        <f t="shared" si="13"/>
        <v>-6.5947585298162248E-2</v>
      </c>
      <c r="O29" s="448">
        <f t="shared" si="14"/>
        <v>-0.26108986120908151</v>
      </c>
      <c r="P29" s="444">
        <f t="shared" si="15"/>
        <v>-6.7608997550021477E-2</v>
      </c>
      <c r="Q29" s="445">
        <f t="shared" si="16"/>
        <v>2.9150082415216882E-3</v>
      </c>
      <c r="S29" s="11"/>
      <c r="V29" s="58"/>
      <c r="W29" s="28"/>
      <c r="AC29" s="28"/>
      <c r="AD29" s="28"/>
      <c r="AE29" s="28"/>
    </row>
    <row r="30" spans="1:38" x14ac:dyDescent="0.2">
      <c r="A30" s="180">
        <f t="shared" si="7"/>
        <v>2038</v>
      </c>
      <c r="B30" s="128">
        <f t="shared" si="0"/>
        <v>1.2</v>
      </c>
      <c r="C30" s="5">
        <f t="shared" si="8"/>
        <v>0.23116811756569766</v>
      </c>
      <c r="D30" s="195">
        <f t="shared" si="1"/>
        <v>0.19264009797141474</v>
      </c>
      <c r="E30" s="5">
        <f t="shared" si="2"/>
        <v>4</v>
      </c>
      <c r="F30" s="5">
        <f t="shared" si="9"/>
        <v>8.9581664027847978</v>
      </c>
      <c r="G30" s="4">
        <f t="shared" si="3"/>
        <v>2.2395416006961995</v>
      </c>
      <c r="H30" s="128">
        <f t="shared" si="4"/>
        <v>1.7000000000000004</v>
      </c>
      <c r="I30" s="5">
        <f t="shared" si="10"/>
        <v>1.4593852660772484</v>
      </c>
      <c r="J30" s="4">
        <f t="shared" si="5"/>
        <v>0.85846192122191056</v>
      </c>
      <c r="K30" s="128">
        <f t="shared" si="11"/>
        <v>6.9</v>
      </c>
      <c r="L30" s="19">
        <f t="shared" si="12"/>
        <v>10.648719786427744</v>
      </c>
      <c r="M30" s="195">
        <f t="shared" si="6"/>
        <v>1.5432927226706874</v>
      </c>
      <c r="N30" s="440">
        <f t="shared" si="13"/>
        <v>-6.5351791358779443E-2</v>
      </c>
      <c r="O30" s="448">
        <f t="shared" si="14"/>
        <v>-0.26288244703675345</v>
      </c>
      <c r="P30" s="444">
        <f t="shared" si="15"/>
        <v>-6.9155546210628582E-2</v>
      </c>
      <c r="Q30" s="445">
        <f t="shared" si="16"/>
        <v>2.3371891716221782E-3</v>
      </c>
      <c r="S30" s="7"/>
      <c r="T30" s="7"/>
      <c r="U30" s="7"/>
      <c r="AB30" s="7"/>
    </row>
    <row r="31" spans="1:38" x14ac:dyDescent="0.2">
      <c r="A31" s="180">
        <f t="shared" si="7"/>
        <v>2039</v>
      </c>
      <c r="B31" s="128">
        <f t="shared" si="0"/>
        <v>1.2</v>
      </c>
      <c r="C31" s="5">
        <f t="shared" si="8"/>
        <v>0.17002259308263074</v>
      </c>
      <c r="D31" s="195">
        <f t="shared" si="1"/>
        <v>0.14168549423552562</v>
      </c>
      <c r="E31" s="5">
        <f t="shared" si="2"/>
        <v>4</v>
      </c>
      <c r="F31" s="5">
        <f t="shared" si="9"/>
        <v>8.3258895948105618</v>
      </c>
      <c r="G31" s="4">
        <f t="shared" si="3"/>
        <v>2.0814723987026404</v>
      </c>
      <c r="H31" s="128">
        <f t="shared" si="4"/>
        <v>1.7000000000000004</v>
      </c>
      <c r="I31" s="5">
        <f t="shared" si="10"/>
        <v>1.461992397401616</v>
      </c>
      <c r="J31" s="4">
        <f t="shared" si="5"/>
        <v>0.85999552788330336</v>
      </c>
      <c r="K31" s="128">
        <f t="shared" si="11"/>
        <v>6.9</v>
      </c>
      <c r="L31" s="19">
        <f t="shared" si="12"/>
        <v>9.9579045852948092</v>
      </c>
      <c r="M31" s="195">
        <f t="shared" si="6"/>
        <v>1.4431745775789577</v>
      </c>
      <c r="N31" s="440">
        <f t="shared" si="13"/>
        <v>-6.4873075354411003E-2</v>
      </c>
      <c r="O31" s="448">
        <f t="shared" si="14"/>
        <v>-0.26450673703171657</v>
      </c>
      <c r="P31" s="444">
        <f t="shared" si="15"/>
        <v>-7.058105191902686E-2</v>
      </c>
      <c r="Q31" s="445">
        <f t="shared" si="16"/>
        <v>1.7864585760656304E-3</v>
      </c>
      <c r="S31" s="7"/>
      <c r="T31" s="7"/>
      <c r="U31" s="7"/>
      <c r="AB31" s="7"/>
    </row>
    <row r="32" spans="1:38" x14ac:dyDescent="0.2">
      <c r="A32" s="180">
        <f t="shared" si="7"/>
        <v>2040</v>
      </c>
      <c r="B32" s="128">
        <f t="shared" si="0"/>
        <v>1.2</v>
      </c>
      <c r="C32" s="5">
        <f t="shared" si="8"/>
        <v>0.12479907091446757</v>
      </c>
      <c r="D32" s="195">
        <f t="shared" si="1"/>
        <v>0.10399922576205631</v>
      </c>
      <c r="E32" s="5">
        <f t="shared" si="2"/>
        <v>4</v>
      </c>
      <c r="F32" s="5">
        <f t="shared" si="9"/>
        <v>7.7272648774927006</v>
      </c>
      <c r="G32" s="4">
        <f t="shared" si="3"/>
        <v>1.9318162193731752</v>
      </c>
      <c r="H32" s="128">
        <f t="shared" si="4"/>
        <v>1.7000000000000004</v>
      </c>
      <c r="I32" s="5">
        <f t="shared" si="10"/>
        <v>1.4638359043167384</v>
      </c>
      <c r="J32" s="4">
        <f t="shared" si="5"/>
        <v>0.86107994371572827</v>
      </c>
      <c r="K32" s="128">
        <f t="shared" si="11"/>
        <v>6.9</v>
      </c>
      <c r="L32" s="19">
        <f t="shared" si="12"/>
        <v>9.3158998527239074</v>
      </c>
      <c r="M32" s="195">
        <f t="shared" si="6"/>
        <v>1.3501304134382475</v>
      </c>
      <c r="N32" s="440">
        <f t="shared" si="13"/>
        <v>-6.4471870268668074E-2</v>
      </c>
      <c r="O32" s="448">
        <f t="shared" si="14"/>
        <v>-0.26598536905142134</v>
      </c>
      <c r="P32" s="444">
        <f t="shared" si="15"/>
        <v>-7.1899189930524354E-2</v>
      </c>
      <c r="Q32" s="445">
        <f t="shared" si="16"/>
        <v>1.2609551994926527E-3</v>
      </c>
      <c r="S32" s="7"/>
      <c r="T32" s="7"/>
      <c r="U32" s="7"/>
      <c r="AB32" s="7"/>
    </row>
    <row r="33" spans="1:38" x14ac:dyDescent="0.2">
      <c r="A33" s="180">
        <f t="shared" si="7"/>
        <v>2041</v>
      </c>
      <c r="B33" s="128">
        <f t="shared" si="0"/>
        <v>1.2</v>
      </c>
      <c r="C33" s="5">
        <f t="shared" si="8"/>
        <v>9.1435649826009935E-2</v>
      </c>
      <c r="D33" s="195">
        <f t="shared" si="1"/>
        <v>7.6196374855008284E-2</v>
      </c>
      <c r="E33" s="5">
        <f t="shared" si="2"/>
        <v>4</v>
      </c>
      <c r="F33" s="5">
        <f t="shared" si="9"/>
        <v>7.1622345177297433</v>
      </c>
      <c r="G33" s="4">
        <f t="shared" si="3"/>
        <v>1.7905586294324358</v>
      </c>
      <c r="H33" s="128">
        <f t="shared" si="4"/>
        <v>1.7000000000000004</v>
      </c>
      <c r="I33" s="5">
        <f t="shared" si="10"/>
        <v>1.4649469330565807</v>
      </c>
      <c r="J33" s="4">
        <f t="shared" si="5"/>
        <v>0.86173349003328259</v>
      </c>
      <c r="K33" s="128">
        <f t="shared" si="11"/>
        <v>6.9</v>
      </c>
      <c r="L33" s="19">
        <f t="shared" si="12"/>
        <v>8.7186171006123345</v>
      </c>
      <c r="M33" s="195">
        <f t="shared" si="6"/>
        <v>1.2635676957409179</v>
      </c>
      <c r="N33" s="440">
        <f t="shared" si="13"/>
        <v>-6.4114338019309103E-2</v>
      </c>
      <c r="O33" s="448">
        <f t="shared" si="14"/>
        <v>-0.26733709509202697</v>
      </c>
      <c r="P33" s="444">
        <f t="shared" si="15"/>
        <v>-7.3121650250236425E-2</v>
      </c>
      <c r="Q33" s="445">
        <f t="shared" si="16"/>
        <v>7.5898448491806825E-4</v>
      </c>
      <c r="S33" s="7"/>
      <c r="T33" s="7"/>
      <c r="U33" s="7"/>
      <c r="AB33" s="7"/>
    </row>
    <row r="34" spans="1:38" x14ac:dyDescent="0.2">
      <c r="A34" s="180">
        <f t="shared" si="7"/>
        <v>2042</v>
      </c>
      <c r="B34" s="128">
        <f t="shared" si="0"/>
        <v>1.2</v>
      </c>
      <c r="C34" s="5">
        <f t="shared" si="8"/>
        <v>6.6878084200854365E-2</v>
      </c>
      <c r="D34" s="195">
        <f t="shared" si="1"/>
        <v>5.5731736834045309E-2</v>
      </c>
      <c r="E34" s="5">
        <f t="shared" si="2"/>
        <v>4</v>
      </c>
      <c r="F34" s="5">
        <f t="shared" si="9"/>
        <v>6.6303778313131971</v>
      </c>
      <c r="G34" s="4">
        <f t="shared" si="3"/>
        <v>1.6575944578282993</v>
      </c>
      <c r="H34" s="128">
        <f t="shared" si="4"/>
        <v>1.7000000000000004</v>
      </c>
      <c r="I34" s="5">
        <f t="shared" si="10"/>
        <v>1.4653556537197403</v>
      </c>
      <c r="J34" s="4">
        <f t="shared" si="5"/>
        <v>0.86197391395278822</v>
      </c>
      <c r="K34" s="128">
        <f t="shared" si="11"/>
        <v>6.9</v>
      </c>
      <c r="L34" s="19">
        <f t="shared" si="12"/>
        <v>8.1626115692337926</v>
      </c>
      <c r="M34" s="195">
        <f t="shared" si="6"/>
        <v>1.1829871839469264</v>
      </c>
      <c r="N34" s="440">
        <f t="shared" si="13"/>
        <v>-6.3772215818434286E-2</v>
      </c>
      <c r="O34" s="448">
        <f t="shared" si="14"/>
        <v>-0.2685775807563614</v>
      </c>
      <c r="P34" s="444">
        <f t="shared" si="15"/>
        <v>-7.4258485267406749E-2</v>
      </c>
      <c r="Q34" s="445">
        <f t="shared" si="16"/>
        <v>2.7900032003658204E-4</v>
      </c>
      <c r="S34" s="7"/>
      <c r="T34" s="7"/>
      <c r="U34" s="7"/>
      <c r="AB34" s="7"/>
    </row>
    <row r="35" spans="1:38" x14ac:dyDescent="0.2">
      <c r="A35" s="180">
        <f t="shared" si="7"/>
        <v>2043</v>
      </c>
      <c r="B35" s="128">
        <f t="shared" si="0"/>
        <v>1.2</v>
      </c>
      <c r="C35" s="5">
        <f t="shared" si="8"/>
        <v>4.8839726317282672E-2</v>
      </c>
      <c r="D35" s="195">
        <f t="shared" si="1"/>
        <v>4.0699771931068898E-2</v>
      </c>
      <c r="E35" s="5">
        <f t="shared" si="2"/>
        <v>4</v>
      </c>
      <c r="F35" s="5">
        <f t="shared" si="9"/>
        <v>6.1309884690987104</v>
      </c>
      <c r="G35" s="4">
        <f t="shared" si="3"/>
        <v>1.5327471172746776</v>
      </c>
      <c r="H35" s="128">
        <f t="shared" si="4"/>
        <v>1.7000000000000004</v>
      </c>
      <c r="I35" s="5">
        <f t="shared" si="10"/>
        <v>1.4650912876327595</v>
      </c>
      <c r="J35" s="4">
        <f t="shared" si="5"/>
        <v>0.86181840448985836</v>
      </c>
      <c r="K35" s="128">
        <f t="shared" si="11"/>
        <v>6.9</v>
      </c>
      <c r="L35" s="19">
        <f t="shared" si="12"/>
        <v>7.6449194830487528</v>
      </c>
      <c r="M35" s="195">
        <f t="shared" si="6"/>
        <v>1.1079593453693843</v>
      </c>
      <c r="N35" s="440">
        <f t="shared" si="13"/>
        <v>-6.3422359595831423E-2</v>
      </c>
      <c r="O35" s="448">
        <f t="shared" si="14"/>
        <v>-0.26972001514572774</v>
      </c>
      <c r="P35" s="444">
        <f t="shared" si="15"/>
        <v>-7.5318386812894267E-2</v>
      </c>
      <c r="Q35" s="445">
        <f t="shared" si="16"/>
        <v>-1.8041086906761539E-4</v>
      </c>
    </row>
    <row r="36" spans="1:38" x14ac:dyDescent="0.2">
      <c r="A36" s="180">
        <f t="shared" si="7"/>
        <v>2044</v>
      </c>
      <c r="B36" s="128">
        <f t="shared" si="0"/>
        <v>1.2</v>
      </c>
      <c r="C36" s="5">
        <f t="shared" si="8"/>
        <v>3.5615121017186641E-2</v>
      </c>
      <c r="D36" s="195">
        <f t="shared" si="1"/>
        <v>2.9679267514322202E-2</v>
      </c>
      <c r="E36" s="5">
        <f t="shared" si="2"/>
        <v>4</v>
      </c>
      <c r="F36" s="5">
        <f t="shared" si="9"/>
        <v>5.6631394290987558</v>
      </c>
      <c r="G36" s="4">
        <f t="shared" si="3"/>
        <v>1.4157848572746889</v>
      </c>
      <c r="H36" s="128">
        <f t="shared" si="4"/>
        <v>1.7000000000000004</v>
      </c>
      <c r="I36" s="5">
        <f t="shared" si="10"/>
        <v>1.4641821339920682</v>
      </c>
      <c r="J36" s="4">
        <f t="shared" si="5"/>
        <v>0.86128360823062811</v>
      </c>
      <c r="K36" s="128">
        <f t="shared" si="11"/>
        <v>6.9</v>
      </c>
      <c r="L36" s="19">
        <f t="shared" si="12"/>
        <v>7.1629366841080104</v>
      </c>
      <c r="M36" s="195">
        <f t="shared" si="6"/>
        <v>1.0381067658127552</v>
      </c>
      <c r="N36" s="440">
        <f t="shared" si="13"/>
        <v>-6.3046157648808943E-2</v>
      </c>
      <c r="O36" s="448">
        <f t="shared" si="14"/>
        <v>-0.27077558162762072</v>
      </c>
      <c r="P36" s="444">
        <f t="shared" si="15"/>
        <v>-7.6308908809402998E-2</v>
      </c>
      <c r="Q36" s="445">
        <f t="shared" si="16"/>
        <v>-6.2054402231848105E-4</v>
      </c>
    </row>
    <row r="37" spans="1:38" x14ac:dyDescent="0.2">
      <c r="A37" s="180">
        <f t="shared" si="7"/>
        <v>2045</v>
      </c>
      <c r="B37" s="128">
        <f t="shared" si="0"/>
        <v>1.2</v>
      </c>
      <c r="C37" s="5">
        <f t="shared" si="8"/>
        <v>2.5936575647633783E-2</v>
      </c>
      <c r="D37" s="195">
        <f t="shared" si="1"/>
        <v>2.1613813039694819E-2</v>
      </c>
      <c r="E37" s="5">
        <f t="shared" si="2"/>
        <v>4</v>
      </c>
      <c r="F37" s="5">
        <f t="shared" si="9"/>
        <v>5.2257375247924571</v>
      </c>
      <c r="G37" s="4">
        <f t="shared" si="3"/>
        <v>1.3064343811981143</v>
      </c>
      <c r="H37" s="128">
        <f t="shared" si="4"/>
        <v>1.7000000000000004</v>
      </c>
      <c r="I37" s="5">
        <f t="shared" si="10"/>
        <v>1.4626555958038239</v>
      </c>
      <c r="J37" s="4">
        <f t="shared" si="5"/>
        <v>0.86038564459048439</v>
      </c>
      <c r="K37" s="128">
        <f t="shared" si="11"/>
        <v>6.9</v>
      </c>
      <c r="L37" s="19">
        <f t="shared" si="12"/>
        <v>6.7143296962439152</v>
      </c>
      <c r="M37" s="195">
        <f t="shared" si="6"/>
        <v>0.9730912603252051</v>
      </c>
      <c r="N37" s="440">
        <f t="shared" si="13"/>
        <v>-6.2628919903674918E-2</v>
      </c>
      <c r="O37" s="448">
        <f t="shared" si="14"/>
        <v>-0.27175382514865865</v>
      </c>
      <c r="P37" s="444">
        <f t="shared" si="15"/>
        <v>-7.7236647584343121E-2</v>
      </c>
      <c r="Q37" s="445">
        <f t="shared" si="16"/>
        <v>-1.0425876349701158E-3</v>
      </c>
    </row>
    <row r="38" spans="1:38" x14ac:dyDescent="0.2">
      <c r="A38" s="180">
        <f t="shared" si="7"/>
        <v>2046</v>
      </c>
      <c r="B38" s="128">
        <f t="shared" si="0"/>
        <v>1.2</v>
      </c>
      <c r="C38" s="5">
        <f t="shared" si="8"/>
        <v>1.8864632634453919E-2</v>
      </c>
      <c r="D38" s="195">
        <f t="shared" si="1"/>
        <v>1.5720527195378267E-2</v>
      </c>
      <c r="E38" s="5">
        <f t="shared" si="2"/>
        <v>4</v>
      </c>
      <c r="F38" s="5">
        <f t="shared" si="9"/>
        <v>4.8175688113977202</v>
      </c>
      <c r="G38" s="4">
        <f t="shared" si="3"/>
        <v>1.20439220284943</v>
      </c>
      <c r="H38" s="128">
        <f t="shared" si="4"/>
        <v>1.7000000000000004</v>
      </c>
      <c r="I38" s="5">
        <f t="shared" si="10"/>
        <v>1.4605382051382776</v>
      </c>
      <c r="J38" s="4">
        <f t="shared" si="5"/>
        <v>0.8591401206695749</v>
      </c>
      <c r="K38" s="128">
        <f t="shared" si="11"/>
        <v>6.9</v>
      </c>
      <c r="L38" s="19">
        <f t="shared" si="12"/>
        <v>6.2969716491704517</v>
      </c>
      <c r="M38" s="195">
        <f t="shared" si="6"/>
        <v>0.9126045868362973</v>
      </c>
      <c r="N38" s="440">
        <f t="shared" si="13"/>
        <v>-6.2159301963819136E-2</v>
      </c>
      <c r="O38" s="448">
        <f t="shared" si="14"/>
        <v>-0.27266294167962157</v>
      </c>
      <c r="P38" s="444">
        <f t="shared" si="15"/>
        <v>-7.8107388949074208E-2</v>
      </c>
      <c r="Q38" s="445">
        <f t="shared" si="16"/>
        <v>-1.4476344750061765E-3</v>
      </c>
    </row>
    <row r="39" spans="1:38" x14ac:dyDescent="0.2">
      <c r="A39" s="180">
        <f t="shared" si="7"/>
        <v>2047</v>
      </c>
      <c r="B39" s="128">
        <f t="shared" si="0"/>
        <v>1.2</v>
      </c>
      <c r="C39" s="5">
        <f t="shared" si="8"/>
        <v>1.3704966804251456E-2</v>
      </c>
      <c r="D39" s="195">
        <f t="shared" si="1"/>
        <v>1.1420805670209547E-2</v>
      </c>
      <c r="E39" s="5">
        <f t="shared" si="2"/>
        <v>4</v>
      </c>
      <c r="F39" s="5">
        <f t="shared" si="9"/>
        <v>4.4373362722729368</v>
      </c>
      <c r="G39" s="4">
        <f t="shared" si="3"/>
        <v>1.1093340680682342</v>
      </c>
      <c r="H39" s="128">
        <f t="shared" si="4"/>
        <v>1.7000000000000004</v>
      </c>
      <c r="I39" s="5">
        <f t="shared" si="10"/>
        <v>1.4578556477170537</v>
      </c>
      <c r="J39" s="4">
        <f t="shared" si="5"/>
        <v>0.85756214571591372</v>
      </c>
      <c r="K39" s="128">
        <f t="shared" si="11"/>
        <v>6.9</v>
      </c>
      <c r="L39" s="19">
        <f t="shared" si="12"/>
        <v>5.908896886794242</v>
      </c>
      <c r="M39" s="195">
        <f t="shared" si="6"/>
        <v>0.85636186765133937</v>
      </c>
      <c r="N39" s="440">
        <f t="shared" si="13"/>
        <v>-6.1628793013119854E-2</v>
      </c>
      <c r="O39" s="448">
        <f t="shared" si="14"/>
        <v>-0.27351000839417206</v>
      </c>
      <c r="P39" s="444">
        <f t="shared" si="15"/>
        <v>-7.8926228977820534E-2</v>
      </c>
      <c r="Q39" s="445">
        <f t="shared" si="16"/>
        <v>-1.8366910305984696E-3</v>
      </c>
    </row>
    <row r="40" spans="1:38" x14ac:dyDescent="0.2">
      <c r="A40" s="180">
        <f t="shared" si="7"/>
        <v>2048</v>
      </c>
      <c r="B40" s="128">
        <f t="shared" si="0"/>
        <v>1.2</v>
      </c>
      <c r="C40" s="5">
        <f t="shared" si="8"/>
        <v>9.945678398719137E-3</v>
      </c>
      <c r="D40" s="195">
        <f t="shared" si="1"/>
        <v>8.2880653322659481E-3</v>
      </c>
      <c r="E40" s="5">
        <f t="shared" si="2"/>
        <v>4</v>
      </c>
      <c r="F40" s="5">
        <f t="shared" si="9"/>
        <v>4.0836908934418972</v>
      </c>
      <c r="G40" s="4">
        <f t="shared" si="3"/>
        <v>1.0209227233604743</v>
      </c>
      <c r="H40" s="128">
        <f t="shared" si="4"/>
        <v>1.7000000000000004</v>
      </c>
      <c r="I40" s="5">
        <f t="shared" si="10"/>
        <v>1.4546327868498992</v>
      </c>
      <c r="J40" s="4">
        <f t="shared" si="5"/>
        <v>0.85566634520582285</v>
      </c>
      <c r="K40" s="128">
        <f t="shared" si="11"/>
        <v>6.9</v>
      </c>
      <c r="L40" s="19">
        <f t="shared" si="12"/>
        <v>5.5482693586905159</v>
      </c>
      <c r="M40" s="195">
        <f t="shared" si="6"/>
        <v>0.80409700850587185</v>
      </c>
      <c r="N40" s="440">
        <f t="shared" si="13"/>
        <v>-6.1031277920873928E-2</v>
      </c>
      <c r="O40" s="448">
        <f t="shared" si="14"/>
        <v>-0.27430116827179318</v>
      </c>
      <c r="P40" s="444">
        <f t="shared" si="15"/>
        <v>-7.9697673814090209E-2</v>
      </c>
      <c r="Q40" s="445">
        <f t="shared" si="16"/>
        <v>-2.2106858605660529E-3</v>
      </c>
    </row>
    <row r="41" spans="1:38" x14ac:dyDescent="0.2">
      <c r="A41" s="180">
        <f t="shared" si="7"/>
        <v>2049</v>
      </c>
      <c r="B41" s="128">
        <f t="shared" si="0"/>
        <v>1.2</v>
      </c>
      <c r="C41" s="5">
        <f t="shared" si="8"/>
        <v>7.2102013154229372E-3</v>
      </c>
      <c r="D41" s="195">
        <f t="shared" si="1"/>
        <v>6.008501096185781E-3</v>
      </c>
      <c r="E41" s="5">
        <f t="shared" si="2"/>
        <v>4</v>
      </c>
      <c r="F41" s="5">
        <f t="shared" si="9"/>
        <v>3.7552571023224388</v>
      </c>
      <c r="G41" s="4">
        <f t="shared" si="3"/>
        <v>0.9388142755806097</v>
      </c>
      <c r="H41" s="128">
        <f t="shared" si="4"/>
        <v>1.7000000000000004</v>
      </c>
      <c r="I41" s="5">
        <f t="shared" si="10"/>
        <v>1.450893686737345</v>
      </c>
      <c r="J41" s="4">
        <f t="shared" si="5"/>
        <v>0.85346687455137915</v>
      </c>
      <c r="K41" s="128">
        <f t="shared" si="11"/>
        <v>6.9</v>
      </c>
      <c r="L41" s="19">
        <f t="shared" si="12"/>
        <v>5.2133609903752065</v>
      </c>
      <c r="M41" s="195">
        <f t="shared" si="6"/>
        <v>0.75555956382249367</v>
      </c>
      <c r="N41" s="440">
        <f t="shared" si="13"/>
        <v>-6.0362672873970458E-2</v>
      </c>
      <c r="O41" s="448">
        <f t="shared" si="14"/>
        <v>-0.27504177931678253</v>
      </c>
      <c r="P41" s="444">
        <f t="shared" si="15"/>
        <v>-8.0425722634124619E-2</v>
      </c>
      <c r="Q41" s="445">
        <f t="shared" si="16"/>
        <v>-2.570476993476456E-3</v>
      </c>
    </row>
    <row r="42" spans="1:38" ht="13.5" thickBot="1" x14ac:dyDescent="0.25">
      <c r="A42" s="189">
        <f>A41+1</f>
        <v>2050</v>
      </c>
      <c r="B42" s="181">
        <f>RF!B40</f>
        <v>1.2</v>
      </c>
      <c r="C42" s="182">
        <f t="shared" si="8"/>
        <v>5.2220853804066329E-3</v>
      </c>
      <c r="D42" s="196">
        <f t="shared" si="1"/>
        <v>4.351737817005528E-3</v>
      </c>
      <c r="E42" s="190">
        <f>RF!E40</f>
        <v>4</v>
      </c>
      <c r="F42" s="182">
        <f t="shared" si="9"/>
        <v>3.4506534143351359</v>
      </c>
      <c r="G42" s="183">
        <f t="shared" si="3"/>
        <v>0.86266335358378399</v>
      </c>
      <c r="H42" s="184">
        <f>K42-E42-B42</f>
        <v>1.7000000000000004</v>
      </c>
      <c r="I42" s="182">
        <f t="shared" si="10"/>
        <v>1.4466616351549391</v>
      </c>
      <c r="J42" s="183">
        <f t="shared" si="5"/>
        <v>0.85097743244408164</v>
      </c>
      <c r="K42" s="181">
        <f>RF!K40</f>
        <v>6.9</v>
      </c>
      <c r="L42" s="185">
        <f t="shared" si="12"/>
        <v>4.9025371348704816</v>
      </c>
      <c r="M42" s="186">
        <f t="shared" si="6"/>
        <v>0.71051262824209871</v>
      </c>
      <c r="N42" s="441">
        <f t="shared" si="13"/>
        <v>-5.9620627859563347E-2</v>
      </c>
      <c r="O42" s="449">
        <f t="shared" si="14"/>
        <v>-0.27573653606087767</v>
      </c>
      <c r="P42" s="446">
        <f t="shared" si="15"/>
        <v>-8.1113936992202373E-2</v>
      </c>
      <c r="Q42" s="447">
        <f t="shared" si="16"/>
        <v>-2.9168584997586455E-3</v>
      </c>
    </row>
    <row r="43" spans="1:38" s="206" customFormat="1" x14ac:dyDescent="0.2">
      <c r="A43" s="489" t="s">
        <v>1</v>
      </c>
      <c r="B43" s="197"/>
      <c r="C43" s="207">
        <f>SUM(C12:C42)</f>
        <v>118.93706757499594</v>
      </c>
      <c r="D43" s="208"/>
      <c r="E43" s="207"/>
      <c r="F43" s="207">
        <f>SUM(F12:F42)</f>
        <v>359.89841936167005</v>
      </c>
      <c r="G43" s="207"/>
      <c r="H43" s="209"/>
      <c r="I43" s="207">
        <f>SUM(I12:I42)</f>
        <v>43.715461898851572</v>
      </c>
      <c r="J43" s="207"/>
      <c r="K43" s="210"/>
      <c r="L43" s="207">
        <f>SUM(L12:L42)</f>
        <v>522.5509488355176</v>
      </c>
      <c r="M43" s="198"/>
      <c r="N43" s="205"/>
      <c r="P43" s="3"/>
      <c r="Q43" s="3"/>
      <c r="R43" s="3"/>
      <c r="S43" s="3"/>
      <c r="T43" s="3"/>
      <c r="U43" s="3"/>
      <c r="V43" s="1"/>
      <c r="W43" s="1"/>
      <c r="X43" s="1"/>
      <c r="Y43" s="1"/>
      <c r="Z43" s="1"/>
      <c r="AA43" s="1"/>
      <c r="AB43" s="3"/>
      <c r="AC43" s="1"/>
      <c r="AD43" s="1"/>
      <c r="AE43" s="1"/>
      <c r="AF43" s="1"/>
      <c r="AG43" s="1"/>
      <c r="AH43" s="1"/>
      <c r="AI43" s="1"/>
      <c r="AJ43" s="3"/>
      <c r="AK43" s="3"/>
      <c r="AL43" s="3"/>
    </row>
    <row r="44" spans="1:38" ht="13.5" thickBot="1" x14ac:dyDescent="0.25">
      <c r="A44" s="180" t="s">
        <v>52</v>
      </c>
      <c r="B44" s="197"/>
      <c r="C44" s="211">
        <f>C$11*EXP(-C$8*($A42-$A$11))/C$8^2*((C$7*C$8+C$8^2)*($A42-$A$11)+2*C$8+C$7)</f>
        <v>1.3576840767910424E-2</v>
      </c>
      <c r="D44" s="208"/>
      <c r="E44" s="207"/>
      <c r="F44" s="211">
        <f>F$11*EXP(-F$8*($A42-$A$11))/F$8^2*((F$7*F$8+F$8^2)*($A42-$A$11)+2*F$8+F$7)</f>
        <v>36.603728690876181</v>
      </c>
      <c r="G44" s="207"/>
      <c r="H44" s="209"/>
      <c r="I44" s="211">
        <f>I$11*EXP(-I$8*($A42-$A$11))/I$8^2*((I$7*I$8+I$8^2)*($A42-$A$11)+2*I$8+I$7)</f>
        <v>124.79795102348058</v>
      </c>
      <c r="J44" s="207"/>
      <c r="K44" s="212"/>
      <c r="L44" s="213">
        <f t="shared" si="12"/>
        <v>161.41525655512467</v>
      </c>
      <c r="M44" s="204"/>
      <c r="N44" s="152"/>
      <c r="AK44" s="206"/>
      <c r="AL44" s="206"/>
    </row>
    <row r="45" spans="1:38" ht="13.5" thickBot="1" x14ac:dyDescent="0.25">
      <c r="A45" s="143" t="s">
        <v>1</v>
      </c>
      <c r="B45" s="199"/>
      <c r="C45" s="145">
        <f>SUM(C43:C44)</f>
        <v>118.95064441576385</v>
      </c>
      <c r="D45" s="200"/>
      <c r="E45" s="145"/>
      <c r="F45" s="145">
        <f>SUM(F43:F44)</f>
        <v>396.5021480525462</v>
      </c>
      <c r="G45" s="146"/>
      <c r="H45" s="144"/>
      <c r="I45" s="145">
        <f>SUM(I43:I44)</f>
        <v>168.51341292233215</v>
      </c>
      <c r="J45" s="146"/>
      <c r="K45" s="144"/>
      <c r="L45" s="147">
        <f>SUM(L43:L44)</f>
        <v>683.96620539064224</v>
      </c>
      <c r="M45" s="148"/>
      <c r="N45" s="138"/>
    </row>
    <row r="46" spans="1:38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8" x14ac:dyDescent="0.2">
      <c r="A47" s="7"/>
      <c r="B47" s="7"/>
      <c r="C47" s="7"/>
      <c r="D47" s="7"/>
      <c r="E47" s="7"/>
      <c r="F47" s="7" t="s">
        <v>58</v>
      </c>
      <c r="K47" s="114"/>
      <c r="L47" s="113">
        <f>'global path'!C88</f>
        <v>683.96620539064213</v>
      </c>
      <c r="M47" s="7"/>
      <c r="N47" s="7"/>
      <c r="AI47" s="2"/>
      <c r="AJ47" s="206"/>
    </row>
    <row r="48" spans="1:3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113">
        <f>L45-L47</f>
        <v>0</v>
      </c>
      <c r="M48" s="7"/>
      <c r="N48" s="7"/>
    </row>
    <row r="49" spans="1:34" x14ac:dyDescent="0.2">
      <c r="AG49" s="2"/>
      <c r="AH49" s="2"/>
    </row>
    <row r="50" spans="1:34" ht="13.5" thickBot="1" x14ac:dyDescent="0.25">
      <c r="O50" s="35"/>
      <c r="P50" s="35"/>
      <c r="Q50" s="35"/>
    </row>
    <row r="51" spans="1:34" x14ac:dyDescent="0.2">
      <c r="A51" s="491">
        <f>A42+1</f>
        <v>2051</v>
      </c>
      <c r="B51" s="568">
        <f>B42</f>
        <v>1.2</v>
      </c>
      <c r="C51" s="493">
        <f>-C$11*EXP(-C$8*($A51-$A$11))/C$8^2*((C$7*C$8+C$8^2)*($A51-$A$11)+2*C$8+C$7)
  +C$11*EXP(-C$8*($A42-$A$11))/C$8^2*((C$7*C$8+C$8^2)*($A42-$A$11)+2*C$8+C$7)</f>
        <v>3.7787554519185494E-3</v>
      </c>
      <c r="D51" s="494">
        <f t="shared" ref="D51:D100" si="17">C51/B51</f>
        <v>3.1489628765987913E-3</v>
      </c>
      <c r="E51" s="658">
        <f>E42</f>
        <v>4</v>
      </c>
      <c r="F51" s="493">
        <f>-F$11*EXP(-F$8*($A51-$A$11))/F$8^2*((F$7*F$8+F$8^2)*($A51-$A$11)+2*F$8+F$7)
  +F$11*EXP(-F$8*($A42-$A$11))/F$8^2*((F$7*F$8+F$8^2)*($A42-$A$11)+2*F$8+F$7)</f>
        <v>3.1685090157358218</v>
      </c>
      <c r="G51" s="495">
        <f t="shared" ref="G51:G100" si="18">F51/E51</f>
        <v>0.79212725393395544</v>
      </c>
      <c r="H51" s="568">
        <f>H42</f>
        <v>1.7000000000000004</v>
      </c>
      <c r="I51" s="493">
        <f>-I$11*EXP(-I$8*($A51-$A$11))/I$8^2*((I$7*I$8+I$8^2)*($A51-$A$11)+2*I$8+I$7)
  +I$11*EXP(-I$8*($A42-$A$11))/I$8^2*((I$7*I$8+I$8^2)*($A42-$A$11)+2*I$8+I$7)</f>
        <v>1.4419591655364741</v>
      </c>
      <c r="J51" s="495">
        <f t="shared" ref="J51:J100" si="19">I51/H51</f>
        <v>0.84821127384498451</v>
      </c>
      <c r="K51" s="492">
        <f t="shared" ref="K51:K100" si="20">B51+E51+H51</f>
        <v>6.9</v>
      </c>
      <c r="L51" s="496">
        <f t="shared" ref="L51:L100" si="21">I51+F51+C51</f>
        <v>4.6142469367242143</v>
      </c>
      <c r="M51" s="494">
        <f t="shared" ref="M51:M100" si="22">L51/K51</f>
        <v>0.66873144010495855</v>
      </c>
      <c r="N51" s="497">
        <f>L51/L42-1</f>
        <v>-5.8804286477655343E-2</v>
      </c>
      <c r="O51" s="448">
        <f>C51/C42-1</f>
        <v>-0.27638956917546498</v>
      </c>
      <c r="P51" s="444">
        <f>F51/F42-1</f>
        <v>-8.176549908698294E-2</v>
      </c>
      <c r="Q51" s="445">
        <f>I51/I42-1</f>
        <v>-3.2505663412863983E-3</v>
      </c>
      <c r="R51" s="206"/>
    </row>
    <row r="52" spans="1:34" x14ac:dyDescent="0.2">
      <c r="A52" s="180">
        <f>A51+1</f>
        <v>2052</v>
      </c>
      <c r="B52" s="128">
        <f>B51</f>
        <v>1.2</v>
      </c>
      <c r="C52" s="5">
        <f t="shared" ref="C52:C100" si="23">-C$11*EXP(-C$8*($A52-$A$11))/C$8^2*((C$7*C$8+C$8^2)*($A52-$A$11)+2*C$8+C$7)
  +C$11*EXP(-C$8*($A51-$A$11))/C$8^2*((C$7*C$8+C$8^2)*($A51-$A$11)+2*C$8+C$7)</f>
        <v>2.7320230828163771E-3</v>
      </c>
      <c r="D52" s="195">
        <f t="shared" si="17"/>
        <v>2.2766859023469811E-3</v>
      </c>
      <c r="E52" s="5">
        <f>E51</f>
        <v>4</v>
      </c>
      <c r="F52" s="5">
        <f t="shared" ref="F52:F100" si="24">-F$11*EXP(-F$8*($A52-$A$11))/F$8^2*((F$7*F$8+F$8^2)*($A52-$A$11)+2*F$8+F$7)
  +F$11*EXP(-F$8*($A51-$A$11))/F$8^2*((F$7*F$8+F$8^2)*($A51-$A$11)+2*F$8+F$7)</f>
        <v>2.9074769106392857</v>
      </c>
      <c r="G52" s="4">
        <f t="shared" si="18"/>
        <v>0.72686922765982143</v>
      </c>
      <c r="H52" s="128">
        <f>H51</f>
        <v>1.7000000000000004</v>
      </c>
      <c r="I52" s="5">
        <f t="shared" ref="I52:I100" si="25">-I$11*EXP(-I$8*($A52-$A$11))/I$8^2*((I$7*I$8+I$8^2)*($A52-$A$11)+2*I$8+I$7)
  +I$11*EXP(-I$8*($A51-$A$11))/I$8^2*((I$7*I$8+I$8^2)*($A51-$A$11)+2*I$8+I$7)</f>
        <v>1.4368080784690562</v>
      </c>
      <c r="J52" s="4">
        <f t="shared" si="19"/>
        <v>0.84518122262885642</v>
      </c>
      <c r="K52" s="128">
        <f t="shared" si="20"/>
        <v>6.9</v>
      </c>
      <c r="L52" s="19">
        <f t="shared" si="21"/>
        <v>4.3470170121911584</v>
      </c>
      <c r="M52" s="195">
        <f t="shared" si="22"/>
        <v>0.63000246553495043</v>
      </c>
      <c r="N52" s="440">
        <f t="shared" ref="N52:N100" si="26">L52/L51-1</f>
        <v>-5.791409263474967E-2</v>
      </c>
      <c r="O52" s="448">
        <f t="shared" ref="O52:O100" si="27">C52/C51-1</f>
        <v>-0.27700452766021821</v>
      </c>
      <c r="P52" s="444">
        <f t="shared" ref="P52:P100" si="28">F52/F51-1</f>
        <v>-8.2383260959703053E-2</v>
      </c>
      <c r="Q52" s="445">
        <f t="shared" ref="Q52:Q100" si="29">I52/I51-1</f>
        <v>-3.5722835920263263E-3</v>
      </c>
    </row>
    <row r="53" spans="1:34" x14ac:dyDescent="0.2">
      <c r="A53" s="180">
        <f t="shared" ref="A53:A100" si="30">A52+1</f>
        <v>2053</v>
      </c>
      <c r="B53" s="128">
        <f t="shared" ref="B53:B100" si="31">B52</f>
        <v>1.2</v>
      </c>
      <c r="C53" s="5">
        <f t="shared" si="23"/>
        <v>1.973655419604369E-3</v>
      </c>
      <c r="D53" s="195">
        <f t="shared" si="17"/>
        <v>1.6447128496703076E-3</v>
      </c>
      <c r="E53" s="5">
        <f t="shared" ref="E53:E100" si="32">E52</f>
        <v>4</v>
      </c>
      <c r="F53" s="5">
        <f t="shared" si="24"/>
        <v>2.6662441728964161</v>
      </c>
      <c r="G53" s="4">
        <f t="shared" si="18"/>
        <v>0.66656104322410403</v>
      </c>
      <c r="H53" s="128">
        <f t="shared" ref="H53:H100" si="33">H52</f>
        <v>1.7000000000000004</v>
      </c>
      <c r="I53" s="5">
        <f t="shared" si="25"/>
        <v>1.4312294626171109</v>
      </c>
      <c r="J53" s="4">
        <f t="shared" si="19"/>
        <v>0.84189968389241798</v>
      </c>
      <c r="K53" s="128">
        <f t="shared" si="20"/>
        <v>6.9</v>
      </c>
      <c r="L53" s="19">
        <f t="shared" si="21"/>
        <v>4.0994472909331314</v>
      </c>
      <c r="M53" s="195">
        <f t="shared" si="22"/>
        <v>0.59412279578741034</v>
      </c>
      <c r="N53" s="440">
        <f t="shared" si="26"/>
        <v>-5.6951633859200546E-2</v>
      </c>
      <c r="O53" s="448">
        <f t="shared" si="27"/>
        <v>-0.27758464706316655</v>
      </c>
      <c r="P53" s="444">
        <f t="shared" si="28"/>
        <v>-8.2969786229472819E-2</v>
      </c>
      <c r="Q53" s="445">
        <f t="shared" si="29"/>
        <v>-3.8826451044801091E-3</v>
      </c>
    </row>
    <row r="54" spans="1:34" x14ac:dyDescent="0.2">
      <c r="A54" s="180">
        <f t="shared" si="30"/>
        <v>2054</v>
      </c>
      <c r="B54" s="128">
        <f t="shared" si="31"/>
        <v>1.2</v>
      </c>
      <c r="C54" s="5">
        <f t="shared" si="23"/>
        <v>1.4247170988327565E-3</v>
      </c>
      <c r="D54" s="195">
        <f t="shared" si="17"/>
        <v>1.1872642490272972E-3</v>
      </c>
      <c r="E54" s="5">
        <f t="shared" si="32"/>
        <v>4</v>
      </c>
      <c r="F54" s="5">
        <f t="shared" si="24"/>
        <v>2.4435397676192991</v>
      </c>
      <c r="G54" s="4">
        <f t="shared" si="18"/>
        <v>0.61088494190482479</v>
      </c>
      <c r="H54" s="128">
        <f t="shared" si="33"/>
        <v>1.7000000000000004</v>
      </c>
      <c r="I54" s="5">
        <f t="shared" si="25"/>
        <v>1.4252437150887118</v>
      </c>
      <c r="J54" s="4">
        <f t="shared" si="19"/>
        <v>0.8383786559345362</v>
      </c>
      <c r="K54" s="128">
        <f t="shared" si="20"/>
        <v>6.9</v>
      </c>
      <c r="L54" s="19">
        <f t="shared" si="21"/>
        <v>3.8702081998068438</v>
      </c>
      <c r="M54" s="195">
        <f t="shared" si="22"/>
        <v>0.56089973910244106</v>
      </c>
      <c r="N54" s="440">
        <f t="shared" si="26"/>
        <v>-5.591951179206589E-2</v>
      </c>
      <c r="O54" s="448">
        <f t="shared" si="27"/>
        <v>-0.27813280642557681</v>
      </c>
      <c r="P54" s="444">
        <f t="shared" si="28"/>
        <v>-8.3527385653950459E-2</v>
      </c>
      <c r="Q54" s="445">
        <f t="shared" si="29"/>
        <v>-4.1822416913174232E-3</v>
      </c>
    </row>
    <row r="55" spans="1:34" x14ac:dyDescent="0.2">
      <c r="A55" s="180">
        <f t="shared" si="30"/>
        <v>2055</v>
      </c>
      <c r="B55" s="128">
        <f t="shared" si="31"/>
        <v>1.2</v>
      </c>
      <c r="C55" s="5">
        <f t="shared" si="23"/>
        <v>1.0277174337927275E-3</v>
      </c>
      <c r="D55" s="195">
        <f t="shared" si="17"/>
        <v>8.5643119482727297E-4</v>
      </c>
      <c r="E55" s="5">
        <f t="shared" si="32"/>
        <v>4</v>
      </c>
      <c r="F55" s="5">
        <f t="shared" si="24"/>
        <v>2.238140341276349</v>
      </c>
      <c r="G55" s="4">
        <f t="shared" si="18"/>
        <v>0.55953508531908724</v>
      </c>
      <c r="H55" s="128">
        <f t="shared" si="33"/>
        <v>1.7000000000000004</v>
      </c>
      <c r="I55" s="5">
        <f t="shared" si="25"/>
        <v>1.4188705612587569</v>
      </c>
      <c r="J55" s="4">
        <f t="shared" si="19"/>
        <v>0.83462974191691564</v>
      </c>
      <c r="K55" s="128">
        <f t="shared" si="20"/>
        <v>6.9</v>
      </c>
      <c r="L55" s="19">
        <f t="shared" si="21"/>
        <v>3.6580386199688988</v>
      </c>
      <c r="M55" s="195">
        <f t="shared" si="22"/>
        <v>0.53015052463317369</v>
      </c>
      <c r="N55" s="440">
        <f t="shared" si="26"/>
        <v>-5.4821231542151683E-2</v>
      </c>
      <c r="O55" s="448">
        <f t="shared" si="27"/>
        <v>-0.27865157606747559</v>
      </c>
      <c r="P55" s="444">
        <f t="shared" si="28"/>
        <v>-8.4058147554957774E-2</v>
      </c>
      <c r="Q55" s="445">
        <f t="shared" si="29"/>
        <v>-4.4716238791190355E-3</v>
      </c>
    </row>
    <row r="56" spans="1:34" x14ac:dyDescent="0.2">
      <c r="A56" s="180">
        <f t="shared" si="30"/>
        <v>2056</v>
      </c>
      <c r="B56" s="128">
        <f t="shared" si="31"/>
        <v>1.2</v>
      </c>
      <c r="C56" s="5">
        <f t="shared" si="23"/>
        <v>7.4083704113577582E-4</v>
      </c>
      <c r="D56" s="195">
        <f t="shared" si="17"/>
        <v>6.1736420094647985E-4</v>
      </c>
      <c r="E56" s="5">
        <f t="shared" si="32"/>
        <v>4</v>
      </c>
      <c r="F56" s="5">
        <f t="shared" si="24"/>
        <v>2.0488743221313932</v>
      </c>
      <c r="G56" s="4">
        <f t="shared" si="18"/>
        <v>0.5122185805328483</v>
      </c>
      <c r="H56" s="128">
        <f t="shared" si="33"/>
        <v>1.7000000000000004</v>
      </c>
      <c r="I56" s="5">
        <f t="shared" si="25"/>
        <v>1.4121290740631167</v>
      </c>
      <c r="J56" s="4">
        <f t="shared" si="19"/>
        <v>0.83066416121359787</v>
      </c>
      <c r="K56" s="128">
        <f t="shared" si="20"/>
        <v>6.9</v>
      </c>
      <c r="L56" s="19">
        <f t="shared" si="21"/>
        <v>3.4617442332356458</v>
      </c>
      <c r="M56" s="195">
        <f t="shared" si="22"/>
        <v>0.50170206278777474</v>
      </c>
      <c r="N56" s="440">
        <f t="shared" si="26"/>
        <v>-5.3661102882211154E-2</v>
      </c>
      <c r="O56" s="448">
        <f t="shared" si="27"/>
        <v>-0.2791432578877614</v>
      </c>
      <c r="P56" s="444">
        <f t="shared" si="28"/>
        <v>-8.4563963954567112E-2</v>
      </c>
      <c r="Q56" s="445">
        <f t="shared" si="29"/>
        <v>-4.7513052844365689E-3</v>
      </c>
    </row>
    <row r="57" spans="1:34" x14ac:dyDescent="0.2">
      <c r="A57" s="180">
        <f t="shared" si="30"/>
        <v>2057</v>
      </c>
      <c r="B57" s="128">
        <f t="shared" si="31"/>
        <v>1.2</v>
      </c>
      <c r="C57" s="5">
        <f t="shared" si="23"/>
        <v>5.3369165569229775E-4</v>
      </c>
      <c r="D57" s="195">
        <f t="shared" si="17"/>
        <v>4.4474304641024814E-4</v>
      </c>
      <c r="E57" s="5">
        <f t="shared" si="32"/>
        <v>4</v>
      </c>
      <c r="F57" s="5">
        <f t="shared" si="24"/>
        <v>1.8746246232777821</v>
      </c>
      <c r="G57" s="4">
        <f t="shared" si="18"/>
        <v>0.46865615581944553</v>
      </c>
      <c r="H57" s="128">
        <f t="shared" si="33"/>
        <v>1.7000000000000004</v>
      </c>
      <c r="I57" s="5">
        <f t="shared" si="25"/>
        <v>1.4050376927768724</v>
      </c>
      <c r="J57" s="4">
        <f t="shared" si="19"/>
        <v>0.82649276045698361</v>
      </c>
      <c r="K57" s="128">
        <f t="shared" si="20"/>
        <v>6.9</v>
      </c>
      <c r="L57" s="19">
        <f t="shared" si="21"/>
        <v>3.2801960077103467</v>
      </c>
      <c r="M57" s="195">
        <f t="shared" si="22"/>
        <v>0.4753907257551227</v>
      </c>
      <c r="N57" s="440">
        <f t="shared" si="26"/>
        <v>-5.2444147601167113E-2</v>
      </c>
      <c r="O57" s="448">
        <f t="shared" si="27"/>
        <v>-0.27960991951199399</v>
      </c>
      <c r="P57" s="444">
        <f t="shared" si="28"/>
        <v>-8.5046553110365242E-2</v>
      </c>
      <c r="Q57" s="445">
        <f t="shared" si="29"/>
        <v>-5.0217656561948321E-3</v>
      </c>
      <c r="AF57" s="2"/>
    </row>
    <row r="58" spans="1:34" x14ac:dyDescent="0.2">
      <c r="A58" s="180">
        <f t="shared" si="30"/>
        <v>2058</v>
      </c>
      <c r="B58" s="128">
        <f t="shared" si="31"/>
        <v>1.2</v>
      </c>
      <c r="C58" s="5">
        <f t="shared" si="23"/>
        <v>3.8422948049880289E-4</v>
      </c>
      <c r="D58" s="195">
        <f t="shared" si="17"/>
        <v>3.2019123374900241E-4</v>
      </c>
      <c r="E58" s="5">
        <f t="shared" si="32"/>
        <v>4</v>
      </c>
      <c r="F58" s="5">
        <f t="shared" si="24"/>
        <v>1.7143301976399528</v>
      </c>
      <c r="G58" s="4">
        <f t="shared" si="18"/>
        <v>0.42858254940998819</v>
      </c>
      <c r="H58" s="128">
        <f t="shared" si="33"/>
        <v>1.7000000000000004</v>
      </c>
      <c r="I58" s="5">
        <f t="shared" si="25"/>
        <v>1.3976142412898724</v>
      </c>
      <c r="J58" s="4">
        <f t="shared" si="19"/>
        <v>0.82212602428816006</v>
      </c>
      <c r="K58" s="128">
        <f t="shared" si="20"/>
        <v>6.9</v>
      </c>
      <c r="L58" s="19">
        <f t="shared" si="21"/>
        <v>3.1123286684103242</v>
      </c>
      <c r="M58" s="195">
        <f t="shared" si="22"/>
        <v>0.45106212585656869</v>
      </c>
      <c r="N58" s="440">
        <f t="shared" si="26"/>
        <v>-5.1176008660896444E-2</v>
      </c>
      <c r="O58" s="448">
        <f t="shared" si="27"/>
        <v>-0.28005342335662808</v>
      </c>
      <c r="P58" s="444">
        <f t="shared" si="28"/>
        <v>-8.5507479016014631E-2</v>
      </c>
      <c r="Q58" s="445">
        <f t="shared" si="29"/>
        <v>-5.2834536220366379E-3</v>
      </c>
      <c r="S58" s="206"/>
      <c r="T58" s="206"/>
      <c r="U58" s="206"/>
      <c r="V58" s="2"/>
      <c r="W58" s="2"/>
      <c r="X58" s="2"/>
      <c r="Y58" s="2"/>
      <c r="Z58" s="2"/>
      <c r="AA58" s="2"/>
      <c r="AB58" s="206"/>
      <c r="AC58" s="2"/>
      <c r="AD58" s="2"/>
      <c r="AE58" s="2"/>
    </row>
    <row r="59" spans="1:34" x14ac:dyDescent="0.2">
      <c r="A59" s="180">
        <f t="shared" si="30"/>
        <v>2059</v>
      </c>
      <c r="B59" s="128">
        <f t="shared" si="31"/>
        <v>1.2</v>
      </c>
      <c r="C59" s="5">
        <f t="shared" si="23"/>
        <v>2.7646254348744103E-4</v>
      </c>
      <c r="D59" s="195">
        <f t="shared" si="17"/>
        <v>2.3038545290620088E-4</v>
      </c>
      <c r="E59" s="5">
        <f t="shared" si="32"/>
        <v>4</v>
      </c>
      <c r="F59" s="5">
        <f t="shared" si="24"/>
        <v>1.5669866572341924</v>
      </c>
      <c r="G59" s="4">
        <f t="shared" si="18"/>
        <v>0.3917466643085481</v>
      </c>
      <c r="H59" s="128">
        <f t="shared" si="33"/>
        <v>1.7000000000000004</v>
      </c>
      <c r="I59" s="5">
        <f t="shared" si="25"/>
        <v>1.3898759458930101</v>
      </c>
      <c r="J59" s="4">
        <f t="shared" si="19"/>
        <v>0.81757408581941748</v>
      </c>
      <c r="K59" s="128">
        <f t="shared" si="20"/>
        <v>6.9</v>
      </c>
      <c r="L59" s="19">
        <f t="shared" si="21"/>
        <v>2.95713906567069</v>
      </c>
      <c r="M59" s="195">
        <f t="shared" si="22"/>
        <v>0.42857087908270869</v>
      </c>
      <c r="N59" s="440">
        <f t="shared" si="26"/>
        <v>-4.9862858095543028E-2</v>
      </c>
      <c r="O59" s="448">
        <f t="shared" si="27"/>
        <v>-0.28047545147098008</v>
      </c>
      <c r="P59" s="444">
        <f t="shared" si="28"/>
        <v>-8.5948168333382924E-2</v>
      </c>
      <c r="Q59" s="445">
        <f t="shared" si="29"/>
        <v>-5.5367891713242745E-3</v>
      </c>
    </row>
    <row r="60" spans="1:34" x14ac:dyDescent="0.2">
      <c r="A60" s="180">
        <f t="shared" si="30"/>
        <v>2060</v>
      </c>
      <c r="B60" s="128">
        <f t="shared" si="31"/>
        <v>1.2</v>
      </c>
      <c r="C60" s="5">
        <f t="shared" si="23"/>
        <v>1.9881042800440959E-4</v>
      </c>
      <c r="D60" s="195">
        <f t="shared" si="17"/>
        <v>1.6567535667034132E-4</v>
      </c>
      <c r="E60" s="5">
        <f t="shared" si="32"/>
        <v>4</v>
      </c>
      <c r="F60" s="5">
        <f t="shared" si="24"/>
        <v>1.4316461369497837</v>
      </c>
      <c r="G60" s="4">
        <f t="shared" si="18"/>
        <v>0.35791153423744593</v>
      </c>
      <c r="H60" s="128">
        <f t="shared" si="33"/>
        <v>1.7000000000000004</v>
      </c>
      <c r="I60" s="5">
        <f t="shared" si="25"/>
        <v>1.3818394525869451</v>
      </c>
      <c r="J60" s="4">
        <f t="shared" si="19"/>
        <v>0.81284673681584985</v>
      </c>
      <c r="K60" s="128">
        <f t="shared" si="20"/>
        <v>6.9</v>
      </c>
      <c r="L60" s="19">
        <f t="shared" si="21"/>
        <v>2.8136843999647332</v>
      </c>
      <c r="M60" s="195">
        <f t="shared" si="22"/>
        <v>0.40778034782097583</v>
      </c>
      <c r="N60" s="440">
        <f t="shared" si="26"/>
        <v>-4.8511301809007312E-2</v>
      </c>
      <c r="O60" s="448">
        <f t="shared" si="27"/>
        <v>-0.2808775268558541</v>
      </c>
      <c r="P60" s="444">
        <f t="shared" si="28"/>
        <v>-8.6369925142369297E-2</v>
      </c>
      <c r="Q60" s="445">
        <f t="shared" si="29"/>
        <v>-5.7821659046710661E-3</v>
      </c>
    </row>
    <row r="61" spans="1:34" x14ac:dyDescent="0.2">
      <c r="A61" s="180">
        <f t="shared" si="30"/>
        <v>2061</v>
      </c>
      <c r="B61" s="128">
        <f t="shared" si="31"/>
        <v>1.2</v>
      </c>
      <c r="C61" s="5">
        <f t="shared" si="23"/>
        <v>1.4289280188568187E-4</v>
      </c>
      <c r="D61" s="195">
        <f t="shared" si="17"/>
        <v>1.190773349047349E-4</v>
      </c>
      <c r="E61" s="5">
        <f t="shared" si="32"/>
        <v>4</v>
      </c>
      <c r="F61" s="5">
        <f t="shared" si="24"/>
        <v>1.3074165554782784</v>
      </c>
      <c r="G61" s="4">
        <f t="shared" si="18"/>
        <v>0.3268541388695696</v>
      </c>
      <c r="H61" s="128">
        <f t="shared" si="33"/>
        <v>1.7000000000000004</v>
      </c>
      <c r="I61" s="5">
        <f t="shared" si="25"/>
        <v>1.3735208439261442</v>
      </c>
      <c r="J61" s="4">
        <f t="shared" si="19"/>
        <v>0.80795343760361404</v>
      </c>
      <c r="K61" s="128">
        <f t="shared" si="20"/>
        <v>6.9</v>
      </c>
      <c r="L61" s="19">
        <f t="shared" si="21"/>
        <v>2.6810802922063082</v>
      </c>
      <c r="M61" s="195">
        <f t="shared" si="22"/>
        <v>0.38856236118932003</v>
      </c>
      <c r="N61" s="440">
        <f t="shared" si="26"/>
        <v>-4.7128280542084622E-2</v>
      </c>
      <c r="O61" s="448">
        <f t="shared" si="27"/>
        <v>-0.28126103182820705</v>
      </c>
      <c r="P61" s="444">
        <f t="shared" si="28"/>
        <v>-8.6773943829572708E-2</v>
      </c>
      <c r="Q61" s="445">
        <f t="shared" si="29"/>
        <v>-6.0199530743080265E-3</v>
      </c>
    </row>
    <row r="62" spans="1:34" x14ac:dyDescent="0.2">
      <c r="A62" s="180">
        <f t="shared" si="30"/>
        <v>2062</v>
      </c>
      <c r="B62" s="128">
        <f t="shared" si="31"/>
        <v>1.2</v>
      </c>
      <c r="C62" s="5">
        <f t="shared" si="23"/>
        <v>1.0265029877550702E-4</v>
      </c>
      <c r="D62" s="195">
        <f t="shared" si="17"/>
        <v>8.5541915646255852E-5</v>
      </c>
      <c r="E62" s="5">
        <f t="shared" si="32"/>
        <v>4</v>
      </c>
      <c r="F62" s="5">
        <f t="shared" si="24"/>
        <v>1.1934604022101283</v>
      </c>
      <c r="G62" s="4">
        <f t="shared" si="18"/>
        <v>0.29836510055253207</v>
      </c>
      <c r="H62" s="128">
        <f t="shared" si="33"/>
        <v>1.7000000000000004</v>
      </c>
      <c r="I62" s="5">
        <f t="shared" si="25"/>
        <v>1.3649356554097949</v>
      </c>
      <c r="J62" s="4">
        <f t="shared" si="19"/>
        <v>0.80290332671164388</v>
      </c>
      <c r="K62" s="128">
        <f t="shared" si="20"/>
        <v>6.9</v>
      </c>
      <c r="L62" s="19">
        <f t="shared" si="21"/>
        <v>2.5584987079186985</v>
      </c>
      <c r="M62" s="195">
        <f t="shared" si="22"/>
        <v>0.37079691419111571</v>
      </c>
      <c r="N62" s="440">
        <f t="shared" si="26"/>
        <v>-4.5720967269777368E-2</v>
      </c>
      <c r="O62" s="448">
        <f t="shared" si="27"/>
        <v>-0.2816272238987233</v>
      </c>
      <c r="P62" s="444">
        <f t="shared" si="28"/>
        <v>-8.7161320384583019E-2</v>
      </c>
      <c r="Q62" s="445">
        <f t="shared" si="29"/>
        <v>-6.2504974382543432E-3</v>
      </c>
    </row>
    <row r="63" spans="1:34" x14ac:dyDescent="0.2">
      <c r="A63" s="180">
        <f t="shared" si="30"/>
        <v>2063</v>
      </c>
      <c r="B63" s="128">
        <f t="shared" si="31"/>
        <v>1.2</v>
      </c>
      <c r="C63" s="5">
        <f t="shared" si="23"/>
        <v>7.3705249861670281E-5</v>
      </c>
      <c r="D63" s="195">
        <f t="shared" si="17"/>
        <v>6.1421041551391905E-5</v>
      </c>
      <c r="E63" s="5">
        <f t="shared" si="32"/>
        <v>4</v>
      </c>
      <c r="F63" s="5">
        <f t="shared" si="24"/>
        <v>1.0889931584373382</v>
      </c>
      <c r="G63" s="4">
        <f t="shared" si="18"/>
        <v>0.27224828960933456</v>
      </c>
      <c r="H63" s="128">
        <f t="shared" si="33"/>
        <v>1.7000000000000004</v>
      </c>
      <c r="I63" s="5">
        <f t="shared" si="25"/>
        <v>1.3560988914314862</v>
      </c>
      <c r="J63" s="4">
        <f t="shared" si="19"/>
        <v>0.79770523025381523</v>
      </c>
      <c r="K63" s="128">
        <f t="shared" si="20"/>
        <v>6.9</v>
      </c>
      <c r="L63" s="19">
        <f t="shared" si="21"/>
        <v>2.4451657551186861</v>
      </c>
      <c r="M63" s="195">
        <f t="shared" si="22"/>
        <v>0.35437184856792547</v>
      </c>
      <c r="N63" s="440">
        <f t="shared" si="26"/>
        <v>-4.4296662120344443E-2</v>
      </c>
      <c r="O63" s="448">
        <f t="shared" si="27"/>
        <v>-0.28197724954643</v>
      </c>
      <c r="P63" s="444">
        <f t="shared" si="28"/>
        <v>-8.7533062328109756E-2</v>
      </c>
      <c r="Q63" s="445">
        <f t="shared" si="29"/>
        <v>-6.4741249474178364E-3</v>
      </c>
    </row>
    <row r="64" spans="1:34" x14ac:dyDescent="0.2">
      <c r="A64" s="180">
        <f t="shared" si="30"/>
        <v>2064</v>
      </c>
      <c r="B64" s="128">
        <f t="shared" si="31"/>
        <v>1.2</v>
      </c>
      <c r="C64" s="5">
        <f t="shared" si="23"/>
        <v>5.2897361849335724E-5</v>
      </c>
      <c r="D64" s="195">
        <f t="shared" si="17"/>
        <v>4.4081134874446437E-5</v>
      </c>
      <c r="E64" s="5">
        <f t="shared" si="32"/>
        <v>4</v>
      </c>
      <c r="F64" s="5">
        <f t="shared" si="24"/>
        <v>0.99328144360679183</v>
      </c>
      <c r="G64" s="4">
        <f t="shared" si="18"/>
        <v>0.24832036090169796</v>
      </c>
      <c r="H64" s="128">
        <f t="shared" si="33"/>
        <v>1.7000000000000004</v>
      </c>
      <c r="I64" s="5">
        <f t="shared" si="25"/>
        <v>1.3470250407986413</v>
      </c>
      <c r="J64" s="4">
        <f t="shared" si="19"/>
        <v>0.79236767105802408</v>
      </c>
      <c r="K64" s="128">
        <f t="shared" si="20"/>
        <v>6.9</v>
      </c>
      <c r="L64" s="19">
        <f t="shared" si="21"/>
        <v>2.3403593817672825</v>
      </c>
      <c r="M64" s="195">
        <f t="shared" si="22"/>
        <v>0.3391825190967076</v>
      </c>
      <c r="N64" s="440">
        <f t="shared" si="26"/>
        <v>-4.2862686561024654E-2</v>
      </c>
      <c r="O64" s="448">
        <f t="shared" si="27"/>
        <v>-0.28231215620850236</v>
      </c>
      <c r="P64" s="444">
        <f t="shared" si="28"/>
        <v>-8.7890097462034467E-2</v>
      </c>
      <c r="Q64" s="445">
        <f t="shared" si="29"/>
        <v>-6.691142283338003E-3</v>
      </c>
    </row>
    <row r="65" spans="1:17" x14ac:dyDescent="0.2">
      <c r="A65" s="180">
        <f t="shared" si="30"/>
        <v>2065</v>
      </c>
      <c r="B65" s="128">
        <f t="shared" si="31"/>
        <v>1.2</v>
      </c>
      <c r="C65" s="5">
        <f t="shared" si="23"/>
        <v>3.7946826922086556E-5</v>
      </c>
      <c r="D65" s="195">
        <f t="shared" si="17"/>
        <v>3.1622355768405468E-5</v>
      </c>
      <c r="E65" s="5">
        <f t="shared" si="32"/>
        <v>4</v>
      </c>
      <c r="F65" s="5">
        <f t="shared" si="24"/>
        <v>0.90564096228392188</v>
      </c>
      <c r="G65" s="4">
        <f t="shared" si="18"/>
        <v>0.22641024057098047</v>
      </c>
      <c r="H65" s="128">
        <f t="shared" si="33"/>
        <v>1.7000000000000004</v>
      </c>
      <c r="I65" s="5">
        <f t="shared" si="25"/>
        <v>1.337728091833327</v>
      </c>
      <c r="J65" s="4">
        <f t="shared" si="19"/>
        <v>0.78689887754901566</v>
      </c>
      <c r="K65" s="128">
        <f t="shared" si="20"/>
        <v>6.9</v>
      </c>
      <c r="L65" s="19">
        <f t="shared" si="21"/>
        <v>2.2434070009441709</v>
      </c>
      <c r="M65" s="195">
        <f t="shared" si="22"/>
        <v>0.32513144941219868</v>
      </c>
      <c r="N65" s="440">
        <f t="shared" si="26"/>
        <v>-4.1426279048604742E-2</v>
      </c>
      <c r="O65" s="448">
        <f t="shared" si="27"/>
        <v>-0.28263290274913611</v>
      </c>
      <c r="P65" s="444">
        <f t="shared" si="28"/>
        <v>-8.8233281601064473E-2</v>
      </c>
      <c r="Q65" s="445">
        <f t="shared" si="29"/>
        <v>-6.9018382611523155E-3</v>
      </c>
    </row>
    <row r="66" spans="1:17" x14ac:dyDescent="0.2">
      <c r="A66" s="180">
        <f t="shared" si="30"/>
        <v>2066</v>
      </c>
      <c r="B66" s="128">
        <f t="shared" si="31"/>
        <v>1.2</v>
      </c>
      <c r="C66" s="5">
        <f t="shared" si="23"/>
        <v>2.7210137724484654E-5</v>
      </c>
      <c r="D66" s="195">
        <f t="shared" si="17"/>
        <v>2.267511477040388E-5</v>
      </c>
      <c r="E66" s="5">
        <f t="shared" si="32"/>
        <v>4</v>
      </c>
      <c r="F66" s="5">
        <f t="shared" si="24"/>
        <v>0.82543431457473027</v>
      </c>
      <c r="G66" s="4">
        <f t="shared" si="18"/>
        <v>0.20635857864368257</v>
      </c>
      <c r="H66" s="128">
        <f t="shared" si="33"/>
        <v>1.7000000000000004</v>
      </c>
      <c r="I66" s="5">
        <f t="shared" si="25"/>
        <v>1.3282215470645582</v>
      </c>
      <c r="J66" s="4">
        <f t="shared" si="19"/>
        <v>0.78130679239091638</v>
      </c>
      <c r="K66" s="128">
        <f t="shared" si="20"/>
        <v>6.9</v>
      </c>
      <c r="L66" s="19">
        <f t="shared" si="21"/>
        <v>2.1536830717770128</v>
      </c>
      <c r="M66" s="195">
        <f t="shared" si="22"/>
        <v>0.31212798141695836</v>
      </c>
      <c r="N66" s="440">
        <f t="shared" si="26"/>
        <v>-3.9994494592107688E-2</v>
      </c>
      <c r="O66" s="448">
        <f t="shared" si="27"/>
        <v>-0.28294036862810057</v>
      </c>
      <c r="P66" s="444">
        <f t="shared" si="28"/>
        <v>-8.8563405421636099E-2</v>
      </c>
      <c r="Q66" s="445">
        <f t="shared" si="29"/>
        <v>-7.1064851121876993E-3</v>
      </c>
    </row>
    <row r="67" spans="1:17" x14ac:dyDescent="0.2">
      <c r="A67" s="180">
        <f t="shared" si="30"/>
        <v>2067</v>
      </c>
      <c r="B67" s="128">
        <f t="shared" si="31"/>
        <v>1.2</v>
      </c>
      <c r="C67" s="5">
        <f t="shared" si="23"/>
        <v>1.9503264517288572E-5</v>
      </c>
      <c r="D67" s="195">
        <f t="shared" si="17"/>
        <v>1.6252720431073813E-5</v>
      </c>
      <c r="E67" s="5">
        <f t="shared" si="32"/>
        <v>4</v>
      </c>
      <c r="F67" s="5">
        <f t="shared" si="24"/>
        <v>0.75206872172555261</v>
      </c>
      <c r="G67" s="4">
        <f t="shared" si="18"/>
        <v>0.18801718043138815</v>
      </c>
      <c r="H67" s="128">
        <f t="shared" si="33"/>
        <v>1.7000000000000004</v>
      </c>
      <c r="I67" s="5">
        <f t="shared" si="25"/>
        <v>1.3185184375228971</v>
      </c>
      <c r="J67" s="4">
        <f t="shared" si="19"/>
        <v>0.77559908089582164</v>
      </c>
      <c r="K67" s="128">
        <f t="shared" si="20"/>
        <v>6.9</v>
      </c>
      <c r="L67" s="19">
        <f t="shared" si="21"/>
        <v>2.0706066625129669</v>
      </c>
      <c r="M67" s="195">
        <f t="shared" si="22"/>
        <v>0.30008792210332852</v>
      </c>
      <c r="N67" s="440">
        <f t="shared" si="26"/>
        <v>-3.8574110718852972E-2</v>
      </c>
      <c r="O67" s="448">
        <f t="shared" si="27"/>
        <v>-0.28323536195339294</v>
      </c>
      <c r="P67" s="444">
        <f t="shared" si="28"/>
        <v>-8.8881200543469263E-2</v>
      </c>
      <c r="Q67" s="445">
        <f t="shared" si="29"/>
        <v>-7.3053396574581653E-3</v>
      </c>
    </row>
    <row r="68" spans="1:17" x14ac:dyDescent="0.2">
      <c r="A68" s="180">
        <f t="shared" si="30"/>
        <v>2068</v>
      </c>
      <c r="B68" s="128">
        <f t="shared" si="31"/>
        <v>1.2</v>
      </c>
      <c r="C68" s="5">
        <f t="shared" si="23"/>
        <v>1.3973725747645042E-5</v>
      </c>
      <c r="D68" s="195">
        <f t="shared" si="17"/>
        <v>1.1644771456370869E-5</v>
      </c>
      <c r="E68" s="5">
        <f t="shared" si="32"/>
        <v>4</v>
      </c>
      <c r="F68" s="5">
        <f t="shared" si="24"/>
        <v>0.68499370922072877</v>
      </c>
      <c r="G68" s="4">
        <f t="shared" si="18"/>
        <v>0.17124842730518219</v>
      </c>
      <c r="H68" s="128">
        <f t="shared" si="33"/>
        <v>1.7000000000000004</v>
      </c>
      <c r="I68" s="5">
        <f t="shared" si="25"/>
        <v>1.3086313366482472</v>
      </c>
      <c r="J68" s="4">
        <f t="shared" si="19"/>
        <v>0.76978313920485109</v>
      </c>
      <c r="K68" s="128">
        <f t="shared" si="20"/>
        <v>6.9</v>
      </c>
      <c r="L68" s="19">
        <f t="shared" si="21"/>
        <v>1.9936390195947236</v>
      </c>
      <c r="M68" s="195">
        <f t="shared" si="22"/>
        <v>0.28893319124561212</v>
      </c>
      <c r="N68" s="440">
        <f t="shared" si="26"/>
        <v>-3.7171542191809848E-2</v>
      </c>
      <c r="O68" s="448">
        <f t="shared" si="27"/>
        <v>-0.28351862657361271</v>
      </c>
      <c r="P68" s="444">
        <f t="shared" si="28"/>
        <v>-8.9187344942263214E-2</v>
      </c>
      <c r="Q68" s="445">
        <f t="shared" si="29"/>
        <v>-7.4986443824213156E-3</v>
      </c>
    </row>
    <row r="69" spans="1:17" x14ac:dyDescent="0.2">
      <c r="A69" s="180">
        <f t="shared" si="30"/>
        <v>2069</v>
      </c>
      <c r="B69" s="128">
        <f t="shared" si="31"/>
        <v>1.2</v>
      </c>
      <c r="C69" s="5">
        <f t="shared" si="23"/>
        <v>1.0008110263243126E-5</v>
      </c>
      <c r="D69" s="195">
        <f t="shared" si="17"/>
        <v>8.3400918860359383E-6</v>
      </c>
      <c r="E69" s="5">
        <f t="shared" si="32"/>
        <v>4</v>
      </c>
      <c r="F69" s="5">
        <f t="shared" si="24"/>
        <v>0.62369878170729454</v>
      </c>
      <c r="G69" s="4">
        <f t="shared" si="18"/>
        <v>0.15592469542682363</v>
      </c>
      <c r="H69" s="128">
        <f t="shared" si="33"/>
        <v>1.7000000000000004</v>
      </c>
      <c r="I69" s="5">
        <f t="shared" si="25"/>
        <v>1.2985723738190558</v>
      </c>
      <c r="J69" s="4">
        <f t="shared" si="19"/>
        <v>0.7638661022465032</v>
      </c>
      <c r="K69" s="128">
        <f t="shared" si="20"/>
        <v>6.9</v>
      </c>
      <c r="L69" s="19">
        <f t="shared" si="21"/>
        <v>1.9222811636366135</v>
      </c>
      <c r="M69" s="195">
        <f t="shared" si="22"/>
        <v>0.27859147299081355</v>
      </c>
      <c r="N69" s="440">
        <f t="shared" si="26"/>
        <v>-3.5792766522304564E-2</v>
      </c>
      <c r="O69" s="448">
        <f t="shared" si="27"/>
        <v>-0.28379084834051727</v>
      </c>
      <c r="P69" s="444">
        <f t="shared" si="28"/>
        <v>-8.9482467777938224E-2</v>
      </c>
      <c r="Q69" s="445">
        <f t="shared" si="29"/>
        <v>-7.6866284242856908E-3</v>
      </c>
    </row>
    <row r="70" spans="1:17" x14ac:dyDescent="0.2">
      <c r="A70" s="180">
        <f t="shared" si="30"/>
        <v>2070</v>
      </c>
      <c r="B70" s="128">
        <f t="shared" si="31"/>
        <v>1.2</v>
      </c>
      <c r="C70" s="5">
        <f t="shared" si="23"/>
        <v>7.1652799148545059E-6</v>
      </c>
      <c r="D70" s="195">
        <f t="shared" si="17"/>
        <v>5.9710665957120883E-6</v>
      </c>
      <c r="E70" s="5">
        <f t="shared" si="32"/>
        <v>4</v>
      </c>
      <c r="F70" s="5">
        <f t="shared" si="24"/>
        <v>0.56771111730082335</v>
      </c>
      <c r="G70" s="4">
        <f t="shared" si="18"/>
        <v>0.14192777932520584</v>
      </c>
      <c r="H70" s="128">
        <f t="shared" si="33"/>
        <v>1.7000000000000004</v>
      </c>
      <c r="I70" s="5">
        <f t="shared" si="25"/>
        <v>1.288353247515019</v>
      </c>
      <c r="J70" s="4">
        <f t="shared" si="19"/>
        <v>0.75785485147942278</v>
      </c>
      <c r="K70" s="128">
        <f t="shared" si="20"/>
        <v>6.9</v>
      </c>
      <c r="L70" s="19">
        <f t="shared" si="21"/>
        <v>1.8560715300957573</v>
      </c>
      <c r="M70" s="195">
        <f t="shared" si="22"/>
        <v>0.26899587392692131</v>
      </c>
      <c r="N70" s="440">
        <f t="shared" si="26"/>
        <v>-3.4443261887662335E-2</v>
      </c>
      <c r="O70" s="448">
        <f t="shared" si="27"/>
        <v>-0.28405266065358092</v>
      </c>
      <c r="P70" s="444">
        <f t="shared" si="28"/>
        <v>-8.9767153710341052E-2</v>
      </c>
      <c r="Q70" s="445">
        <f t="shared" si="29"/>
        <v>-7.8695084772076873E-3</v>
      </c>
    </row>
    <row r="71" spans="1:17" x14ac:dyDescent="0.2">
      <c r="A71" s="180">
        <f t="shared" si="30"/>
        <v>2071</v>
      </c>
      <c r="B71" s="128">
        <f t="shared" si="31"/>
        <v>1.2</v>
      </c>
      <c r="C71" s="5">
        <f t="shared" si="23"/>
        <v>5.1281575209523373E-6</v>
      </c>
      <c r="D71" s="195">
        <f t="shared" si="17"/>
        <v>4.273464600793615E-6</v>
      </c>
      <c r="E71" s="5">
        <f t="shared" si="32"/>
        <v>4</v>
      </c>
      <c r="F71" s="5">
        <f t="shared" si="24"/>
        <v>0.51659330309872953</v>
      </c>
      <c r="G71" s="4">
        <f t="shared" si="18"/>
        <v>0.12914832577468238</v>
      </c>
      <c r="H71" s="128">
        <f t="shared" si="33"/>
        <v>1.7000000000000004</v>
      </c>
      <c r="I71" s="5">
        <f t="shared" si="25"/>
        <v>1.2779852381210901</v>
      </c>
      <c r="J71" s="4">
        <f t="shared" si="19"/>
        <v>0.7517560224241705</v>
      </c>
      <c r="K71" s="128">
        <f t="shared" si="20"/>
        <v>6.9</v>
      </c>
      <c r="L71" s="19">
        <f t="shared" si="21"/>
        <v>1.7945836693773405</v>
      </c>
      <c r="M71" s="195">
        <f t="shared" si="22"/>
        <v>0.26008458976483195</v>
      </c>
      <c r="N71" s="440">
        <f t="shared" si="26"/>
        <v>-3.3127958551923187E-2</v>
      </c>
      <c r="O71" s="448">
        <f t="shared" si="27"/>
        <v>-0.28430464937998634</v>
      </c>
      <c r="P71" s="444">
        <f t="shared" si="28"/>
        <v>-9.0041946765342495E-2</v>
      </c>
      <c r="Q71" s="445">
        <f t="shared" si="29"/>
        <v>-8.0474896259443707E-3</v>
      </c>
    </row>
    <row r="72" spans="1:17" x14ac:dyDescent="0.2">
      <c r="A72" s="180">
        <f t="shared" si="30"/>
        <v>2072</v>
      </c>
      <c r="B72" s="128">
        <f t="shared" si="31"/>
        <v>1.2</v>
      </c>
      <c r="C72" s="5">
        <f t="shared" si="23"/>
        <v>3.668953850898807E-6</v>
      </c>
      <c r="D72" s="195">
        <f t="shared" si="17"/>
        <v>3.0574615424156725E-6</v>
      </c>
      <c r="E72" s="5">
        <f t="shared" si="32"/>
        <v>4</v>
      </c>
      <c r="F72" s="5">
        <f t="shared" si="24"/>
        <v>0.46994112890273865</v>
      </c>
      <c r="G72" s="4">
        <f t="shared" si="18"/>
        <v>0.11748528222568466</v>
      </c>
      <c r="H72" s="128">
        <f t="shared" si="33"/>
        <v>1.7000000000000004</v>
      </c>
      <c r="I72" s="5">
        <f t="shared" si="25"/>
        <v>1.2674792203823557</v>
      </c>
      <c r="J72" s="4">
        <f t="shared" si="19"/>
        <v>0.74557601198962087</v>
      </c>
      <c r="K72" s="128">
        <f t="shared" si="20"/>
        <v>6.9</v>
      </c>
      <c r="L72" s="19">
        <f t="shared" si="21"/>
        <v>1.7374240182389453</v>
      </c>
      <c r="M72" s="195">
        <f t="shared" si="22"/>
        <v>0.2518005823534703</v>
      </c>
      <c r="N72" s="440">
        <f t="shared" si="26"/>
        <v>-3.1851204328760874E-2</v>
      </c>
      <c r="O72" s="448">
        <f t="shared" si="27"/>
        <v>-0.28454735723144187</v>
      </c>
      <c r="P72" s="444">
        <f t="shared" si="28"/>
        <v>-9.0307353804536028E-2</v>
      </c>
      <c r="Q72" s="445">
        <f t="shared" si="29"/>
        <v>-8.2207661132146503E-3</v>
      </c>
    </row>
    <row r="73" spans="1:17" x14ac:dyDescent="0.2">
      <c r="A73" s="180">
        <f t="shared" si="30"/>
        <v>2073</v>
      </c>
      <c r="B73" s="128">
        <f t="shared" si="31"/>
        <v>1.2</v>
      </c>
      <c r="C73" s="5">
        <f t="shared" si="23"/>
        <v>2.6241044488536492E-6</v>
      </c>
      <c r="D73" s="195">
        <f t="shared" si="17"/>
        <v>2.1867537073780413E-6</v>
      </c>
      <c r="E73" s="5">
        <f t="shared" si="32"/>
        <v>4</v>
      </c>
      <c r="F73" s="5">
        <f t="shared" si="24"/>
        <v>0.42738145210238798</v>
      </c>
      <c r="G73" s="4">
        <f t="shared" si="18"/>
        <v>0.106845363025597</v>
      </c>
      <c r="H73" s="128">
        <f t="shared" si="33"/>
        <v>1.7000000000000004</v>
      </c>
      <c r="I73" s="5">
        <f t="shared" si="25"/>
        <v>1.2568456755192727</v>
      </c>
      <c r="J73" s="4">
        <f t="shared" si="19"/>
        <v>0.73932098559957204</v>
      </c>
      <c r="K73" s="128">
        <f t="shared" si="20"/>
        <v>6.9</v>
      </c>
      <c r="L73" s="19">
        <f t="shared" si="21"/>
        <v>1.6842297517261096</v>
      </c>
      <c r="M73" s="195">
        <f t="shared" si="22"/>
        <v>0.24409126836610281</v>
      </c>
      <c r="N73" s="440">
        <f t="shared" si="26"/>
        <v>-3.0616744073075242E-2</v>
      </c>
      <c r="O73" s="448">
        <f t="shared" si="27"/>
        <v>-0.28478128766574551</v>
      </c>
      <c r="P73" s="444">
        <f t="shared" si="28"/>
        <v>-9.0563847645603768E-2</v>
      </c>
      <c r="Q73" s="445">
        <f t="shared" si="29"/>
        <v>-8.3895220466614351E-3</v>
      </c>
    </row>
    <row r="74" spans="1:17" x14ac:dyDescent="0.2">
      <c r="A74" s="180">
        <f t="shared" si="30"/>
        <v>2074</v>
      </c>
      <c r="B74" s="128">
        <f t="shared" si="31"/>
        <v>1.2</v>
      </c>
      <c r="C74" s="5">
        <f t="shared" si="23"/>
        <v>1.8762165526384839E-6</v>
      </c>
      <c r="D74" s="195">
        <f t="shared" si="17"/>
        <v>1.5635137938654033E-6</v>
      </c>
      <c r="E74" s="5">
        <f t="shared" si="32"/>
        <v>4</v>
      </c>
      <c r="F74" s="5">
        <f t="shared" si="24"/>
        <v>0.38857014328784256</v>
      </c>
      <c r="G74" s="4">
        <f t="shared" si="18"/>
        <v>9.7142535821960641E-2</v>
      </c>
      <c r="H74" s="128">
        <f t="shared" si="33"/>
        <v>1.7000000000000004</v>
      </c>
      <c r="I74" s="5">
        <f t="shared" si="25"/>
        <v>1.2460947030120622</v>
      </c>
      <c r="J74" s="4">
        <f t="shared" si="19"/>
        <v>0.73299688412474229</v>
      </c>
      <c r="K74" s="128">
        <f t="shared" si="20"/>
        <v>6.9</v>
      </c>
      <c r="L74" s="19">
        <f t="shared" si="21"/>
        <v>1.6346667225164573</v>
      </c>
      <c r="M74" s="195">
        <f t="shared" si="22"/>
        <v>0.23690822065455902</v>
      </c>
      <c r="N74" s="440">
        <f t="shared" si="26"/>
        <v>-2.9427712673319562E-2</v>
      </c>
      <c r="O74" s="448">
        <f t="shared" si="27"/>
        <v>-0.28500690837282916</v>
      </c>
      <c r="P74" s="444">
        <f t="shared" si="28"/>
        <v>-9.081186987320955E-2</v>
      </c>
      <c r="Q74" s="445">
        <f t="shared" si="29"/>
        <v>-8.5539320511794914E-3</v>
      </c>
    </row>
    <row r="75" spans="1:17" x14ac:dyDescent="0.2">
      <c r="A75" s="180">
        <f t="shared" si="30"/>
        <v>2075</v>
      </c>
      <c r="B75" s="128">
        <f t="shared" si="31"/>
        <v>1.2</v>
      </c>
      <c r="C75" s="5">
        <f t="shared" si="23"/>
        <v>1.341073334840544E-6</v>
      </c>
      <c r="D75" s="195">
        <f t="shared" si="17"/>
        <v>1.11756111236712E-6</v>
      </c>
      <c r="E75" s="5">
        <f t="shared" si="32"/>
        <v>4</v>
      </c>
      <c r="F75" s="5">
        <f t="shared" si="24"/>
        <v>0.35319011934624811</v>
      </c>
      <c r="G75" s="4">
        <f t="shared" si="18"/>
        <v>8.8297529836562028E-2</v>
      </c>
      <c r="H75" s="128">
        <f t="shared" si="33"/>
        <v>1.7000000000000004</v>
      </c>
      <c r="I75" s="5">
        <f t="shared" si="25"/>
        <v>1.2352360320620619</v>
      </c>
      <c r="J75" s="4">
        <f t="shared" si="19"/>
        <v>0.72660943062474215</v>
      </c>
      <c r="K75" s="128">
        <f t="shared" si="20"/>
        <v>6.9</v>
      </c>
      <c r="L75" s="19">
        <f t="shared" si="21"/>
        <v>1.5884274924816448</v>
      </c>
      <c r="M75" s="195">
        <f t="shared" si="22"/>
        <v>0.23020688296835431</v>
      </c>
      <c r="N75" s="440">
        <f t="shared" si="26"/>
        <v>-2.828664057198782E-2</v>
      </c>
      <c r="O75" s="448">
        <f t="shared" si="27"/>
        <v>-0.28522465439577283</v>
      </c>
      <c r="P75" s="444">
        <f t="shared" si="28"/>
        <v>-9.1051833376157965E-2</v>
      </c>
      <c r="Q75" s="445">
        <f t="shared" si="29"/>
        <v>-8.7141618720893987E-3</v>
      </c>
    </row>
    <row r="76" spans="1:17" x14ac:dyDescent="0.2">
      <c r="A76" s="180">
        <f t="shared" si="30"/>
        <v>2076</v>
      </c>
      <c r="B76" s="128">
        <f t="shared" si="31"/>
        <v>1.2</v>
      </c>
      <c r="C76" s="5">
        <f t="shared" si="23"/>
        <v>9.582841601377368E-7</v>
      </c>
      <c r="D76" s="195">
        <f t="shared" si="17"/>
        <v>7.9857013344811404E-7</v>
      </c>
      <c r="E76" s="5">
        <f t="shared" si="32"/>
        <v>4</v>
      </c>
      <c r="F76" s="5">
        <f t="shared" si="24"/>
        <v>0.32094946846986128</v>
      </c>
      <c r="G76" s="4">
        <f t="shared" si="18"/>
        <v>8.0237367117465319E-2</v>
      </c>
      <c r="H76" s="128">
        <f t="shared" si="33"/>
        <v>1.7000000000000004</v>
      </c>
      <c r="I76" s="5">
        <f t="shared" si="25"/>
        <v>1.2242790327395738</v>
      </c>
      <c r="J76" s="4">
        <f t="shared" si="19"/>
        <v>0.72016413690563152</v>
      </c>
      <c r="K76" s="128">
        <f t="shared" si="20"/>
        <v>6.9</v>
      </c>
      <c r="L76" s="19">
        <f t="shared" si="21"/>
        <v>1.5452294594935954</v>
      </c>
      <c r="M76" s="195">
        <f t="shared" si="22"/>
        <v>0.22394629847733266</v>
      </c>
      <c r="N76" s="440">
        <f t="shared" si="26"/>
        <v>-2.7195470484183026E-2</v>
      </c>
      <c r="O76" s="448">
        <f t="shared" si="27"/>
        <v>-0.28543493093039651</v>
      </c>
      <c r="P76" s="444">
        <f t="shared" si="28"/>
        <v>-9.1284124641040409E-2</v>
      </c>
      <c r="Q76" s="445">
        <f t="shared" si="29"/>
        <v>-8.8703689319982182E-3</v>
      </c>
    </row>
    <row r="77" spans="1:17" x14ac:dyDescent="0.2">
      <c r="A77" s="180">
        <f t="shared" si="30"/>
        <v>2077</v>
      </c>
      <c r="B77" s="128">
        <f t="shared" si="31"/>
        <v>1.2</v>
      </c>
      <c r="C77" s="5">
        <f t="shared" si="23"/>
        <v>6.8456167819476515E-7</v>
      </c>
      <c r="D77" s="195">
        <f t="shared" si="17"/>
        <v>5.7046806516230429E-7</v>
      </c>
      <c r="E77" s="5">
        <f t="shared" si="32"/>
        <v>4</v>
      </c>
      <c r="F77" s="5">
        <f t="shared" si="24"/>
        <v>0.2915796695937356</v>
      </c>
      <c r="G77" s="4">
        <f t="shared" si="18"/>
        <v>7.2894917398433901E-2</v>
      </c>
      <c r="H77" s="128">
        <f t="shared" si="33"/>
        <v>1.7000000000000004</v>
      </c>
      <c r="I77" s="5">
        <f t="shared" si="25"/>
        <v>1.2132327268250265</v>
      </c>
      <c r="J77" s="4">
        <f t="shared" si="19"/>
        <v>0.71366630989707425</v>
      </c>
      <c r="K77" s="128">
        <f t="shared" si="20"/>
        <v>6.9</v>
      </c>
      <c r="L77" s="19">
        <f t="shared" si="21"/>
        <v>1.5048130809804403</v>
      </c>
      <c r="M77" s="195">
        <f t="shared" si="22"/>
        <v>0.21808885231600583</v>
      </c>
      <c r="N77" s="440">
        <f t="shared" si="26"/>
        <v>-2.6155583732140553E-2</v>
      </c>
      <c r="O77" s="448">
        <f t="shared" si="27"/>
        <v>-0.28563811584199494</v>
      </c>
      <c r="P77" s="444">
        <f t="shared" si="28"/>
        <v>-9.1509105829485571E-2</v>
      </c>
      <c r="Q77" s="445">
        <f t="shared" si="29"/>
        <v>-9.0227028472659176E-3</v>
      </c>
    </row>
    <row r="78" spans="1:17" x14ac:dyDescent="0.2">
      <c r="A78" s="180">
        <f t="shared" si="30"/>
        <v>2078</v>
      </c>
      <c r="B78" s="128">
        <f t="shared" si="31"/>
        <v>1.2</v>
      </c>
      <c r="C78" s="5">
        <f t="shared" si="23"/>
        <v>4.8889029079304034E-7</v>
      </c>
      <c r="D78" s="195">
        <f t="shared" si="17"/>
        <v>4.0740857566086695E-7</v>
      </c>
      <c r="E78" s="5">
        <f t="shared" si="32"/>
        <v>4</v>
      </c>
      <c r="F78" s="5">
        <f t="shared" si="24"/>
        <v>0.26483390722461975</v>
      </c>
      <c r="G78" s="4">
        <f t="shared" si="18"/>
        <v>6.6208476806154937E-2</v>
      </c>
      <c r="H78" s="128">
        <f t="shared" si="33"/>
        <v>1.7000000000000004</v>
      </c>
      <c r="I78" s="5">
        <f t="shared" si="25"/>
        <v>1.2021057983529317</v>
      </c>
      <c r="J78" s="4">
        <f t="shared" si="19"/>
        <v>0.70712105785466561</v>
      </c>
      <c r="K78" s="128">
        <f t="shared" si="20"/>
        <v>6.9</v>
      </c>
      <c r="L78" s="19">
        <f t="shared" si="21"/>
        <v>1.4669401944678422</v>
      </c>
      <c r="M78" s="195">
        <f t="shared" si="22"/>
        <v>0.21260002818374524</v>
      </c>
      <c r="N78" s="440">
        <f t="shared" si="26"/>
        <v>-2.5167834458165728E-2</v>
      </c>
      <c r="O78" s="448">
        <f t="shared" si="27"/>
        <v>-0.28583456193125401</v>
      </c>
      <c r="P78" s="444">
        <f t="shared" si="28"/>
        <v>-9.1727116662081776E-2</v>
      </c>
      <c r="Q78" s="445">
        <f t="shared" si="29"/>
        <v>-9.1713059053504242E-3</v>
      </c>
    </row>
    <row r="79" spans="1:17" x14ac:dyDescent="0.2">
      <c r="A79" s="180">
        <f t="shared" si="30"/>
        <v>2079</v>
      </c>
      <c r="B79" s="128">
        <f t="shared" si="31"/>
        <v>1.2</v>
      </c>
      <c r="C79" s="5">
        <f t="shared" si="23"/>
        <v>3.4905564142439781E-7</v>
      </c>
      <c r="D79" s="195">
        <f t="shared" si="17"/>
        <v>2.9087970118699819E-7</v>
      </c>
      <c r="E79" s="5">
        <f t="shared" si="32"/>
        <v>4</v>
      </c>
      <c r="F79" s="5">
        <f t="shared" si="24"/>
        <v>0.24048548136679671</v>
      </c>
      <c r="G79" s="4">
        <f t="shared" si="18"/>
        <v>6.0121370341699176E-2</v>
      </c>
      <c r="H79" s="128">
        <f t="shared" si="33"/>
        <v>1.7000000000000004</v>
      </c>
      <c r="I79" s="5">
        <f t="shared" si="25"/>
        <v>1.1909066038650735</v>
      </c>
      <c r="J79" s="4">
        <f t="shared" si="19"/>
        <v>0.70053329639121953</v>
      </c>
      <c r="K79" s="128">
        <f t="shared" si="20"/>
        <v>6.9</v>
      </c>
      <c r="L79" s="19">
        <f t="shared" si="21"/>
        <v>1.4313924342875117</v>
      </c>
      <c r="M79" s="195">
        <f t="shared" si="22"/>
        <v>0.20744817888224806</v>
      </c>
      <c r="N79" s="440">
        <f t="shared" si="26"/>
        <v>-2.4232589927243753E-2</v>
      </c>
      <c r="O79" s="448">
        <f t="shared" si="27"/>
        <v>-0.2860245989786655</v>
      </c>
      <c r="P79" s="444">
        <f t="shared" si="28"/>
        <v>-9.1938476130142388E-2</v>
      </c>
      <c r="Q79" s="445">
        <f t="shared" si="29"/>
        <v>-9.3163135085138071E-3</v>
      </c>
    </row>
    <row r="80" spans="1:17" x14ac:dyDescent="0.2">
      <c r="A80" s="180">
        <f t="shared" si="30"/>
        <v>2080</v>
      </c>
      <c r="B80" s="128">
        <f t="shared" si="31"/>
        <v>1.2</v>
      </c>
      <c r="C80" s="5">
        <f t="shared" si="23"/>
        <v>2.4915293745218424E-7</v>
      </c>
      <c r="D80" s="195">
        <f t="shared" si="17"/>
        <v>2.076274478768202E-7</v>
      </c>
      <c r="E80" s="5">
        <f t="shared" si="32"/>
        <v>4</v>
      </c>
      <c r="F80" s="5">
        <f t="shared" si="24"/>
        <v>0.21832631124947133</v>
      </c>
      <c r="G80" s="4">
        <f t="shared" si="18"/>
        <v>5.4581577812367832E-2</v>
      </c>
      <c r="H80" s="128">
        <f t="shared" si="33"/>
        <v>1.7000000000000004</v>
      </c>
      <c r="I80" s="5">
        <f t="shared" si="25"/>
        <v>1.1796431823809854</v>
      </c>
      <c r="J80" s="4">
        <f t="shared" si="19"/>
        <v>0.693907754341756</v>
      </c>
      <c r="K80" s="128">
        <f t="shared" si="20"/>
        <v>6.9</v>
      </c>
      <c r="L80" s="19">
        <f t="shared" si="21"/>
        <v>1.3979697427833941</v>
      </c>
      <c r="M80" s="195">
        <f t="shared" si="22"/>
        <v>0.20260431054831798</v>
      </c>
      <c r="N80" s="440">
        <f t="shared" si="26"/>
        <v>-2.3349775158448494E-2</v>
      </c>
      <c r="O80" s="448">
        <f t="shared" si="27"/>
        <v>-0.28620853559202986</v>
      </c>
      <c r="P80" s="444">
        <f t="shared" si="28"/>
        <v>-9.2143484053107794E-2</v>
      </c>
      <c r="Q80" s="445">
        <f t="shared" si="29"/>
        <v>-9.4578545853493123E-3</v>
      </c>
    </row>
    <row r="81" spans="1:17" x14ac:dyDescent="0.2">
      <c r="A81" s="180">
        <f t="shared" si="30"/>
        <v>2081</v>
      </c>
      <c r="B81" s="128">
        <f t="shared" si="31"/>
        <v>1.2</v>
      </c>
      <c r="C81" s="5">
        <f t="shared" si="23"/>
        <v>1.7779885964715383E-7</v>
      </c>
      <c r="D81" s="195">
        <f t="shared" si="17"/>
        <v>1.481657163726282E-7</v>
      </c>
      <c r="E81" s="5">
        <f t="shared" si="32"/>
        <v>4</v>
      </c>
      <c r="F81" s="5">
        <f t="shared" si="24"/>
        <v>0.19816553077378773</v>
      </c>
      <c r="G81" s="4">
        <f t="shared" si="18"/>
        <v>4.9541382693446934E-2</v>
      </c>
      <c r="H81" s="128">
        <f t="shared" si="33"/>
        <v>1.7000000000000004</v>
      </c>
      <c r="I81" s="5">
        <f t="shared" si="25"/>
        <v>1.1683232650934912</v>
      </c>
      <c r="J81" s="4">
        <f t="shared" si="19"/>
        <v>0.68724897946675934</v>
      </c>
      <c r="K81" s="128">
        <f t="shared" si="20"/>
        <v>6.9</v>
      </c>
      <c r="L81" s="19">
        <f t="shared" si="21"/>
        <v>1.3664889736661385</v>
      </c>
      <c r="M81" s="195">
        <f t="shared" si="22"/>
        <v>0.19804188024146935</v>
      </c>
      <c r="N81" s="440">
        <f t="shared" si="26"/>
        <v>-2.2518920226825889E-2</v>
      </c>
      <c r="O81" s="448">
        <f t="shared" si="27"/>
        <v>-0.28638666087861886</v>
      </c>
      <c r="P81" s="444">
        <f t="shared" si="28"/>
        <v>-9.2342422497336152E-2</v>
      </c>
      <c r="Q81" s="445">
        <f t="shared" si="29"/>
        <v>-9.5960519728059968E-3</v>
      </c>
    </row>
    <row r="82" spans="1:17" x14ac:dyDescent="0.2">
      <c r="A82" s="180">
        <f t="shared" si="30"/>
        <v>2082</v>
      </c>
      <c r="B82" s="128">
        <f t="shared" si="31"/>
        <v>1.2</v>
      </c>
      <c r="C82" s="5">
        <f t="shared" si="23"/>
        <v>1.2684895249381471E-7</v>
      </c>
      <c r="D82" s="195">
        <f t="shared" si="17"/>
        <v>1.0570746041151227E-7</v>
      </c>
      <c r="E82" s="5">
        <f t="shared" si="32"/>
        <v>4</v>
      </c>
      <c r="F82" s="5">
        <f t="shared" si="24"/>
        <v>0.17982817299133003</v>
      </c>
      <c r="G82" s="4">
        <f t="shared" si="18"/>
        <v>4.4957043247832507E-2</v>
      </c>
      <c r="H82" s="128">
        <f t="shared" si="33"/>
        <v>1.7000000000000004</v>
      </c>
      <c r="I82" s="5">
        <f t="shared" si="25"/>
        <v>1.1569542847959582</v>
      </c>
      <c r="J82" s="4">
        <f t="shared" si="19"/>
        <v>0.68056134399762225</v>
      </c>
      <c r="K82" s="128">
        <f t="shared" si="20"/>
        <v>6.9</v>
      </c>
      <c r="L82" s="19">
        <f t="shared" si="21"/>
        <v>1.3367825846362407</v>
      </c>
      <c r="M82" s="195">
        <f t="shared" si="22"/>
        <v>0.19373660646902038</v>
      </c>
      <c r="N82" s="440">
        <f t="shared" si="26"/>
        <v>-2.1739208733019599E-2</v>
      </c>
      <c r="O82" s="448">
        <f t="shared" si="27"/>
        <v>-0.28655924596170324</v>
      </c>
      <c r="P82" s="444">
        <f t="shared" si="28"/>
        <v>-9.2535557071176E-2</v>
      </c>
      <c r="Q82" s="445">
        <f t="shared" si="29"/>
        <v>-9.7310227718723219E-3</v>
      </c>
    </row>
    <row r="83" spans="1:17" x14ac:dyDescent="0.2">
      <c r="A83" s="180">
        <f t="shared" si="30"/>
        <v>2083</v>
      </c>
      <c r="B83" s="128">
        <f t="shared" si="31"/>
        <v>1.2</v>
      </c>
      <c r="C83" s="5">
        <f t="shared" si="23"/>
        <v>9.047799056307226E-8</v>
      </c>
      <c r="D83" s="195">
        <f t="shared" si="17"/>
        <v>7.5398325469226884E-8</v>
      </c>
      <c r="E83" s="5">
        <f t="shared" si="32"/>
        <v>4</v>
      </c>
      <c r="F83" s="5">
        <f t="shared" si="24"/>
        <v>0.16315394047136866</v>
      </c>
      <c r="G83" s="4">
        <f t="shared" si="18"/>
        <v>4.0788485117842166E-2</v>
      </c>
      <c r="H83" s="128">
        <f t="shared" si="33"/>
        <v>1.7000000000000004</v>
      </c>
      <c r="I83" s="5">
        <f t="shared" si="25"/>
        <v>1.1455433850481427</v>
      </c>
      <c r="J83" s="4">
        <f t="shared" si="19"/>
        <v>0.67384905002831907</v>
      </c>
      <c r="K83" s="128">
        <f t="shared" si="20"/>
        <v>6.9</v>
      </c>
      <c r="L83" s="19">
        <f t="shared" si="21"/>
        <v>1.308697415997502</v>
      </c>
      <c r="M83" s="195">
        <f t="shared" si="22"/>
        <v>0.18966629217355099</v>
      </c>
      <c r="N83" s="440">
        <f t="shared" si="26"/>
        <v>-2.1009526127527378E-2</v>
      </c>
      <c r="O83" s="448">
        <f t="shared" si="27"/>
        <v>-0.2867265453572897</v>
      </c>
      <c r="P83" s="444">
        <f t="shared" si="28"/>
        <v>-9.2723138107871805E-2</v>
      </c>
      <c r="Q83" s="445">
        <f t="shared" si="29"/>
        <v>-9.8628786787612333E-3</v>
      </c>
    </row>
    <row r="84" spans="1:17" x14ac:dyDescent="0.2">
      <c r="A84" s="180">
        <f t="shared" si="30"/>
        <v>2084</v>
      </c>
      <c r="B84" s="128">
        <f t="shared" si="31"/>
        <v>1.2</v>
      </c>
      <c r="C84" s="5">
        <f t="shared" si="23"/>
        <v>6.4520868584463054E-8</v>
      </c>
      <c r="D84" s="195">
        <f t="shared" si="17"/>
        <v>5.3767390487052547E-8</v>
      </c>
      <c r="E84" s="5">
        <f t="shared" si="32"/>
        <v>4</v>
      </c>
      <c r="F84" s="5">
        <f t="shared" si="24"/>
        <v>0.14799605808506122</v>
      </c>
      <c r="G84" s="4">
        <f t="shared" si="18"/>
        <v>3.6999014521265305E-2</v>
      </c>
      <c r="H84" s="128">
        <f t="shared" si="33"/>
        <v>1.7000000000000004</v>
      </c>
      <c r="I84" s="5">
        <f t="shared" si="25"/>
        <v>1.134097429088186</v>
      </c>
      <c r="J84" s="4">
        <f t="shared" si="19"/>
        <v>0.66711613475775633</v>
      </c>
      <c r="K84" s="128">
        <f t="shared" si="20"/>
        <v>6.9</v>
      </c>
      <c r="L84" s="19">
        <f t="shared" si="21"/>
        <v>1.2820935516941159</v>
      </c>
      <c r="M84" s="195">
        <f t="shared" si="22"/>
        <v>0.18581065966581389</v>
      </c>
      <c r="N84" s="440">
        <f t="shared" si="26"/>
        <v>-2.0328506787115841E-2</v>
      </c>
      <c r="O84" s="448">
        <f t="shared" si="27"/>
        <v>-0.28688879822672986</v>
      </c>
      <c r="P84" s="444">
        <f t="shared" si="28"/>
        <v>-9.2905401748279881E-2</v>
      </c>
      <c r="Q84" s="445">
        <f t="shared" si="29"/>
        <v>-9.991726292824521E-3</v>
      </c>
    </row>
    <row r="85" spans="1:17" x14ac:dyDescent="0.2">
      <c r="A85" s="180">
        <f t="shared" si="30"/>
        <v>2085</v>
      </c>
      <c r="B85" s="128">
        <f t="shared" si="31"/>
        <v>1.2</v>
      </c>
      <c r="C85" s="5">
        <f t="shared" si="23"/>
        <v>4.6000396532115662E-8</v>
      </c>
      <c r="D85" s="195">
        <f t="shared" si="17"/>
        <v>3.8333663776763054E-8</v>
      </c>
      <c r="E85" s="5">
        <f t="shared" si="32"/>
        <v>4</v>
      </c>
      <c r="F85" s="5">
        <f t="shared" si="24"/>
        <v>0.13422020451063865</v>
      </c>
      <c r="G85" s="4">
        <f t="shared" si="18"/>
        <v>3.3555051127659663E-2</v>
      </c>
      <c r="H85" s="128">
        <f t="shared" si="33"/>
        <v>1.7000000000000004</v>
      </c>
      <c r="I85" s="5">
        <f t="shared" si="25"/>
        <v>1.1226230084966176</v>
      </c>
      <c r="J85" s="4">
        <f t="shared" si="19"/>
        <v>0.6603664755862455</v>
      </c>
      <c r="K85" s="128">
        <f t="shared" si="20"/>
        <v>6.9</v>
      </c>
      <c r="L85" s="19">
        <f t="shared" si="21"/>
        <v>1.2568432590076528</v>
      </c>
      <c r="M85" s="195">
        <f t="shared" si="22"/>
        <v>0.18215119695763082</v>
      </c>
      <c r="N85" s="440">
        <f t="shared" si="26"/>
        <v>-1.9694578958842857E-2</v>
      </c>
      <c r="O85" s="448">
        <f t="shared" si="27"/>
        <v>-0.2870462295172389</v>
      </c>
      <c r="P85" s="444">
        <f t="shared" si="28"/>
        <v>-9.3082570932428887E-2</v>
      </c>
      <c r="Q85" s="445">
        <f t="shared" si="29"/>
        <v>-1.0117667404284547E-2</v>
      </c>
    </row>
    <row r="86" spans="1:17" x14ac:dyDescent="0.2">
      <c r="A86" s="180">
        <f t="shared" si="30"/>
        <v>2086</v>
      </c>
      <c r="B86" s="128">
        <f t="shared" si="31"/>
        <v>1.2</v>
      </c>
      <c r="C86" s="5">
        <f t="shared" si="23"/>
        <v>3.2789126302352312E-8</v>
      </c>
      <c r="D86" s="195">
        <f t="shared" si="17"/>
        <v>2.7324271918626929E-8</v>
      </c>
      <c r="E86" s="5">
        <f t="shared" si="32"/>
        <v>4</v>
      </c>
      <c r="F86" s="5">
        <f t="shared" si="24"/>
        <v>0.12170351862519579</v>
      </c>
      <c r="G86" s="4">
        <f t="shared" si="18"/>
        <v>3.0425879656298949E-2</v>
      </c>
      <c r="H86" s="128">
        <f t="shared" si="33"/>
        <v>1.7000000000000004</v>
      </c>
      <c r="I86" s="5">
        <f t="shared" si="25"/>
        <v>1.1111264516196258</v>
      </c>
      <c r="J86" s="4">
        <f t="shared" si="19"/>
        <v>0.65360379507036792</v>
      </c>
      <c r="K86" s="128">
        <f t="shared" si="20"/>
        <v>6.9</v>
      </c>
      <c r="L86" s="19">
        <f t="shared" si="21"/>
        <v>1.2328300030339479</v>
      </c>
      <c r="M86" s="195">
        <f t="shared" si="22"/>
        <v>0.17867101493245621</v>
      </c>
      <c r="N86" s="440">
        <f t="shared" si="26"/>
        <v>-1.9106006895931227E-2</v>
      </c>
      <c r="O86" s="448">
        <f t="shared" si="27"/>
        <v>-0.28719905100252263</v>
      </c>
      <c r="P86" s="444">
        <f t="shared" si="28"/>
        <v>-9.3254856309287981E-2</v>
      </c>
      <c r="Q86" s="445">
        <f t="shared" si="29"/>
        <v>-1.0240799262067224E-2</v>
      </c>
    </row>
    <row r="87" spans="1:17" x14ac:dyDescent="0.2">
      <c r="A87" s="180">
        <f t="shared" si="30"/>
        <v>2087</v>
      </c>
      <c r="B87" s="128">
        <f t="shared" si="31"/>
        <v>1.2</v>
      </c>
      <c r="C87" s="5">
        <f t="shared" si="23"/>
        <v>2.3367254070526069E-8</v>
      </c>
      <c r="D87" s="195">
        <f t="shared" si="17"/>
        <v>1.9472711725438392E-8</v>
      </c>
      <c r="E87" s="5">
        <f t="shared" si="32"/>
        <v>4</v>
      </c>
      <c r="F87" s="5">
        <f t="shared" si="24"/>
        <v>0.11033367688086981</v>
      </c>
      <c r="G87" s="4">
        <f t="shared" si="18"/>
        <v>2.7583419220217453E-2</v>
      </c>
      <c r="H87" s="128">
        <f t="shared" si="33"/>
        <v>1.7000000000000004</v>
      </c>
      <c r="I87" s="5">
        <f t="shared" si="25"/>
        <v>1.099613831756983</v>
      </c>
      <c r="J87" s="4">
        <f t="shared" si="19"/>
        <v>0.64683166573940165</v>
      </c>
      <c r="K87" s="128">
        <f t="shared" si="20"/>
        <v>6.9</v>
      </c>
      <c r="L87" s="19">
        <f t="shared" si="21"/>
        <v>1.209947532005107</v>
      </c>
      <c r="M87" s="195">
        <f t="shared" si="22"/>
        <v>0.17535471478334883</v>
      </c>
      <c r="N87" s="440">
        <f t="shared" si="26"/>
        <v>-1.8560929708498319E-2</v>
      </c>
      <c r="O87" s="448">
        <f t="shared" si="27"/>
        <v>-0.28734746223324381</v>
      </c>
      <c r="P87" s="444">
        <f t="shared" si="28"/>
        <v>-9.3422457072429577E-2</v>
      </c>
      <c r="Q87" s="445">
        <f t="shared" si="29"/>
        <v>-1.0361214824704645E-2</v>
      </c>
    </row>
    <row r="88" spans="1:17" x14ac:dyDescent="0.2">
      <c r="A88" s="180">
        <f t="shared" si="30"/>
        <v>2088</v>
      </c>
      <c r="B88" s="128">
        <f t="shared" si="31"/>
        <v>1.2</v>
      </c>
      <c r="C88" s="5">
        <f t="shared" si="23"/>
        <v>1.6649363608962683E-8</v>
      </c>
      <c r="D88" s="195">
        <f t="shared" si="17"/>
        <v>1.3874469674135569E-8</v>
      </c>
      <c r="E88" s="5">
        <f t="shared" si="32"/>
        <v>4</v>
      </c>
      <c r="F88" s="5">
        <f t="shared" si="24"/>
        <v>0.10000803775245382</v>
      </c>
      <c r="G88" s="4">
        <f t="shared" si="18"/>
        <v>2.5002009438113454E-2</v>
      </c>
      <c r="H88" s="128">
        <f t="shared" si="33"/>
        <v>1.7000000000000004</v>
      </c>
      <c r="I88" s="5">
        <f t="shared" si="25"/>
        <v>1.0880909751217871</v>
      </c>
      <c r="J88" s="4">
        <f t="shared" si="19"/>
        <v>0.6400535147775217</v>
      </c>
      <c r="K88" s="128">
        <f t="shared" si="20"/>
        <v>6.9</v>
      </c>
      <c r="L88" s="19">
        <f t="shared" si="21"/>
        <v>1.1880990295236047</v>
      </c>
      <c r="M88" s="195">
        <f t="shared" si="22"/>
        <v>0.17218826514834851</v>
      </c>
      <c r="N88" s="440">
        <f t="shared" si="26"/>
        <v>-1.8057396625534072E-2</v>
      </c>
      <c r="O88" s="448">
        <f t="shared" si="27"/>
        <v>-0.28749165140618282</v>
      </c>
      <c r="P88" s="444">
        <f t="shared" si="28"/>
        <v>-9.3585561728037558E-2</v>
      </c>
      <c r="Q88" s="445">
        <f t="shared" si="29"/>
        <v>-1.0479002993973308E-2</v>
      </c>
    </row>
    <row r="89" spans="1:17" x14ac:dyDescent="0.2">
      <c r="A89" s="180">
        <f t="shared" si="30"/>
        <v>2089</v>
      </c>
      <c r="B89" s="128">
        <f t="shared" si="31"/>
        <v>1.2</v>
      </c>
      <c r="C89" s="5">
        <f t="shared" si="23"/>
        <v>1.1860477249185392E-8</v>
      </c>
      <c r="D89" s="195">
        <f t="shared" si="17"/>
        <v>9.8837310409878264E-9</v>
      </c>
      <c r="E89" s="5">
        <f t="shared" si="32"/>
        <v>4</v>
      </c>
      <c r="F89" s="5">
        <f t="shared" si="24"/>
        <v>9.0632849378343816E-2</v>
      </c>
      <c r="G89" s="4">
        <f t="shared" si="18"/>
        <v>2.2658212344585954E-2</v>
      </c>
      <c r="H89" s="128">
        <f t="shared" si="33"/>
        <v>1.7000000000000004</v>
      </c>
      <c r="I89" s="5">
        <f t="shared" si="25"/>
        <v>1.0765634685772341</v>
      </c>
      <c r="J89" s="4">
        <f t="shared" si="19"/>
        <v>0.63327262857484345</v>
      </c>
      <c r="K89" s="128">
        <f t="shared" si="20"/>
        <v>6.9</v>
      </c>
      <c r="L89" s="19">
        <f t="shared" si="21"/>
        <v>1.1671963298160553</v>
      </c>
      <c r="M89" s="195">
        <f t="shared" si="22"/>
        <v>0.16915888837913842</v>
      </c>
      <c r="N89" s="440">
        <f t="shared" si="26"/>
        <v>-1.7593398519928805E-2</v>
      </c>
      <c r="O89" s="448">
        <f t="shared" si="27"/>
        <v>-0.28763179616062551</v>
      </c>
      <c r="P89" s="444">
        <f t="shared" si="28"/>
        <v>-9.3744348802403787E-2</v>
      </c>
      <c r="Q89" s="445">
        <f t="shared" si="29"/>
        <v>-1.0594248834076336E-2</v>
      </c>
    </row>
    <row r="90" spans="1:17" x14ac:dyDescent="0.2">
      <c r="A90" s="180">
        <f t="shared" si="30"/>
        <v>2090</v>
      </c>
      <c r="B90" s="128">
        <f t="shared" si="31"/>
        <v>1.2</v>
      </c>
      <c r="C90" s="5">
        <f t="shared" si="23"/>
        <v>8.4474106694156384E-9</v>
      </c>
      <c r="D90" s="195">
        <f t="shared" si="17"/>
        <v>7.039508891179699E-9</v>
      </c>
      <c r="E90" s="5">
        <f t="shared" si="32"/>
        <v>4</v>
      </c>
      <c r="F90" s="5">
        <f t="shared" si="24"/>
        <v>8.212251658805747E-2</v>
      </c>
      <c r="G90" s="4">
        <f t="shared" si="18"/>
        <v>2.0530629147014368E-2</v>
      </c>
      <c r="H90" s="128">
        <f t="shared" si="33"/>
        <v>1.7000000000000004</v>
      </c>
      <c r="I90" s="5">
        <f t="shared" si="25"/>
        <v>1.0650366671570026</v>
      </c>
      <c r="J90" s="4">
        <f t="shared" si="19"/>
        <v>0.6264921571511779</v>
      </c>
      <c r="K90" s="128">
        <f t="shared" si="20"/>
        <v>6.9</v>
      </c>
      <c r="L90" s="19">
        <f t="shared" si="21"/>
        <v>1.1471591921924709</v>
      </c>
      <c r="M90" s="195">
        <f t="shared" si="22"/>
        <v>0.16625495539021315</v>
      </c>
      <c r="N90" s="440">
        <f t="shared" si="26"/>
        <v>-1.7166895672763305E-2</v>
      </c>
      <c r="O90" s="448">
        <f t="shared" si="27"/>
        <v>-0.28776806430821922</v>
      </c>
      <c r="P90" s="444">
        <f t="shared" si="28"/>
        <v>-9.3898987493598929E-2</v>
      </c>
      <c r="Q90" s="445">
        <f t="shared" si="29"/>
        <v>-1.0707033776155339E-2</v>
      </c>
    </row>
    <row r="91" spans="1:17" x14ac:dyDescent="0.2">
      <c r="A91" s="180">
        <f t="shared" si="30"/>
        <v>2091</v>
      </c>
      <c r="B91" s="128">
        <f t="shared" si="31"/>
        <v>1.2</v>
      </c>
      <c r="C91" s="5">
        <f t="shared" si="23"/>
        <v>6.0153959467270557E-9</v>
      </c>
      <c r="D91" s="195">
        <f t="shared" si="17"/>
        <v>5.0128299556058803E-9</v>
      </c>
      <c r="E91" s="5">
        <f t="shared" si="32"/>
        <v>4</v>
      </c>
      <c r="F91" s="5">
        <f t="shared" si="24"/>
        <v>7.4398923608881118E-2</v>
      </c>
      <c r="G91" s="4">
        <f t="shared" si="18"/>
        <v>1.8599730902220279E-2</v>
      </c>
      <c r="H91" s="128">
        <f t="shared" si="33"/>
        <v>1.7000000000000004</v>
      </c>
      <c r="I91" s="5">
        <f t="shared" si="25"/>
        <v>1.0535157013739678</v>
      </c>
      <c r="J91" s="4">
        <f t="shared" si="19"/>
        <v>0.61971511845527505</v>
      </c>
      <c r="K91" s="128">
        <f t="shared" si="20"/>
        <v>6.9</v>
      </c>
      <c r="L91" s="19">
        <f t="shared" si="21"/>
        <v>1.1279146309982448</v>
      </c>
      <c r="M91" s="195">
        <f t="shared" si="22"/>
        <v>0.16346588855047026</v>
      </c>
      <c r="N91" s="440">
        <f t="shared" si="26"/>
        <v>-1.6775841858047147E-2</v>
      </c>
      <c r="O91" s="448">
        <f t="shared" si="27"/>
        <v>-0.28790061450354709</v>
      </c>
      <c r="P91" s="444">
        <f t="shared" si="28"/>
        <v>-9.4049638273013492E-2</v>
      </c>
      <c r="Q91" s="445">
        <f t="shared" si="29"/>
        <v>-1.081743581072081E-2</v>
      </c>
    </row>
    <row r="92" spans="1:17" x14ac:dyDescent="0.2">
      <c r="A92" s="180">
        <f t="shared" si="30"/>
        <v>2092</v>
      </c>
      <c r="B92" s="128">
        <f t="shared" si="31"/>
        <v>1.2</v>
      </c>
      <c r="C92" s="5">
        <f t="shared" si="23"/>
        <v>4.2827838772371459E-9</v>
      </c>
      <c r="D92" s="195">
        <f t="shared" si="17"/>
        <v>3.5689865643642885E-9</v>
      </c>
      <c r="E92" s="5">
        <f t="shared" si="32"/>
        <v>4</v>
      </c>
      <c r="F92" s="5">
        <f t="shared" si="24"/>
        <v>6.7390808865120611E-2</v>
      </c>
      <c r="G92" s="4">
        <f t="shared" si="18"/>
        <v>1.6847702216280153E-2</v>
      </c>
      <c r="H92" s="128">
        <f t="shared" si="33"/>
        <v>1.7000000000000004</v>
      </c>
      <c r="I92" s="5">
        <f t="shared" si="25"/>
        <v>1.0420054843238802</v>
      </c>
      <c r="J92" s="4">
        <f t="shared" si="19"/>
        <v>0.61294440254345883</v>
      </c>
      <c r="K92" s="128">
        <f t="shared" si="20"/>
        <v>6.9</v>
      </c>
      <c r="L92" s="19">
        <f t="shared" si="21"/>
        <v>1.1093962974717848</v>
      </c>
      <c r="M92" s="195">
        <f t="shared" si="22"/>
        <v>0.16078207209736012</v>
      </c>
      <c r="N92" s="440">
        <f t="shared" si="26"/>
        <v>-1.6418204904453337E-2</v>
      </c>
      <c r="O92" s="448">
        <f t="shared" si="27"/>
        <v>-0.28802959686013929</v>
      </c>
      <c r="P92" s="444">
        <f t="shared" si="28"/>
        <v>-9.419645344067773E-2</v>
      </c>
      <c r="Q92" s="445">
        <f t="shared" si="29"/>
        <v>-1.0925529667072165E-2</v>
      </c>
    </row>
    <row r="93" spans="1:17" x14ac:dyDescent="0.2">
      <c r="A93" s="180">
        <f t="shared" si="30"/>
        <v>2093</v>
      </c>
      <c r="B93" s="128">
        <f t="shared" si="31"/>
        <v>1.2</v>
      </c>
      <c r="C93" s="5">
        <f t="shared" si="23"/>
        <v>3.0486776316088736E-9</v>
      </c>
      <c r="D93" s="195">
        <f t="shared" si="17"/>
        <v>2.5405646930073948E-9</v>
      </c>
      <c r="E93" s="5">
        <f t="shared" si="32"/>
        <v>4</v>
      </c>
      <c r="F93" s="5">
        <f t="shared" si="24"/>
        <v>6.1033188420039131E-2</v>
      </c>
      <c r="G93" s="4">
        <f t="shared" si="18"/>
        <v>1.5258297105009783E-2</v>
      </c>
      <c r="H93" s="128">
        <f t="shared" si="33"/>
        <v>1.7000000000000004</v>
      </c>
      <c r="I93" s="5">
        <f t="shared" si="25"/>
        <v>1.0305107185890421</v>
      </c>
      <c r="J93" s="4">
        <f t="shared" si="19"/>
        <v>0.60618277564061285</v>
      </c>
      <c r="K93" s="128">
        <f t="shared" si="20"/>
        <v>6.9</v>
      </c>
      <c r="L93" s="19">
        <f t="shared" si="21"/>
        <v>1.0915439100577589</v>
      </c>
      <c r="M93" s="195">
        <f t="shared" si="22"/>
        <v>0.15819476957358825</v>
      </c>
      <c r="N93" s="440">
        <f t="shared" si="26"/>
        <v>-1.609198395082978E-2</v>
      </c>
      <c r="O93" s="448">
        <f t="shared" si="27"/>
        <v>-0.28815515351767018</v>
      </c>
      <c r="P93" s="444">
        <f t="shared" si="28"/>
        <v>-9.4339577638932082E-2</v>
      </c>
      <c r="Q93" s="445">
        <f t="shared" si="29"/>
        <v>-1.1031386981899316E-2</v>
      </c>
    </row>
    <row r="94" spans="1:17" x14ac:dyDescent="0.2">
      <c r="A94" s="180">
        <f t="shared" si="30"/>
        <v>2094</v>
      </c>
      <c r="B94" s="128">
        <f t="shared" si="31"/>
        <v>1.2</v>
      </c>
      <c r="C94" s="5">
        <f t="shared" si="23"/>
        <v>2.1698127121040169E-9</v>
      </c>
      <c r="D94" s="195">
        <f t="shared" si="17"/>
        <v>1.8081772600866807E-9</v>
      </c>
      <c r="E94" s="5">
        <f t="shared" si="32"/>
        <v>4</v>
      </c>
      <c r="F94" s="5">
        <f t="shared" si="24"/>
        <v>5.5266824758389177E-2</v>
      </c>
      <c r="G94" s="4">
        <f t="shared" si="18"/>
        <v>1.3816706189597294E-2</v>
      </c>
      <c r="H94" s="128">
        <f t="shared" si="33"/>
        <v>1.7000000000000004</v>
      </c>
      <c r="I94" s="5">
        <f t="shared" si="25"/>
        <v>1.0190359029466407</v>
      </c>
      <c r="J94" s="4">
        <f t="shared" si="19"/>
        <v>0.59943288408625905</v>
      </c>
      <c r="K94" s="128">
        <f t="shared" si="20"/>
        <v>6.9</v>
      </c>
      <c r="L94" s="19">
        <f t="shared" si="21"/>
        <v>1.0743027298748427</v>
      </c>
      <c r="M94" s="195">
        <f t="shared" si="22"/>
        <v>0.15569604780794821</v>
      </c>
      <c r="N94" s="440">
        <f t="shared" si="26"/>
        <v>-1.57952236497787E-2</v>
      </c>
      <c r="O94" s="448">
        <f t="shared" si="27"/>
        <v>-0.2882774191645362</v>
      </c>
      <c r="P94" s="444">
        <f t="shared" si="28"/>
        <v>-9.4479148327710094E-2</v>
      </c>
      <c r="Q94" s="445">
        <f t="shared" si="29"/>
        <v>-1.1135076458120174E-2</v>
      </c>
    </row>
    <row r="95" spans="1:17" x14ac:dyDescent="0.2">
      <c r="A95" s="180">
        <f t="shared" si="30"/>
        <v>2095</v>
      </c>
      <c r="B95" s="128">
        <f t="shared" si="31"/>
        <v>1.2</v>
      </c>
      <c r="C95" s="5">
        <f t="shared" si="23"/>
        <v>1.5440462735841471E-9</v>
      </c>
      <c r="D95" s="195">
        <f t="shared" si="17"/>
        <v>1.2867052279867893E-9</v>
      </c>
      <c r="E95" s="5">
        <f t="shared" si="32"/>
        <v>4</v>
      </c>
      <c r="F95" s="5">
        <f t="shared" si="24"/>
        <v>5.0037737762467727E-2</v>
      </c>
      <c r="G95" s="4">
        <f t="shared" si="18"/>
        <v>1.2509434440616932E-2</v>
      </c>
      <c r="H95" s="128">
        <f t="shared" si="33"/>
        <v>1.7000000000000004</v>
      </c>
      <c r="I95" s="5">
        <f t="shared" si="25"/>
        <v>1.0075853388879921</v>
      </c>
      <c r="J95" s="4">
        <f t="shared" si="19"/>
        <v>0.59269725816940699</v>
      </c>
      <c r="K95" s="128">
        <f t="shared" si="20"/>
        <v>6.9</v>
      </c>
      <c r="L95" s="19">
        <f t="shared" si="21"/>
        <v>1.057623078194506</v>
      </c>
      <c r="M95" s="195">
        <f t="shared" si="22"/>
        <v>0.15327870698471099</v>
      </c>
      <c r="N95" s="440">
        <f t="shared" si="26"/>
        <v>-1.5526025594554627E-2</v>
      </c>
      <c r="O95" s="448">
        <f t="shared" si="27"/>
        <v>-0.28839652151962858</v>
      </c>
      <c r="P95" s="444">
        <f t="shared" si="28"/>
        <v>-9.4615296224842438E-2</v>
      </c>
      <c r="Q95" s="445">
        <f t="shared" si="29"/>
        <v>-1.1236664013052122E-2</v>
      </c>
    </row>
    <row r="96" spans="1:17" x14ac:dyDescent="0.2">
      <c r="A96" s="180">
        <f t="shared" si="30"/>
        <v>2096</v>
      </c>
      <c r="B96" s="128">
        <f t="shared" si="31"/>
        <v>1.2</v>
      </c>
      <c r="C96" s="5">
        <f t="shared" si="23"/>
        <v>1.0985694968083121E-9</v>
      </c>
      <c r="D96" s="195">
        <f t="shared" si="17"/>
        <v>9.1547458067359352E-10</v>
      </c>
      <c r="E96" s="5">
        <f t="shared" si="32"/>
        <v>4</v>
      </c>
      <c r="F96" s="5">
        <f t="shared" si="24"/>
        <v>4.5296754893722091E-2</v>
      </c>
      <c r="G96" s="4">
        <f t="shared" si="18"/>
        <v>1.1324188723430523E-2</v>
      </c>
      <c r="H96" s="128">
        <f t="shared" si="33"/>
        <v>1.7000000000000004</v>
      </c>
      <c r="I96" s="5">
        <f t="shared" si="25"/>
        <v>0.99616313695281633</v>
      </c>
      <c r="J96" s="4">
        <f t="shared" si="19"/>
        <v>0.5859783158545977</v>
      </c>
      <c r="K96" s="128">
        <f t="shared" si="20"/>
        <v>6.9</v>
      </c>
      <c r="L96" s="19">
        <f t="shared" si="21"/>
        <v>1.041459892945108</v>
      </c>
      <c r="M96" s="195">
        <f t="shared" si="22"/>
        <v>0.15093621636885624</v>
      </c>
      <c r="N96" s="440">
        <f t="shared" si="26"/>
        <v>-1.5282557257535023E-2</v>
      </c>
      <c r="O96" s="448">
        <f t="shared" si="27"/>
        <v>-0.28851258177759365</v>
      </c>
      <c r="P96" s="444">
        <f t="shared" si="28"/>
        <v>-9.4748145714568022E-2</v>
      </c>
      <c r="Q96" s="445">
        <f t="shared" si="29"/>
        <v>-1.1336212918482635E-2</v>
      </c>
    </row>
    <row r="97" spans="1:17" x14ac:dyDescent="0.2">
      <c r="A97" s="180">
        <f t="shared" si="30"/>
        <v>2097</v>
      </c>
      <c r="B97" s="128">
        <f t="shared" si="31"/>
        <v>1.2</v>
      </c>
      <c r="C97" s="5">
        <f t="shared" si="23"/>
        <v>7.8149409029286265E-10</v>
      </c>
      <c r="D97" s="195">
        <f t="shared" si="17"/>
        <v>6.5124507524405228E-10</v>
      </c>
      <c r="E97" s="5">
        <f t="shared" si="32"/>
        <v>4</v>
      </c>
      <c r="F97" s="5">
        <f t="shared" si="24"/>
        <v>4.0999097752564495E-2</v>
      </c>
      <c r="G97" s="4">
        <f t="shared" si="18"/>
        <v>1.0249774438141124E-2</v>
      </c>
      <c r="H97" s="128">
        <f t="shared" si="33"/>
        <v>1.7000000000000004</v>
      </c>
      <c r="I97" s="5">
        <f t="shared" si="25"/>
        <v>0.98477322288403002</v>
      </c>
      <c r="J97" s="4">
        <f t="shared" si="19"/>
        <v>0.57927836640237051</v>
      </c>
      <c r="K97" s="128">
        <f t="shared" si="20"/>
        <v>6.9</v>
      </c>
      <c r="L97" s="19">
        <f t="shared" si="21"/>
        <v>1.0257723214180885</v>
      </c>
      <c r="M97" s="195">
        <f t="shared" si="22"/>
        <v>0.14866265527798384</v>
      </c>
      <c r="N97" s="440">
        <f t="shared" si="26"/>
        <v>-1.5063058724860912E-2</v>
      </c>
      <c r="O97" s="448">
        <f t="shared" si="27"/>
        <v>-0.28862571501998979</v>
      </c>
      <c r="P97" s="444">
        <f t="shared" si="28"/>
        <v>-9.4877815226300677E-2</v>
      </c>
      <c r="Q97" s="445">
        <f t="shared" si="29"/>
        <v>-1.1433783931843911E-2</v>
      </c>
    </row>
    <row r="98" spans="1:17" x14ac:dyDescent="0.2">
      <c r="A98" s="180">
        <f t="shared" si="30"/>
        <v>2098</v>
      </c>
      <c r="B98" s="128">
        <f t="shared" si="31"/>
        <v>1.2</v>
      </c>
      <c r="C98" s="5">
        <f t="shared" si="23"/>
        <v>5.5584858872746599E-10</v>
      </c>
      <c r="D98" s="195">
        <f t="shared" si="17"/>
        <v>4.6320715727288836E-10</v>
      </c>
      <c r="E98" s="5">
        <f t="shared" si="32"/>
        <v>4</v>
      </c>
      <c r="F98" s="5">
        <f t="shared" si="24"/>
        <v>3.7104002348991194E-2</v>
      </c>
      <c r="G98" s="4">
        <f t="shared" si="18"/>
        <v>9.2760005872477985E-3</v>
      </c>
      <c r="H98" s="128">
        <f t="shared" si="33"/>
        <v>1.7000000000000004</v>
      </c>
      <c r="I98" s="5">
        <f t="shared" si="25"/>
        <v>0.97341934360726157</v>
      </c>
      <c r="J98" s="4">
        <f t="shared" si="19"/>
        <v>0.57259961388662428</v>
      </c>
      <c r="K98" s="128">
        <f t="shared" si="20"/>
        <v>6.9</v>
      </c>
      <c r="L98" s="19">
        <f t="shared" si="21"/>
        <v>1.0105233465121013</v>
      </c>
      <c r="M98" s="195">
        <f t="shared" si="22"/>
        <v>0.14645265891479728</v>
      </c>
      <c r="N98" s="440">
        <f t="shared" si="26"/>
        <v>-1.4865847505912577E-2</v>
      </c>
      <c r="O98" s="448">
        <f t="shared" si="27"/>
        <v>-0.2887360305960045</v>
      </c>
      <c r="P98" s="444">
        <f t="shared" si="28"/>
        <v>-9.5004417586961765E-2</v>
      </c>
      <c r="Q98" s="445">
        <f t="shared" si="29"/>
        <v>-1.1529435420184586E-2</v>
      </c>
    </row>
    <row r="99" spans="1:17" x14ac:dyDescent="0.2">
      <c r="A99" s="180">
        <f t="shared" si="30"/>
        <v>2099</v>
      </c>
      <c r="B99" s="128">
        <f t="shared" si="31"/>
        <v>1.2</v>
      </c>
      <c r="C99" s="5">
        <f t="shared" si="23"/>
        <v>3.9529526325330057E-10</v>
      </c>
      <c r="D99" s="195">
        <f t="shared" si="17"/>
        <v>3.2941271937775051E-10</v>
      </c>
      <c r="E99" s="5">
        <f t="shared" si="32"/>
        <v>4</v>
      </c>
      <c r="F99" s="5">
        <f t="shared" si="24"/>
        <v>3.3574370574372792E-2</v>
      </c>
      <c r="G99" s="4">
        <f t="shared" si="18"/>
        <v>8.3935926435931979E-3</v>
      </c>
      <c r="H99" s="128">
        <f t="shared" si="33"/>
        <v>1.7000000000000004</v>
      </c>
      <c r="I99" s="5">
        <f t="shared" si="25"/>
        <v>0.96210507304051873</v>
      </c>
      <c r="J99" s="4">
        <f t="shared" si="19"/>
        <v>0.56594416061206976</v>
      </c>
      <c r="K99" s="128">
        <f t="shared" si="20"/>
        <v>6.9</v>
      </c>
      <c r="L99" s="19">
        <f t="shared" si="21"/>
        <v>0.99567944401018671</v>
      </c>
      <c r="M99" s="195">
        <f t="shared" si="22"/>
        <v>0.14430136869712851</v>
      </c>
      <c r="N99" s="440">
        <f t="shared" si="26"/>
        <v>-1.4689321679849821E-2</v>
      </c>
      <c r="O99" s="448">
        <f t="shared" si="27"/>
        <v>-0.28884363247503919</v>
      </c>
      <c r="P99" s="444">
        <f t="shared" si="28"/>
        <v>-9.512806034830279E-2</v>
      </c>
      <c r="Q99" s="445">
        <f t="shared" si="29"/>
        <v>-1.1623223476138089E-2</v>
      </c>
    </row>
    <row r="100" spans="1:17" ht="13.5" thickBot="1" x14ac:dyDescent="0.25">
      <c r="A100" s="498">
        <f t="shared" si="30"/>
        <v>2100</v>
      </c>
      <c r="B100" s="499">
        <f t="shared" si="31"/>
        <v>1.2</v>
      </c>
      <c r="C100" s="500">
        <f t="shared" si="23"/>
        <v>2.8107524261236595E-10</v>
      </c>
      <c r="D100" s="204">
        <f t="shared" si="17"/>
        <v>2.3422936884363833E-10</v>
      </c>
      <c r="E100" s="500">
        <f t="shared" si="32"/>
        <v>4</v>
      </c>
      <c r="F100" s="500">
        <f t="shared" si="24"/>
        <v>3.0376450518908693E-2</v>
      </c>
      <c r="G100" s="501">
        <f t="shared" si="18"/>
        <v>7.5941126297271733E-3</v>
      </c>
      <c r="H100" s="499">
        <f t="shared" si="33"/>
        <v>1.7000000000000004</v>
      </c>
      <c r="I100" s="500">
        <f t="shared" si="25"/>
        <v>0.95083381773758191</v>
      </c>
      <c r="J100" s="501">
        <f t="shared" si="19"/>
        <v>0.55931401043387163</v>
      </c>
      <c r="K100" s="499">
        <f t="shared" si="20"/>
        <v>6.9</v>
      </c>
      <c r="L100" s="268">
        <f t="shared" si="21"/>
        <v>0.98121026853756588</v>
      </c>
      <c r="M100" s="204">
        <f t="shared" si="22"/>
        <v>0.14220438674457475</v>
      </c>
      <c r="N100" s="441">
        <f t="shared" si="26"/>
        <v>-1.4531961626469858E-2</v>
      </c>
      <c r="O100" s="449">
        <f t="shared" si="27"/>
        <v>-0.28894861957337392</v>
      </c>
      <c r="P100" s="446">
        <f t="shared" si="28"/>
        <v>-9.5248846091698924E-2</v>
      </c>
      <c r="Q100" s="447">
        <f t="shared" si="29"/>
        <v>-1.1715202028107496E-2</v>
      </c>
    </row>
    <row r="101" spans="1:17" x14ac:dyDescent="0.2">
      <c r="A101" s="659" t="s">
        <v>1</v>
      </c>
      <c r="B101" s="197"/>
      <c r="C101" s="207">
        <f>SUM(C51:C100)</f>
        <v>1.3576840077360335E-2</v>
      </c>
      <c r="D101" s="208"/>
      <c r="E101" s="207"/>
      <c r="F101" s="207">
        <f>SUM(F51:F100)</f>
        <v>36.318564962148869</v>
      </c>
      <c r="G101" s="207"/>
      <c r="H101" s="209"/>
      <c r="I101" s="207">
        <f>SUM(I51:I100)</f>
        <v>60.943941575908291</v>
      </c>
      <c r="J101" s="207"/>
      <c r="K101" s="210"/>
      <c r="L101" s="207">
        <f>SUM(L51:L100)</f>
        <v>97.276083378134544</v>
      </c>
      <c r="M101" s="198"/>
    </row>
    <row r="102" spans="1:17" ht="13.5" thickBot="1" x14ac:dyDescent="0.25">
      <c r="A102" s="180" t="s">
        <v>52</v>
      </c>
      <c r="B102" s="197"/>
      <c r="C102" s="211">
        <f>C$11*EXP(-C$8*($A100-$A$11))/C$8^2*((C$7*C$8+C$8^2)*($A100-$A$11)+2*C$8+C$7)</f>
        <v>6.9055009037044834E-10</v>
      </c>
      <c r="D102" s="208"/>
      <c r="E102" s="207"/>
      <c r="F102" s="211">
        <f>F$11*EXP(-F$8*($A100-$A$11))/F$8^2*((F$7*F$8+F$8^2)*($A100-$A$11)+2*F$8+F$7)</f>
        <v>0.28516372872732182</v>
      </c>
      <c r="G102" s="207"/>
      <c r="H102" s="209"/>
      <c r="I102" s="211">
        <f>I$11*EXP(-I$8*($A100-$A$11))/I$8^2*((I$7*I$8+I$8^2)*($A100-$A$11)+2*I$8+I$7)</f>
        <v>63.854009447572288</v>
      </c>
      <c r="J102" s="207"/>
      <c r="K102" s="212"/>
      <c r="L102" s="213">
        <f>I102+F102+C102</f>
        <v>64.139173176990155</v>
      </c>
      <c r="M102" s="204"/>
    </row>
    <row r="103" spans="1:17" ht="13.5" thickBot="1" x14ac:dyDescent="0.25">
      <c r="A103" s="143" t="s">
        <v>1</v>
      </c>
      <c r="B103" s="199"/>
      <c r="C103" s="145">
        <f>SUM(C101:C102)</f>
        <v>1.3576840767910426E-2</v>
      </c>
      <c r="D103" s="200"/>
      <c r="E103" s="145"/>
      <c r="F103" s="145">
        <f>SUM(F101:F102)</f>
        <v>36.603728690876189</v>
      </c>
      <c r="G103" s="146"/>
      <c r="H103" s="144"/>
      <c r="I103" s="145">
        <f>SUM(I101:I102)</f>
        <v>124.79795102348058</v>
      </c>
      <c r="J103" s="146"/>
      <c r="K103" s="144"/>
      <c r="L103" s="147">
        <f>SUM(L101:L102)</f>
        <v>161.4152565551247</v>
      </c>
      <c r="M103" s="148"/>
    </row>
    <row r="104" spans="1:17" ht="13.5" thickBot="1" x14ac:dyDescent="0.25"/>
    <row r="105" spans="1:17" s="1" customFormat="1" ht="13.5" thickBot="1" x14ac:dyDescent="0.25">
      <c r="A105" s="143" t="s">
        <v>1</v>
      </c>
      <c r="B105" s="562"/>
      <c r="C105" s="572">
        <f>C103+C43</f>
        <v>118.95064441576385</v>
      </c>
      <c r="D105" s="563"/>
      <c r="E105" s="456"/>
      <c r="F105" s="572">
        <f>F103+F43</f>
        <v>396.50214805254626</v>
      </c>
      <c r="G105" s="456"/>
      <c r="H105" s="562"/>
      <c r="I105" s="572">
        <f>I103+I43</f>
        <v>168.51341292233215</v>
      </c>
      <c r="J105" s="563"/>
      <c r="K105" s="456"/>
      <c r="L105" s="572">
        <f>SUM(C105:I105)</f>
        <v>683.96620539064224</v>
      </c>
      <c r="M105" s="563"/>
    </row>
    <row r="106" spans="1:17" s="1" customFormat="1" x14ac:dyDescent="0.2"/>
    <row r="107" spans="1:17" s="1" customFormat="1" x14ac:dyDescent="0.2">
      <c r="J107" s="1" t="s">
        <v>41</v>
      </c>
      <c r="K107" s="114"/>
      <c r="L107" s="573">
        <f>'global path'!C88</f>
        <v>683.96620539064213</v>
      </c>
    </row>
    <row r="108" spans="1:17" s="1" customFormat="1" x14ac:dyDescent="0.2">
      <c r="L108" s="573">
        <f>L105-L107</f>
        <v>0</v>
      </c>
    </row>
  </sheetData>
  <sheetProtection selectLockedCells="1"/>
  <mergeCells count="8">
    <mergeCell ref="N11:Q11"/>
    <mergeCell ref="P7:Q7"/>
    <mergeCell ref="S5:AE7"/>
    <mergeCell ref="B4:D4"/>
    <mergeCell ref="E4:G4"/>
    <mergeCell ref="H4:J4"/>
    <mergeCell ref="K4:N4"/>
    <mergeCell ref="K6:N8"/>
  </mergeCells>
  <conditionalFormatting sqref="L48">
    <cfRule type="cellIs" dxfId="51" priority="6" stopIfTrue="1" operator="equal">
      <formula>0</formula>
    </cfRule>
  </conditionalFormatting>
  <conditionalFormatting sqref="N11:N42">
    <cfRule type="expression" dxfId="50" priority="7" stopIfTrue="1">
      <formula>AND(N11=-100,N12=-100)</formula>
    </cfRule>
  </conditionalFormatting>
  <conditionalFormatting sqref="N44">
    <cfRule type="expression" dxfId="49" priority="13" stopIfTrue="1">
      <formula>AND(N44=-100,N46=-100)</formula>
    </cfRule>
  </conditionalFormatting>
  <conditionalFormatting sqref="N43">
    <cfRule type="expression" dxfId="48" priority="14" stopIfTrue="1">
      <formula>AND(N43=-100,N46=-100)</formula>
    </cfRule>
  </conditionalFormatting>
  <conditionalFormatting sqref="N53">
    <cfRule type="expression" dxfId="47" priority="5" stopIfTrue="1">
      <formula>AND(N53=-100,N54=-100)</formula>
    </cfRule>
  </conditionalFormatting>
  <conditionalFormatting sqref="N54:N100">
    <cfRule type="expression" dxfId="46" priority="4" stopIfTrue="1">
      <formula>AND(N54=-100,N55=-100)</formula>
    </cfRule>
  </conditionalFormatting>
  <conditionalFormatting sqref="N51">
    <cfRule type="expression" dxfId="45" priority="3" stopIfTrue="1">
      <formula>AND(N51=-100,N52=-100)</formula>
    </cfRule>
  </conditionalFormatting>
  <conditionalFormatting sqref="N52">
    <cfRule type="expression" dxfId="44" priority="2" stopIfTrue="1">
      <formula>AND(N52=-100,N53=-100)</formula>
    </cfRule>
  </conditionalFormatting>
  <conditionalFormatting sqref="L108">
    <cfRule type="cellIs" dxfId="43" priority="1" stopIfTrue="1" operator="equal">
      <formula>0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00B0F0"/>
    <pageSetUpPr fitToPage="1"/>
  </sheetPr>
  <dimension ref="A1:AL108"/>
  <sheetViews>
    <sheetView zoomScale="120" zoomScaleNormal="12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6" style="3" bestFit="1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7.28515625" style="3" bestFit="1" customWidth="1"/>
    <col min="10" max="10" width="5.85546875" style="3" customWidth="1"/>
    <col min="11" max="11" width="5.28515625" style="3" bestFit="1" customWidth="1"/>
    <col min="12" max="12" width="7.5703125" style="3" bestFit="1" customWidth="1"/>
    <col min="13" max="14" width="7.28515625" style="3" bestFit="1" customWidth="1"/>
    <col min="15" max="17" width="5" style="3" bestFit="1" customWidth="1"/>
    <col min="18" max="19" width="4.42578125" style="3" bestFit="1" customWidth="1"/>
    <col min="20" max="20" width="6.7109375" style="3" customWidth="1"/>
    <col min="21" max="21" width="4.28515625" style="3" customWidth="1"/>
    <col min="22" max="27" width="8.42578125" style="1" bestFit="1" customWidth="1"/>
    <col min="28" max="28" width="8.42578125" style="3" bestFit="1" customWidth="1"/>
    <col min="29" max="35" width="8.42578125" style="1" bestFit="1" customWidth="1"/>
    <col min="36" max="36" width="8.42578125" style="3" bestFit="1" customWidth="1"/>
    <col min="37" max="16384" width="11.7109375" style="3"/>
  </cols>
  <sheetData>
    <row r="1" spans="1:38" ht="15.75" x14ac:dyDescent="0.25">
      <c r="A1" s="167" t="s">
        <v>208</v>
      </c>
      <c r="D1" s="1"/>
      <c r="F1" s="16"/>
    </row>
    <row r="2" spans="1:38" ht="15.75" x14ac:dyDescent="0.25">
      <c r="A2" s="169" t="s">
        <v>163</v>
      </c>
      <c r="B2" s="166" t="s">
        <v>80</v>
      </c>
      <c r="D2" s="1"/>
      <c r="F2" s="16"/>
    </row>
    <row r="3" spans="1:38" ht="16.5" thickBot="1" x14ac:dyDescent="0.3">
      <c r="A3" s="51"/>
      <c r="D3" s="1"/>
      <c r="F3" s="16"/>
      <c r="AA3" s="404"/>
      <c r="AB3" s="404"/>
    </row>
    <row r="4" spans="1:38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P4" s="3"/>
      <c r="Q4" s="3"/>
      <c r="R4" s="3"/>
      <c r="S4" s="167" t="s">
        <v>61</v>
      </c>
      <c r="T4" s="3"/>
      <c r="U4" s="3"/>
      <c r="V4" s="1"/>
      <c r="W4" s="1"/>
      <c r="X4" s="1"/>
      <c r="Y4" s="1"/>
      <c r="Z4" s="1"/>
      <c r="AA4" s="1"/>
      <c r="AB4" s="3"/>
      <c r="AC4" s="1"/>
      <c r="AD4" s="1"/>
      <c r="AE4" s="1"/>
      <c r="AF4" s="1"/>
      <c r="AG4" s="1"/>
      <c r="AH4" s="1"/>
      <c r="AI4" s="10"/>
    </row>
    <row r="5" spans="1:38" ht="15.6" customHeight="1" x14ac:dyDescent="0.2">
      <c r="A5" s="173"/>
      <c r="B5" s="457" t="s">
        <v>89</v>
      </c>
      <c r="C5" s="458">
        <f>W8*'global path'!C88/K11*B11+(1-W8)*'global path'!C88*C11/L11</f>
        <v>344.21462066407162</v>
      </c>
      <c r="D5" s="459" t="s">
        <v>21</v>
      </c>
      <c r="E5" s="457" t="s">
        <v>90</v>
      </c>
      <c r="F5" s="458">
        <f>W8*'global path'!C88/K11*E11+(1-W8)*'global path'!C88*F11/L11</f>
        <v>319.62786204520938</v>
      </c>
      <c r="G5" s="459" t="s">
        <v>21</v>
      </c>
      <c r="H5" s="457" t="s">
        <v>91</v>
      </c>
      <c r="I5" s="458">
        <f>W8*'global path'!C88/K11*H11+(1-W8)*'global path'!C88*I11/L11</f>
        <v>20.123722681361119</v>
      </c>
      <c r="J5" s="459" t="s">
        <v>21</v>
      </c>
      <c r="K5" s="457" t="s">
        <v>92</v>
      </c>
      <c r="L5" s="460">
        <f>C5+F5+I5</f>
        <v>683.96620539064213</v>
      </c>
      <c r="M5" s="459" t="s">
        <v>21</v>
      </c>
      <c r="N5" s="461"/>
      <c r="S5" s="782" t="s">
        <v>190</v>
      </c>
      <c r="T5" s="782"/>
      <c r="U5" s="782"/>
      <c r="V5" s="782"/>
      <c r="W5" s="782"/>
      <c r="X5" s="782"/>
      <c r="Y5" s="782"/>
      <c r="Z5" s="782"/>
      <c r="AA5" s="782"/>
      <c r="AB5" s="782"/>
      <c r="AC5" s="782"/>
      <c r="AD5" s="782"/>
      <c r="AE5" s="782"/>
    </row>
    <row r="6" spans="1:38" ht="15.75" x14ac:dyDescent="0.2">
      <c r="A6" s="176"/>
      <c r="B6" s="174" t="s">
        <v>43</v>
      </c>
      <c r="C6" s="175">
        <f>C5/C11</f>
        <v>16.391172412574839</v>
      </c>
      <c r="D6" s="178"/>
      <c r="E6" s="174" t="s">
        <v>47</v>
      </c>
      <c r="F6" s="175">
        <f>F5/F11</f>
        <v>16.391172412574839</v>
      </c>
      <c r="G6" s="485"/>
      <c r="H6" s="174" t="s">
        <v>49</v>
      </c>
      <c r="I6" s="175">
        <f>I5/I11</f>
        <v>16.391172412574839</v>
      </c>
      <c r="J6" s="178"/>
      <c r="K6" s="783" t="s">
        <v>57</v>
      </c>
      <c r="L6" s="784"/>
      <c r="M6" s="784"/>
      <c r="N6" s="785"/>
      <c r="S6" s="782"/>
      <c r="T6" s="782"/>
      <c r="U6" s="782"/>
      <c r="V6" s="782"/>
      <c r="W6" s="782"/>
      <c r="X6" s="782"/>
      <c r="Y6" s="782"/>
      <c r="Z6" s="782"/>
      <c r="AA6" s="782"/>
      <c r="AB6" s="782"/>
      <c r="AC6" s="782"/>
      <c r="AD6" s="782"/>
      <c r="AE6" s="782"/>
      <c r="AG6" s="10"/>
      <c r="AH6" s="10"/>
    </row>
    <row r="7" spans="1:38" ht="16.5" thickBot="1" x14ac:dyDescent="0.25">
      <c r="A7" s="176"/>
      <c r="B7" s="174" t="s">
        <v>44</v>
      </c>
      <c r="C7" s="502">
        <f>'SPM-eq'!C7</f>
        <v>0</v>
      </c>
      <c r="D7" s="178"/>
      <c r="E7" s="174" t="s">
        <v>46</v>
      </c>
      <c r="F7" s="502">
        <f>'SPM-eq'!F7</f>
        <v>0.03</v>
      </c>
      <c r="G7" s="485"/>
      <c r="H7" s="174" t="s">
        <v>50</v>
      </c>
      <c r="I7" s="502">
        <f>'SPM-eq'!I7</f>
        <v>0.02</v>
      </c>
      <c r="J7" s="178"/>
      <c r="K7" s="783"/>
      <c r="L7" s="784"/>
      <c r="M7" s="784"/>
      <c r="N7" s="785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</row>
    <row r="8" spans="1:38" ht="16.5" thickBot="1" x14ac:dyDescent="0.3">
      <c r="A8" s="177"/>
      <c r="B8" s="87" t="s">
        <v>45</v>
      </c>
      <c r="C8" s="88">
        <f>(1+SQRT(1+C7*C6))/C6</f>
        <v>0.12201689724559649</v>
      </c>
      <c r="D8" s="179"/>
      <c r="E8" s="87" t="s">
        <v>48</v>
      </c>
      <c r="F8" s="88">
        <f>(1+SQRT(1+F7*F6))/F6</f>
        <v>0.13552210013743388</v>
      </c>
      <c r="G8" s="90"/>
      <c r="H8" s="87" t="s">
        <v>51</v>
      </c>
      <c r="I8" s="88">
        <f>(1+SQRT(1+I7*I6))/I6</f>
        <v>0.1313092293852946</v>
      </c>
      <c r="J8" s="179"/>
      <c r="K8" s="786"/>
      <c r="L8" s="787"/>
      <c r="M8" s="787"/>
      <c r="N8" s="788"/>
      <c r="S8" s="455" t="s">
        <v>188</v>
      </c>
      <c r="T8" s="312"/>
      <c r="U8" s="312"/>
      <c r="V8" s="456"/>
      <c r="W8" s="586">
        <v>0</v>
      </c>
    </row>
    <row r="9" spans="1:38" s="43" customFormat="1" ht="46.5" x14ac:dyDescent="0.25">
      <c r="A9" s="126" t="s">
        <v>10</v>
      </c>
      <c r="B9" s="191" t="s">
        <v>13</v>
      </c>
      <c r="C9" s="20" t="s">
        <v>12</v>
      </c>
      <c r="D9" s="192" t="s">
        <v>11</v>
      </c>
      <c r="E9" s="14" t="s">
        <v>13</v>
      </c>
      <c r="F9" s="14" t="s">
        <v>12</v>
      </c>
      <c r="G9" s="14" t="s">
        <v>11</v>
      </c>
      <c r="H9" s="13" t="s">
        <v>13</v>
      </c>
      <c r="I9" s="14" t="s">
        <v>12</v>
      </c>
      <c r="J9" s="14" t="s">
        <v>11</v>
      </c>
      <c r="K9" s="191" t="s">
        <v>22</v>
      </c>
      <c r="L9" s="20" t="s">
        <v>23</v>
      </c>
      <c r="M9" s="192" t="s">
        <v>11</v>
      </c>
      <c r="N9" s="201"/>
      <c r="P9" s="3"/>
      <c r="Q9" s="3"/>
      <c r="R9" s="3"/>
      <c r="S9" s="304" t="s">
        <v>59</v>
      </c>
      <c r="T9" s="3"/>
      <c r="U9" s="3"/>
      <c r="V9" s="1"/>
      <c r="W9" s="1"/>
      <c r="X9" s="1"/>
      <c r="Y9" s="1"/>
      <c r="Z9" s="1"/>
      <c r="AA9" s="1"/>
      <c r="AB9" s="3"/>
      <c r="AC9" s="1"/>
      <c r="AD9" s="1"/>
      <c r="AE9" s="1"/>
      <c r="AF9" s="1"/>
      <c r="AG9" s="1"/>
      <c r="AH9" s="1"/>
      <c r="AI9" s="10"/>
    </row>
    <row r="10" spans="1:38" s="43" customFormat="1" x14ac:dyDescent="0.2">
      <c r="A10" s="187"/>
      <c r="B10" s="127" t="s">
        <v>6</v>
      </c>
      <c r="C10" s="108" t="s">
        <v>21</v>
      </c>
      <c r="D10" s="193" t="s">
        <v>0</v>
      </c>
      <c r="E10" s="108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02" t="s">
        <v>6</v>
      </c>
      <c r="L10" s="108" t="s">
        <v>21</v>
      </c>
      <c r="M10" s="193" t="s">
        <v>0</v>
      </c>
      <c r="N10" s="30"/>
      <c r="O10" s="486" t="s">
        <v>129</v>
      </c>
      <c r="P10" s="487" t="s">
        <v>130</v>
      </c>
      <c r="Q10" s="488" t="s">
        <v>131</v>
      </c>
      <c r="R10" s="3"/>
      <c r="S10" s="3" t="s">
        <v>60</v>
      </c>
      <c r="T10" s="1" t="s">
        <v>105</v>
      </c>
      <c r="U10" s="3"/>
      <c r="V10" s="1"/>
      <c r="W10" s="1"/>
      <c r="X10" s="1"/>
      <c r="Y10" s="1"/>
      <c r="Z10" s="1"/>
      <c r="AA10" s="1"/>
      <c r="AB10" s="3"/>
      <c r="AC10" s="1"/>
      <c r="AD10" s="1"/>
      <c r="AE10" s="1"/>
      <c r="AF10" s="1"/>
      <c r="AG10" s="1"/>
      <c r="AH10" s="1"/>
      <c r="AI10" s="10"/>
    </row>
    <row r="11" spans="1:38" s="43" customFormat="1" x14ac:dyDescent="0.2">
      <c r="A11" s="188">
        <v>2019</v>
      </c>
      <c r="B11" s="131">
        <f>RF!B9</f>
        <v>1.2</v>
      </c>
      <c r="C11" s="132">
        <f>RF!C9</f>
        <v>21</v>
      </c>
      <c r="D11" s="194">
        <f>C11/B11</f>
        <v>17.5</v>
      </c>
      <c r="E11" s="132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1">
        <f>RF!K9</f>
        <v>6.9</v>
      </c>
      <c r="L11" s="32">
        <f>I11+F11+C11</f>
        <v>41.727717101305259</v>
      </c>
      <c r="M11" s="31">
        <f>L11/K11</f>
        <v>6.047495232073226</v>
      </c>
      <c r="N11" s="779" t="s">
        <v>172</v>
      </c>
      <c r="O11" s="780"/>
      <c r="P11" s="780"/>
      <c r="Q11" s="781"/>
      <c r="R11" s="3"/>
      <c r="S11" s="3" t="s">
        <v>60</v>
      </c>
      <c r="T11" s="1" t="s">
        <v>106</v>
      </c>
      <c r="U11" s="3"/>
      <c r="V11" s="1"/>
      <c r="W11" s="1"/>
      <c r="X11" s="1"/>
      <c r="Y11" s="1"/>
      <c r="Z11" s="1"/>
      <c r="AA11" s="1"/>
      <c r="AB11" s="3"/>
      <c r="AC11" s="1"/>
      <c r="AD11" s="1"/>
      <c r="AE11" s="1"/>
      <c r="AF11" s="1"/>
      <c r="AG11" s="1"/>
      <c r="AH11" s="1"/>
      <c r="AI11" s="10"/>
    </row>
    <row r="12" spans="1:38" x14ac:dyDescent="0.2">
      <c r="A12" s="180">
        <f>A11+1</f>
        <v>2020</v>
      </c>
      <c r="B12" s="128">
        <f t="shared" ref="B12:B41" si="0">B$11*(B$42/B$11)^(($A12-2019)/31)</f>
        <v>1.2</v>
      </c>
      <c r="C12" s="5">
        <f>-C$11*EXP(-C$8*($A12-$A$11))/C$8^2*((C$7*C$8+C$8^2)*($A12-$A$11)+2*C$8+C$7)
  +C$11*EXP(-C$8*($A11-$A$11))/C$8^2*((C$7*C$8+C$8^2)*($A11-$A$11)+2*C$8+C$7)</f>
        <v>20.950957341623223</v>
      </c>
      <c r="D12" s="195">
        <f t="shared" ref="D12:D42" si="1">C12/B12</f>
        <v>17.459131118019354</v>
      </c>
      <c r="E12" s="5">
        <f t="shared" ref="E12:E41" si="2">E$11*(E$42/E$11)^(($A12-2019)/31)</f>
        <v>4</v>
      </c>
      <c r="F12" s="5">
        <f>-F$11*EXP(-F$8*($A12-$A$11))/F$8^2*((F$7*F$8+F$8^2)*($A12-$A$11)+2*F$8+F$7)
  +F$11*EXP(-F$8*($A11-$A$11))/F$8^2*((F$7*F$8+F$8^2)*($A11-$A$11)+2*F$8+F$7)</f>
        <v>19.711563813975829</v>
      </c>
      <c r="G12" s="4">
        <f t="shared" ref="G12:G42" si="3">F12/E12</f>
        <v>4.9278909534939572</v>
      </c>
      <c r="H12" s="128">
        <f t="shared" ref="H12:H41" si="4">H$11*(H$42/H$11)^(($A12-2019)/31)</f>
        <v>1.7000000000000004</v>
      </c>
      <c r="I12" s="5">
        <f>-I$11*EXP(-I$8*($A12-$A$11))/I$8^2*((I$7*I$8+I$8^2)*($A12-$A$11)+2*I$8+I$7)
  +I$11*EXP(-I$8*($A11-$A$11))/I$8^2*((I$7*I$8+I$8^2)*($A11-$A$11)+2*I$8+I$7)</f>
        <v>1.2356653493811827</v>
      </c>
      <c r="J12" s="4">
        <f t="shared" ref="J12:J42" si="5">I12/H12</f>
        <v>0.72686197022422494</v>
      </c>
      <c r="K12" s="128">
        <f>B12+E12+H12</f>
        <v>6.9</v>
      </c>
      <c r="L12" s="19">
        <f>I12+F12+C12</f>
        <v>41.898186504980231</v>
      </c>
      <c r="M12" s="195">
        <f t="shared" ref="M12:M42" si="6">L12/K12</f>
        <v>6.0722009427507579</v>
      </c>
      <c r="N12" s="439">
        <f>L12/L11-1</f>
        <v>4.0852798934845058E-3</v>
      </c>
      <c r="O12" s="450">
        <f>C12/C11-1</f>
        <v>-2.3353646846084875E-3</v>
      </c>
      <c r="P12" s="442">
        <f>F12/F11-1</f>
        <v>1.0849426357734782E-2</v>
      </c>
      <c r="Q12" s="443">
        <f>I12/I11-1</f>
        <v>6.4740061594588116E-3</v>
      </c>
      <c r="R12" s="43"/>
      <c r="T12" s="1"/>
      <c r="AI12" s="10"/>
      <c r="AJ12" s="43"/>
      <c r="AK12" s="43"/>
      <c r="AL12" s="43"/>
    </row>
    <row r="13" spans="1:38" x14ac:dyDescent="0.2">
      <c r="A13" s="180">
        <f t="shared" ref="A13:A41" si="7">A12+1</f>
        <v>2021</v>
      </c>
      <c r="B13" s="128">
        <f t="shared" si="0"/>
        <v>1.2</v>
      </c>
      <c r="C13" s="5">
        <f t="shared" ref="C13:C42" si="8">-C$11*EXP(-C$8*($A13-$A$11))/C$8^2*((C$7*C$8+C$8^2)*($A13-$A$11)+2*C$8+C$7)
  +C$11*EXP(-C$8*($A12-$A$11))/C$8^2*((C$7*C$8+C$8^2)*($A12-$A$11)+2*C$8+C$7)</f>
        <v>20.67950971092813</v>
      </c>
      <c r="D13" s="195">
        <f t="shared" si="1"/>
        <v>17.232924759106776</v>
      </c>
      <c r="E13" s="5">
        <f t="shared" si="2"/>
        <v>4</v>
      </c>
      <c r="F13" s="5">
        <f t="shared" ref="F13:F42" si="9">-F$11*EXP(-F$8*($A13-$A$11))/F$8^2*((F$7*F$8+F$8^2)*($A13-$A$11)+2*F$8+F$7)
  +F$11*EXP(-F$8*($A12-$A$11))/F$8^2*((F$7*F$8+F$8^2)*($A12-$A$11)+2*F$8+F$7)</f>
        <v>19.849273463877751</v>
      </c>
      <c r="G13" s="4">
        <f t="shared" si="3"/>
        <v>4.9623183659694377</v>
      </c>
      <c r="H13" s="128">
        <f t="shared" si="4"/>
        <v>1.7000000000000004</v>
      </c>
      <c r="I13" s="5">
        <f t="shared" ref="I13:I42" si="10">-I$11*EXP(-I$8*($A13-$A$11))/I$8^2*((I$7*I$8+I$8^2)*($A13-$A$11)+2*I$8+I$7)
  +I$11*EXP(-I$8*($A12-$A$11))/I$8^2*((I$7*I$8+I$8^2)*($A12-$A$11)+2*I$8+I$7)</f>
        <v>1.2362760275915718</v>
      </c>
      <c r="J13" s="4">
        <f t="shared" si="5"/>
        <v>0.72722119270092445</v>
      </c>
      <c r="K13" s="128">
        <f t="shared" ref="K13:K41" si="11">B13+E13+H13</f>
        <v>6.9</v>
      </c>
      <c r="L13" s="19">
        <f t="shared" ref="L13:L44" si="12">I13+F13+C13</f>
        <v>41.765059202397453</v>
      </c>
      <c r="M13" s="195">
        <f t="shared" si="6"/>
        <v>6.0529071307822395</v>
      </c>
      <c r="N13" s="440">
        <f t="shared" ref="N13:N42" si="13">L13/L12-1</f>
        <v>-3.1774001141303687E-3</v>
      </c>
      <c r="O13" s="448">
        <f t="shared" ref="O13:O42" si="14">C13/C12-1</f>
        <v>-1.2956335420329812E-2</v>
      </c>
      <c r="P13" s="444">
        <f t="shared" ref="P13:P42" si="15">F13/F12-1</f>
        <v>6.9862366680559784E-3</v>
      </c>
      <c r="Q13" s="445">
        <f t="shared" ref="Q13:Q42" si="16">I13/I12-1</f>
        <v>4.9421003081051573E-4</v>
      </c>
      <c r="S13" s="304" t="s">
        <v>173</v>
      </c>
      <c r="T13" s="1"/>
      <c r="AI13" s="10"/>
      <c r="AJ13" s="43"/>
    </row>
    <row r="14" spans="1:38" x14ac:dyDescent="0.2">
      <c r="A14" s="180">
        <f t="shared" si="7"/>
        <v>2022</v>
      </c>
      <c r="B14" s="128">
        <f t="shared" si="0"/>
        <v>1.2</v>
      </c>
      <c r="C14" s="5">
        <f t="shared" si="8"/>
        <v>20.193988698158591</v>
      </c>
      <c r="D14" s="195">
        <f t="shared" si="1"/>
        <v>16.82832391513216</v>
      </c>
      <c r="E14" s="5">
        <f t="shared" si="2"/>
        <v>4</v>
      </c>
      <c r="F14" s="5">
        <f t="shared" si="9"/>
        <v>19.635448358799124</v>
      </c>
      <c r="G14" s="4">
        <f t="shared" si="3"/>
        <v>4.908862089699781</v>
      </c>
      <c r="H14" s="128">
        <f t="shared" si="4"/>
        <v>1.7000000000000004</v>
      </c>
      <c r="I14" s="5">
        <f t="shared" si="10"/>
        <v>1.2180257831567864</v>
      </c>
      <c r="J14" s="4">
        <f t="shared" si="5"/>
        <v>0.7164857547981095</v>
      </c>
      <c r="K14" s="128">
        <f t="shared" si="11"/>
        <v>6.9</v>
      </c>
      <c r="L14" s="19">
        <f t="shared" si="12"/>
        <v>41.047462840114505</v>
      </c>
      <c r="M14" s="195">
        <f t="shared" si="6"/>
        <v>5.9489076579876095</v>
      </c>
      <c r="N14" s="440">
        <f t="shared" si="13"/>
        <v>-1.7181739377056915E-2</v>
      </c>
      <c r="O14" s="448">
        <f t="shared" si="14"/>
        <v>-2.3478361893317201E-2</v>
      </c>
      <c r="P14" s="444">
        <f t="shared" si="15"/>
        <v>-1.077243988137655E-2</v>
      </c>
      <c r="Q14" s="445">
        <f t="shared" si="16"/>
        <v>-1.4762273171582296E-2</v>
      </c>
      <c r="T14" s="1" t="s">
        <v>174</v>
      </c>
      <c r="AI14" s="10"/>
      <c r="AJ14" s="43"/>
    </row>
    <row r="15" spans="1:38" s="7" customFormat="1" x14ac:dyDescent="0.2">
      <c r="A15" s="180">
        <f t="shared" si="7"/>
        <v>2023</v>
      </c>
      <c r="B15" s="128">
        <f t="shared" si="0"/>
        <v>1.2</v>
      </c>
      <c r="C15" s="5">
        <f t="shared" si="8"/>
        <v>19.547155631688383</v>
      </c>
      <c r="D15" s="195">
        <f t="shared" si="1"/>
        <v>16.28929635974032</v>
      </c>
      <c r="E15" s="5">
        <f t="shared" si="2"/>
        <v>4</v>
      </c>
      <c r="F15" s="5">
        <f t="shared" si="9"/>
        <v>19.156983585694576</v>
      </c>
      <c r="G15" s="4">
        <f t="shared" si="3"/>
        <v>4.789245896423644</v>
      </c>
      <c r="H15" s="128">
        <f t="shared" si="4"/>
        <v>1.7000000000000004</v>
      </c>
      <c r="I15" s="5">
        <f>-I$11*EXP(-I$8*($A15-$A$11))/I$8^2*((I$7*I$8+I$8^2)*($A15-$A$11)+2*I$8+I$7)
  +I$11*EXP(-I$8*($A14-$A$11))/I$8^2*((I$7*I$8+I$8^2)*($A14-$A$11)+2*I$8+I$7)</f>
        <v>1.1855471721172659</v>
      </c>
      <c r="J15" s="4">
        <f t="shared" si="5"/>
        <v>0.6973806894807445</v>
      </c>
      <c r="K15" s="128">
        <f t="shared" si="11"/>
        <v>6.9</v>
      </c>
      <c r="L15" s="19">
        <f t="shared" si="12"/>
        <v>39.889686389500227</v>
      </c>
      <c r="M15" s="195">
        <f t="shared" si="6"/>
        <v>5.781113969492786</v>
      </c>
      <c r="N15" s="440">
        <f t="shared" si="13"/>
        <v>-2.8205798129934956E-2</v>
      </c>
      <c r="O15" s="448">
        <f t="shared" si="14"/>
        <v>-3.2030971005207576E-2</v>
      </c>
      <c r="P15" s="444">
        <f t="shared" si="15"/>
        <v>-2.4367397390757106E-2</v>
      </c>
      <c r="Q15" s="445">
        <f t="shared" si="16"/>
        <v>-2.6664961849448665E-2</v>
      </c>
      <c r="R15" s="3"/>
      <c r="S15" s="3"/>
      <c r="T15" s="3"/>
      <c r="U15" s="3"/>
      <c r="V15" s="1"/>
      <c r="W15" s="1"/>
      <c r="X15" s="1"/>
      <c r="Y15" s="1"/>
      <c r="Z15" s="1"/>
      <c r="AA15" s="1"/>
      <c r="AB15" s="3"/>
      <c r="AC15" s="1"/>
      <c r="AD15" s="1"/>
      <c r="AE15" s="1"/>
      <c r="AF15" s="1"/>
      <c r="AG15" s="10"/>
      <c r="AH15" s="10"/>
      <c r="AI15" s="10"/>
      <c r="AJ15" s="43"/>
      <c r="AK15" s="3"/>
      <c r="AL15" s="3"/>
    </row>
    <row r="16" spans="1:38" s="7" customFormat="1" x14ac:dyDescent="0.2">
      <c r="A16" s="180">
        <f t="shared" si="7"/>
        <v>2024</v>
      </c>
      <c r="B16" s="128">
        <f t="shared" si="0"/>
        <v>1.2</v>
      </c>
      <c r="C16" s="5">
        <f t="shared" si="8"/>
        <v>18.782475367855142</v>
      </c>
      <c r="D16" s="195">
        <f t="shared" si="1"/>
        <v>15.652062806545953</v>
      </c>
      <c r="E16" s="5">
        <f t="shared" si="2"/>
        <v>4</v>
      </c>
      <c r="F16" s="5">
        <f t="shared" si="9"/>
        <v>18.484394765794463</v>
      </c>
      <c r="G16" s="4">
        <f t="shared" si="3"/>
        <v>4.6210986914486156</v>
      </c>
      <c r="H16" s="128">
        <f t="shared" si="4"/>
        <v>1.7000000000000004</v>
      </c>
      <c r="I16" s="5">
        <f t="shared" si="10"/>
        <v>1.1426182414787203</v>
      </c>
      <c r="J16" s="4">
        <f t="shared" si="5"/>
        <v>0.67212837734042352</v>
      </c>
      <c r="K16" s="128">
        <f t="shared" si="11"/>
        <v>6.9</v>
      </c>
      <c r="L16" s="19">
        <f t="shared" si="12"/>
        <v>38.409488375128326</v>
      </c>
      <c r="M16" s="195">
        <f t="shared" si="6"/>
        <v>5.5665925181345397</v>
      </c>
      <c r="N16" s="440">
        <f t="shared" si="13"/>
        <v>-3.7107286327563549E-2</v>
      </c>
      <c r="O16" s="448">
        <f t="shared" si="14"/>
        <v>-3.9119771604703368E-2</v>
      </c>
      <c r="P16" s="444">
        <f t="shared" si="15"/>
        <v>-3.5109327984305772E-2</v>
      </c>
      <c r="Q16" s="445">
        <f t="shared" si="16"/>
        <v>-3.6210225664727425E-2</v>
      </c>
      <c r="R16" s="3"/>
      <c r="S16" s="304" t="s">
        <v>103</v>
      </c>
      <c r="T16" s="3"/>
      <c r="U16" s="3"/>
      <c r="V16" s="1"/>
      <c r="W16" s="1"/>
      <c r="X16" s="1"/>
      <c r="Y16" s="1"/>
      <c r="Z16" s="1"/>
      <c r="AA16" s="1"/>
      <c r="AB16" s="3"/>
      <c r="AC16" s="1"/>
      <c r="AD16" s="1"/>
      <c r="AE16" s="1"/>
      <c r="AF16" s="1"/>
      <c r="AG16" s="10"/>
      <c r="AH16" s="10"/>
      <c r="AI16" s="1"/>
      <c r="AJ16" s="3"/>
    </row>
    <row r="17" spans="1:38" s="7" customFormat="1" x14ac:dyDescent="0.2">
      <c r="A17" s="180">
        <f t="shared" si="7"/>
        <v>2025</v>
      </c>
      <c r="B17" s="128">
        <f t="shared" si="0"/>
        <v>1.2</v>
      </c>
      <c r="C17" s="5">
        <f t="shared" si="8"/>
        <v>17.935555848468368</v>
      </c>
      <c r="D17" s="195">
        <f t="shared" si="1"/>
        <v>14.946296540390307</v>
      </c>
      <c r="E17" s="5">
        <f t="shared" si="2"/>
        <v>4</v>
      </c>
      <c r="F17" s="5">
        <f t="shared" si="9"/>
        <v>17.674574124860555</v>
      </c>
      <c r="G17" s="4">
        <f t="shared" si="3"/>
        <v>4.4186435312151389</v>
      </c>
      <c r="H17" s="128">
        <f t="shared" si="4"/>
        <v>1.7000000000000004</v>
      </c>
      <c r="I17" s="5">
        <f t="shared" si="10"/>
        <v>1.0923026829132656</v>
      </c>
      <c r="J17" s="4">
        <f t="shared" si="5"/>
        <v>0.64253098994897961</v>
      </c>
      <c r="K17" s="128">
        <f t="shared" si="11"/>
        <v>6.9</v>
      </c>
      <c r="L17" s="19">
        <f t="shared" si="12"/>
        <v>36.702432656242188</v>
      </c>
      <c r="M17" s="195">
        <f t="shared" si="6"/>
        <v>5.319193138585824</v>
      </c>
      <c r="N17" s="440">
        <f t="shared" si="13"/>
        <v>-4.4443594307065126E-2</v>
      </c>
      <c r="O17" s="448">
        <f t="shared" si="14"/>
        <v>-4.5090942636678011E-2</v>
      </c>
      <c r="P17" s="444">
        <f t="shared" si="15"/>
        <v>-4.3811044461812054E-2</v>
      </c>
      <c r="Q17" s="445">
        <f t="shared" si="16"/>
        <v>-4.4035318830844772E-2</v>
      </c>
      <c r="R17" s="43"/>
      <c r="S17" s="3" t="s">
        <v>60</v>
      </c>
      <c r="T17" s="1" t="s">
        <v>107</v>
      </c>
      <c r="U17" s="3"/>
      <c r="V17" s="1"/>
      <c r="W17" s="1"/>
      <c r="X17" s="1"/>
      <c r="Y17" s="1"/>
      <c r="Z17" s="1"/>
      <c r="AA17" s="1"/>
      <c r="AB17" s="3"/>
      <c r="AC17" s="1"/>
      <c r="AD17" s="1"/>
      <c r="AE17" s="1"/>
      <c r="AF17" s="1"/>
      <c r="AG17" s="10"/>
      <c r="AH17" s="10"/>
      <c r="AI17" s="1"/>
      <c r="AJ17" s="3"/>
    </row>
    <row r="18" spans="1:38" s="7" customFormat="1" x14ac:dyDescent="0.2">
      <c r="A18" s="180">
        <f t="shared" si="7"/>
        <v>2026</v>
      </c>
      <c r="B18" s="128">
        <f t="shared" si="0"/>
        <v>1.2</v>
      </c>
      <c r="C18" s="5">
        <f t="shared" si="8"/>
        <v>17.035379604947138</v>
      </c>
      <c r="D18" s="195">
        <f t="shared" si="1"/>
        <v>14.196149670789282</v>
      </c>
      <c r="E18" s="5">
        <f t="shared" si="2"/>
        <v>4</v>
      </c>
      <c r="F18" s="5">
        <f t="shared" si="9"/>
        <v>16.773111058378674</v>
      </c>
      <c r="G18" s="4">
        <f t="shared" si="3"/>
        <v>4.1932777645946686</v>
      </c>
      <c r="H18" s="128">
        <f t="shared" si="4"/>
        <v>1.7000000000000004</v>
      </c>
      <c r="I18" s="5">
        <f t="shared" si="10"/>
        <v>1.0370684327733741</v>
      </c>
      <c r="J18" s="4">
        <f t="shared" si="5"/>
        <v>0.61004025457257283</v>
      </c>
      <c r="K18" s="128">
        <f t="shared" si="11"/>
        <v>6.9</v>
      </c>
      <c r="L18" s="19">
        <f t="shared" si="12"/>
        <v>34.845559096099187</v>
      </c>
      <c r="M18" s="195">
        <f t="shared" si="6"/>
        <v>5.0500810284201716</v>
      </c>
      <c r="N18" s="440">
        <f t="shared" si="13"/>
        <v>-5.0592656283430126E-2</v>
      </c>
      <c r="O18" s="448">
        <f t="shared" si="14"/>
        <v>-5.0189481225255794E-2</v>
      </c>
      <c r="P18" s="444">
        <f t="shared" si="15"/>
        <v>-5.1003382605632863E-2</v>
      </c>
      <c r="Q18" s="445">
        <f t="shared" si="16"/>
        <v>-5.0566798932121015E-2</v>
      </c>
      <c r="R18" s="3"/>
      <c r="S18" s="3" t="s">
        <v>60</v>
      </c>
      <c r="T18" s="1" t="s">
        <v>157</v>
      </c>
      <c r="U18" s="3"/>
      <c r="V18" s="1"/>
      <c r="W18" s="1"/>
      <c r="X18" s="1"/>
      <c r="Y18" s="1"/>
      <c r="Z18" s="1"/>
      <c r="AA18" s="1"/>
      <c r="AB18" s="3"/>
      <c r="AC18" s="1"/>
      <c r="AD18" s="1"/>
      <c r="AE18" s="1"/>
      <c r="AF18" s="10"/>
      <c r="AG18" s="1"/>
      <c r="AH18" s="1"/>
      <c r="AI18" s="1"/>
      <c r="AJ18" s="3"/>
    </row>
    <row r="19" spans="1:38" s="7" customFormat="1" x14ac:dyDescent="0.2">
      <c r="A19" s="180">
        <f t="shared" si="7"/>
        <v>2027</v>
      </c>
      <c r="B19" s="128">
        <f t="shared" si="0"/>
        <v>1.2</v>
      </c>
      <c r="C19" s="5">
        <f t="shared" si="8"/>
        <v>16.105356011848102</v>
      </c>
      <c r="D19" s="195">
        <f t="shared" si="1"/>
        <v>13.421130009873419</v>
      </c>
      <c r="E19" s="5">
        <f t="shared" si="2"/>
        <v>4</v>
      </c>
      <c r="F19" s="5">
        <f t="shared" si="9"/>
        <v>15.816243312701005</v>
      </c>
      <c r="G19" s="4">
        <f t="shared" si="3"/>
        <v>3.9540608281752512</v>
      </c>
      <c r="H19" s="128">
        <f t="shared" si="4"/>
        <v>1.7000000000000004</v>
      </c>
      <c r="I19" s="5">
        <f t="shared" si="10"/>
        <v>0.97888790070096121</v>
      </c>
      <c r="J19" s="4">
        <f t="shared" si="5"/>
        <v>0.57581641217703583</v>
      </c>
      <c r="K19" s="128">
        <f t="shared" si="11"/>
        <v>6.9</v>
      </c>
      <c r="L19" s="19">
        <f t="shared" si="12"/>
        <v>32.900487225250068</v>
      </c>
      <c r="M19" s="195">
        <f t="shared" si="6"/>
        <v>4.7681865543840676</v>
      </c>
      <c r="N19" s="440">
        <f t="shared" si="13"/>
        <v>-5.5819792286439851E-2</v>
      </c>
      <c r="O19" s="448">
        <f t="shared" si="14"/>
        <v>-5.4593652426092931E-2</v>
      </c>
      <c r="P19" s="444">
        <f t="shared" si="15"/>
        <v>-5.7047720148474479E-2</v>
      </c>
      <c r="Q19" s="445">
        <f t="shared" si="16"/>
        <v>-5.6100957500773596E-2</v>
      </c>
      <c r="R19" s="43"/>
      <c r="S19" s="3"/>
      <c r="T19" s="3"/>
      <c r="U19" s="43"/>
      <c r="V19" s="10"/>
      <c r="W19" s="10"/>
      <c r="X19" s="10"/>
      <c r="Y19" s="10"/>
      <c r="Z19" s="10"/>
      <c r="AA19" s="10"/>
      <c r="AB19" s="43"/>
      <c r="AC19" s="10"/>
      <c r="AD19" s="10"/>
      <c r="AE19" s="10"/>
      <c r="AF19" s="1"/>
      <c r="AG19" s="1"/>
      <c r="AH19" s="1"/>
      <c r="AI19" s="1"/>
    </row>
    <row r="20" spans="1:38" x14ac:dyDescent="0.2">
      <c r="A20" s="180">
        <f t="shared" si="7"/>
        <v>2028</v>
      </c>
      <c r="B20" s="128">
        <f t="shared" si="0"/>
        <v>1.2</v>
      </c>
      <c r="C20" s="5">
        <f t="shared" si="8"/>
        <v>15.164219220719673</v>
      </c>
      <c r="D20" s="195">
        <f t="shared" si="1"/>
        <v>12.636849350599729</v>
      </c>
      <c r="E20" s="5">
        <f t="shared" si="2"/>
        <v>4</v>
      </c>
      <c r="F20" s="5">
        <f t="shared" si="9"/>
        <v>14.832495138325783</v>
      </c>
      <c r="G20" s="4">
        <f t="shared" si="3"/>
        <v>3.7081237845814456</v>
      </c>
      <c r="H20" s="128">
        <f t="shared" si="4"/>
        <v>1.7000000000000004</v>
      </c>
      <c r="I20" s="5">
        <f t="shared" si="10"/>
        <v>0.91932255230190663</v>
      </c>
      <c r="J20" s="4">
        <f t="shared" si="5"/>
        <v>0.54077797194229793</v>
      </c>
      <c r="K20" s="128">
        <f t="shared" si="11"/>
        <v>6.9</v>
      </c>
      <c r="L20" s="19">
        <f t="shared" si="12"/>
        <v>30.916036911347362</v>
      </c>
      <c r="M20" s="195">
        <f t="shared" si="6"/>
        <v>4.4805850596155592</v>
      </c>
      <c r="N20" s="440">
        <f t="shared" si="13"/>
        <v>-6.0316745472988154E-2</v>
      </c>
      <c r="O20" s="448">
        <f t="shared" si="14"/>
        <v>-5.8436261231112785E-2</v>
      </c>
      <c r="P20" s="444">
        <f t="shared" si="15"/>
        <v>-6.219859892931956E-2</v>
      </c>
      <c r="Q20" s="445">
        <f t="shared" si="16"/>
        <v>-6.085002006501572E-2</v>
      </c>
      <c r="S20" s="206"/>
      <c r="AJ20" s="7"/>
      <c r="AK20" s="7"/>
      <c r="AL20" s="7"/>
    </row>
    <row r="21" spans="1:38" x14ac:dyDescent="0.2">
      <c r="A21" s="180">
        <f t="shared" si="7"/>
        <v>2029</v>
      </c>
      <c r="B21" s="128">
        <f t="shared" si="0"/>
        <v>1.2</v>
      </c>
      <c r="C21" s="5">
        <f t="shared" si="8"/>
        <v>14.226793342847856</v>
      </c>
      <c r="D21" s="195">
        <f t="shared" si="1"/>
        <v>11.85566111903988</v>
      </c>
      <c r="E21" s="5">
        <f t="shared" si="2"/>
        <v>4</v>
      </c>
      <c r="F21" s="5">
        <f t="shared" si="9"/>
        <v>13.844050419758247</v>
      </c>
      <c r="G21" s="4">
        <f t="shared" si="3"/>
        <v>3.4610126049395618</v>
      </c>
      <c r="H21" s="128">
        <f t="shared" si="4"/>
        <v>1.7000000000000004</v>
      </c>
      <c r="I21" s="5">
        <f t="shared" si="10"/>
        <v>0.85959417878144961</v>
      </c>
      <c r="J21" s="4">
        <f t="shared" si="5"/>
        <v>0.5056436345773232</v>
      </c>
      <c r="K21" s="128">
        <f t="shared" si="11"/>
        <v>6.9</v>
      </c>
      <c r="L21" s="19">
        <f t="shared" si="12"/>
        <v>28.930437941387552</v>
      </c>
      <c r="M21" s="195">
        <f t="shared" si="6"/>
        <v>4.1928170929547175</v>
      </c>
      <c r="N21" s="440">
        <f t="shared" si="13"/>
        <v>-6.4225533681874336E-2</v>
      </c>
      <c r="O21" s="448">
        <f t="shared" si="14"/>
        <v>-6.1818275258838429E-2</v>
      </c>
      <c r="P21" s="444">
        <f t="shared" si="15"/>
        <v>-6.6640488289356425E-2</v>
      </c>
      <c r="Q21" s="445">
        <f t="shared" si="16"/>
        <v>-6.4969986182653927E-2</v>
      </c>
      <c r="S21" s="206"/>
      <c r="AJ21" s="7"/>
    </row>
    <row r="22" spans="1:38" x14ac:dyDescent="0.2">
      <c r="A22" s="180">
        <f t="shared" si="7"/>
        <v>2030</v>
      </c>
      <c r="B22" s="128">
        <f t="shared" si="0"/>
        <v>1.2</v>
      </c>
      <c r="C22" s="5">
        <f t="shared" si="8"/>
        <v>13.30464353058909</v>
      </c>
      <c r="D22" s="195">
        <f t="shared" si="1"/>
        <v>11.087202942157575</v>
      </c>
      <c r="E22" s="5">
        <f t="shared" si="2"/>
        <v>4</v>
      </c>
      <c r="F22" s="5">
        <f t="shared" si="9"/>
        <v>12.867901646403027</v>
      </c>
      <c r="G22" s="4">
        <f t="shared" si="3"/>
        <v>3.2169754116007567</v>
      </c>
      <c r="H22" s="128">
        <f t="shared" si="4"/>
        <v>1.7000000000000004</v>
      </c>
      <c r="I22" s="5">
        <f t="shared" si="10"/>
        <v>0.80064484920769274</v>
      </c>
      <c r="J22" s="4">
        <f t="shared" si="5"/>
        <v>0.47096755835746623</v>
      </c>
      <c r="K22" s="128">
        <f t="shared" si="11"/>
        <v>6.9</v>
      </c>
      <c r="L22" s="19">
        <f t="shared" si="12"/>
        <v>26.973190026199809</v>
      </c>
      <c r="M22" s="195">
        <f t="shared" si="6"/>
        <v>3.9091579748115666</v>
      </c>
      <c r="N22" s="440">
        <f t="shared" si="13"/>
        <v>-6.7653587517516489E-2</v>
      </c>
      <c r="O22" s="448">
        <f t="shared" si="14"/>
        <v>-6.481782577676598E-2</v>
      </c>
      <c r="P22" s="444">
        <f t="shared" si="15"/>
        <v>-7.0510345148848907E-2</v>
      </c>
      <c r="Q22" s="445">
        <f t="shared" si="16"/>
        <v>-6.8578093045398192E-2</v>
      </c>
      <c r="R22" s="11"/>
      <c r="S22" s="206"/>
      <c r="AJ22" s="7"/>
    </row>
    <row r="23" spans="1:38" x14ac:dyDescent="0.2">
      <c r="A23" s="180">
        <f t="shared" si="7"/>
        <v>2031</v>
      </c>
      <c r="B23" s="128">
        <f t="shared" si="0"/>
        <v>1.2</v>
      </c>
      <c r="C23" s="5">
        <f t="shared" si="8"/>
        <v>12.406629074093985</v>
      </c>
      <c r="D23" s="195">
        <f t="shared" si="1"/>
        <v>10.338857561744987</v>
      </c>
      <c r="E23" s="5">
        <f t="shared" si="2"/>
        <v>4</v>
      </c>
      <c r="F23" s="5">
        <f t="shared" si="9"/>
        <v>11.916809487694749</v>
      </c>
      <c r="G23" s="4">
        <f t="shared" si="3"/>
        <v>2.9792023719236873</v>
      </c>
      <c r="H23" s="128">
        <f t="shared" si="4"/>
        <v>1.7000000000000004</v>
      </c>
      <c r="I23" s="5">
        <f t="shared" si="10"/>
        <v>0.74318725151077913</v>
      </c>
      <c r="J23" s="4">
        <f t="shared" si="5"/>
        <v>0.43716897147692879</v>
      </c>
      <c r="K23" s="128">
        <f t="shared" si="11"/>
        <v>6.9</v>
      </c>
      <c r="L23" s="19">
        <f t="shared" si="12"/>
        <v>25.066625813299513</v>
      </c>
      <c r="M23" s="195">
        <f t="shared" si="6"/>
        <v>3.6328443207680454</v>
      </c>
      <c r="N23" s="440">
        <f t="shared" si="13"/>
        <v>-7.0683675570015869E-2</v>
      </c>
      <c r="O23" s="448">
        <f t="shared" si="14"/>
        <v>-6.7496318441787162E-2</v>
      </c>
      <c r="P23" s="444">
        <f t="shared" si="15"/>
        <v>-7.3911985407048686E-2</v>
      </c>
      <c r="Q23" s="445">
        <f t="shared" si="16"/>
        <v>-7.1764150801410742E-2</v>
      </c>
      <c r="R23" s="7"/>
      <c r="S23" s="206"/>
      <c r="AF23" s="10"/>
      <c r="AJ23" s="7"/>
    </row>
    <row r="24" spans="1:38" x14ac:dyDescent="0.2">
      <c r="A24" s="180">
        <f t="shared" si="7"/>
        <v>2032</v>
      </c>
      <c r="B24" s="128">
        <f t="shared" si="0"/>
        <v>1.2</v>
      </c>
      <c r="C24" s="5">
        <f t="shared" si="8"/>
        <v>11.539372433154071</v>
      </c>
      <c r="D24" s="195">
        <f t="shared" si="1"/>
        <v>9.6161436942950598</v>
      </c>
      <c r="E24" s="5">
        <f t="shared" si="2"/>
        <v>4</v>
      </c>
      <c r="F24" s="5">
        <f t="shared" si="9"/>
        <v>11.000102524564781</v>
      </c>
      <c r="G24" s="4">
        <f t="shared" si="3"/>
        <v>2.7500256311411952</v>
      </c>
      <c r="H24" s="128">
        <f t="shared" si="4"/>
        <v>1.7000000000000004</v>
      </c>
      <c r="I24" s="5">
        <f t="shared" si="10"/>
        <v>0.68774687980996152</v>
      </c>
      <c r="J24" s="4">
        <f t="shared" si="5"/>
        <v>0.40455698812350666</v>
      </c>
      <c r="K24" s="128">
        <f t="shared" si="11"/>
        <v>6.9</v>
      </c>
      <c r="L24" s="19">
        <f t="shared" si="12"/>
        <v>23.227221837528813</v>
      </c>
      <c r="M24" s="195">
        <f t="shared" si="6"/>
        <v>3.3662640344244656</v>
      </c>
      <c r="N24" s="440">
        <f t="shared" si="13"/>
        <v>-7.3380597351669685E-2</v>
      </c>
      <c r="O24" s="448">
        <f t="shared" si="14"/>
        <v>-6.9902681522962085E-2</v>
      </c>
      <c r="P24" s="444">
        <f t="shared" si="15"/>
        <v>-7.6925536493350544E-2</v>
      </c>
      <c r="Q24" s="445">
        <f t="shared" si="16"/>
        <v>-7.4598119906007954E-2</v>
      </c>
      <c r="R24" s="7"/>
      <c r="S24" s="509"/>
      <c r="T24" s="43"/>
      <c r="U24" s="43"/>
      <c r="V24" s="10"/>
      <c r="W24" s="10"/>
      <c r="X24" s="10"/>
      <c r="Y24" s="10"/>
      <c r="Z24" s="10"/>
      <c r="AA24" s="10"/>
      <c r="AB24" s="43"/>
      <c r="AC24" s="10"/>
      <c r="AD24" s="10"/>
      <c r="AE24" s="10"/>
      <c r="AF24" s="10"/>
    </row>
    <row r="25" spans="1:38" x14ac:dyDescent="0.2">
      <c r="A25" s="180">
        <f t="shared" si="7"/>
        <v>2033</v>
      </c>
      <c r="B25" s="128">
        <f t="shared" si="0"/>
        <v>1.2</v>
      </c>
      <c r="C25" s="5">
        <f t="shared" si="8"/>
        <v>10.707656218918785</v>
      </c>
      <c r="D25" s="195">
        <f t="shared" si="1"/>
        <v>8.9230468490989878</v>
      </c>
      <c r="E25" s="5">
        <f t="shared" si="2"/>
        <v>4</v>
      </c>
      <c r="F25" s="5">
        <f t="shared" si="9"/>
        <v>10.124342240745236</v>
      </c>
      <c r="G25" s="4">
        <f t="shared" si="3"/>
        <v>2.5310855601863089</v>
      </c>
      <c r="H25" s="128">
        <f t="shared" si="4"/>
        <v>1.7000000000000004</v>
      </c>
      <c r="I25" s="5">
        <f t="shared" si="10"/>
        <v>0.63469731247250039</v>
      </c>
      <c r="J25" s="4">
        <f t="shared" si="5"/>
        <v>0.3733513602779413</v>
      </c>
      <c r="K25" s="128">
        <f t="shared" si="11"/>
        <v>6.9</v>
      </c>
      <c r="L25" s="19">
        <f t="shared" si="12"/>
        <v>21.466695772136521</v>
      </c>
      <c r="M25" s="195">
        <f t="shared" si="6"/>
        <v>3.1111153292951479</v>
      </c>
      <c r="N25" s="440">
        <f t="shared" si="13"/>
        <v>-7.5795808801712328E-2</v>
      </c>
      <c r="O25" s="448">
        <f t="shared" si="14"/>
        <v>-7.2076381887602459E-2</v>
      </c>
      <c r="P25" s="444">
        <f t="shared" si="15"/>
        <v>-7.9613829222395793E-2</v>
      </c>
      <c r="Q25" s="445">
        <f t="shared" si="16"/>
        <v>-7.713530790880474E-2</v>
      </c>
      <c r="R25" s="7"/>
      <c r="S25" s="206"/>
      <c r="T25" s="43"/>
      <c r="U25" s="43"/>
      <c r="V25" s="10"/>
      <c r="W25" s="10"/>
      <c r="X25" s="10"/>
      <c r="Y25" s="10"/>
      <c r="Z25" s="10"/>
      <c r="AA25" s="10"/>
      <c r="AB25" s="43"/>
      <c r="AC25" s="10"/>
      <c r="AD25" s="10"/>
      <c r="AE25" s="10"/>
      <c r="AF25" s="10"/>
    </row>
    <row r="26" spans="1:38" x14ac:dyDescent="0.2">
      <c r="A26" s="180">
        <f t="shared" si="7"/>
        <v>2034</v>
      </c>
      <c r="B26" s="128">
        <f t="shared" si="0"/>
        <v>1.2</v>
      </c>
      <c r="C26" s="5">
        <f t="shared" si="8"/>
        <v>9.9147584892280918</v>
      </c>
      <c r="D26" s="195">
        <f t="shared" si="1"/>
        <v>8.262298741023411</v>
      </c>
      <c r="E26" s="5">
        <f t="shared" si="2"/>
        <v>4</v>
      </c>
      <c r="F26" s="5">
        <f t="shared" si="9"/>
        <v>9.2938745817460102</v>
      </c>
      <c r="G26" s="4">
        <f t="shared" si="3"/>
        <v>2.3234686454365026</v>
      </c>
      <c r="H26" s="128">
        <f t="shared" si="4"/>
        <v>1.7000000000000004</v>
      </c>
      <c r="I26" s="5">
        <f t="shared" si="10"/>
        <v>0.58428964251602977</v>
      </c>
      <c r="J26" s="4">
        <f t="shared" si="5"/>
        <v>0.34369978971531157</v>
      </c>
      <c r="K26" s="128">
        <f t="shared" si="11"/>
        <v>6.9</v>
      </c>
      <c r="L26" s="19">
        <f t="shared" si="12"/>
        <v>19.792922713490132</v>
      </c>
      <c r="M26" s="195">
        <f t="shared" si="6"/>
        <v>2.8685395236942219</v>
      </c>
      <c r="N26" s="440">
        <f t="shared" si="13"/>
        <v>-7.7970688941282007E-2</v>
      </c>
      <c r="O26" s="448">
        <f t="shared" si="14"/>
        <v>-7.4049606513306387E-2</v>
      </c>
      <c r="P26" s="444">
        <f t="shared" si="15"/>
        <v>-8.2026825965742511E-2</v>
      </c>
      <c r="Q26" s="445">
        <f t="shared" si="16"/>
        <v>-7.9420014810059003E-2</v>
      </c>
      <c r="R26" s="7"/>
      <c r="S26" s="43"/>
      <c r="T26" s="43"/>
      <c r="U26" s="43"/>
      <c r="V26" s="10"/>
      <c r="W26" s="10"/>
      <c r="X26" s="10"/>
      <c r="Y26" s="10"/>
      <c r="Z26" s="10"/>
      <c r="AA26" s="10"/>
      <c r="AB26" s="43"/>
      <c r="AC26" s="10"/>
      <c r="AD26" s="10"/>
      <c r="AE26" s="10"/>
    </row>
    <row r="27" spans="1:38" x14ac:dyDescent="0.2">
      <c r="A27" s="180">
        <f t="shared" si="7"/>
        <v>2035</v>
      </c>
      <c r="B27" s="128">
        <f t="shared" si="0"/>
        <v>1.2</v>
      </c>
      <c r="C27" s="5">
        <f t="shared" si="8"/>
        <v>9.1627352910575013</v>
      </c>
      <c r="D27" s="195">
        <f t="shared" si="1"/>
        <v>7.6356127425479183</v>
      </c>
      <c r="E27" s="5">
        <f t="shared" si="2"/>
        <v>4</v>
      </c>
      <c r="F27" s="5">
        <f t="shared" si="9"/>
        <v>8.5112861525673509</v>
      </c>
      <c r="G27" s="4">
        <f t="shared" si="3"/>
        <v>2.1278215381418377</v>
      </c>
      <c r="H27" s="128">
        <f t="shared" si="4"/>
        <v>1.7000000000000004</v>
      </c>
      <c r="I27" s="5">
        <f t="shared" si="10"/>
        <v>0.53667696531722164</v>
      </c>
      <c r="J27" s="4">
        <f t="shared" si="5"/>
        <v>0.31569233253954204</v>
      </c>
      <c r="K27" s="128">
        <f t="shared" si="11"/>
        <v>6.9</v>
      </c>
      <c r="L27" s="19">
        <f t="shared" si="12"/>
        <v>18.210698408942072</v>
      </c>
      <c r="M27" s="195">
        <f t="shared" si="6"/>
        <v>2.6392316534698654</v>
      </c>
      <c r="N27" s="440">
        <f t="shared" si="13"/>
        <v>-7.993889166604351E-2</v>
      </c>
      <c r="O27" s="448">
        <f t="shared" si="14"/>
        <v>-7.5848867018558974E-2</v>
      </c>
      <c r="P27" s="444">
        <f t="shared" si="15"/>
        <v>-8.4204754679574889E-2</v>
      </c>
      <c r="Q27" s="445">
        <f t="shared" si="16"/>
        <v>-8.1488141726732577E-2</v>
      </c>
      <c r="R27" s="7"/>
    </row>
    <row r="28" spans="1:38" x14ac:dyDescent="0.2">
      <c r="A28" s="180">
        <f t="shared" si="7"/>
        <v>2036</v>
      </c>
      <c r="B28" s="128">
        <f t="shared" si="0"/>
        <v>1.2</v>
      </c>
      <c r="C28" s="5">
        <f t="shared" si="8"/>
        <v>8.4526581451687264</v>
      </c>
      <c r="D28" s="195">
        <f t="shared" si="1"/>
        <v>7.0438817876406059</v>
      </c>
      <c r="E28" s="5">
        <f t="shared" si="2"/>
        <v>4</v>
      </c>
      <c r="F28" s="5">
        <f t="shared" si="9"/>
        <v>7.7777803666188277</v>
      </c>
      <c r="G28" s="4">
        <f t="shared" si="3"/>
        <v>1.9444450916547069</v>
      </c>
      <c r="H28" s="128">
        <f t="shared" si="4"/>
        <v>1.7000000000000004</v>
      </c>
      <c r="I28" s="5">
        <f t="shared" si="10"/>
        <v>0.49193469441826299</v>
      </c>
      <c r="J28" s="4">
        <f t="shared" si="5"/>
        <v>0.2893733496578017</v>
      </c>
      <c r="K28" s="128">
        <f t="shared" si="11"/>
        <v>6.9</v>
      </c>
      <c r="L28" s="19">
        <f t="shared" si="12"/>
        <v>16.722373206205816</v>
      </c>
      <c r="M28" s="195">
        <f t="shared" si="6"/>
        <v>2.4235323487254803</v>
      </c>
      <c r="N28" s="440">
        <f t="shared" si="13"/>
        <v>-8.17280682659286E-2</v>
      </c>
      <c r="O28" s="448">
        <f t="shared" si="14"/>
        <v>-7.7496197732764838E-2</v>
      </c>
      <c r="P28" s="444">
        <f t="shared" si="15"/>
        <v>-8.618036954700059E-2</v>
      </c>
      <c r="Q28" s="445">
        <f t="shared" si="16"/>
        <v>-8.3369091260535377E-2</v>
      </c>
    </row>
    <row r="29" spans="1:38" x14ac:dyDescent="0.2">
      <c r="A29" s="180">
        <f t="shared" si="7"/>
        <v>2037</v>
      </c>
      <c r="B29" s="128">
        <f t="shared" si="0"/>
        <v>1.2</v>
      </c>
      <c r="C29" s="5">
        <f t="shared" si="8"/>
        <v>7.7848130962745472</v>
      </c>
      <c r="D29" s="195">
        <f t="shared" si="1"/>
        <v>6.4873442468954563</v>
      </c>
      <c r="E29" s="5">
        <f t="shared" si="2"/>
        <v>4</v>
      </c>
      <c r="F29" s="5">
        <f t="shared" si="9"/>
        <v>7.0934865087046859</v>
      </c>
      <c r="G29" s="4">
        <f t="shared" si="3"/>
        <v>1.7733716271761715</v>
      </c>
      <c r="H29" s="128">
        <f t="shared" si="4"/>
        <v>1.7000000000000004</v>
      </c>
      <c r="I29" s="5">
        <f t="shared" si="10"/>
        <v>0.45007736136835153</v>
      </c>
      <c r="J29" s="4">
        <f t="shared" si="5"/>
        <v>0.26475138904020673</v>
      </c>
      <c r="K29" s="128">
        <f t="shared" si="11"/>
        <v>6.9</v>
      </c>
      <c r="L29" s="19">
        <f t="shared" si="12"/>
        <v>15.328376966347584</v>
      </c>
      <c r="M29" s="195">
        <f t="shared" si="6"/>
        <v>2.2215039081663162</v>
      </c>
      <c r="N29" s="440">
        <f t="shared" si="13"/>
        <v>-8.3361148723849143E-2</v>
      </c>
      <c r="O29" s="448">
        <f t="shared" si="14"/>
        <v>-7.9010062565454398E-2</v>
      </c>
      <c r="P29" s="444">
        <f t="shared" si="15"/>
        <v>-8.7980609590242231E-2</v>
      </c>
      <c r="Q29" s="445">
        <f t="shared" si="16"/>
        <v>-8.5087174222200024E-2</v>
      </c>
      <c r="S29" s="11"/>
      <c r="V29" s="58"/>
      <c r="W29" s="28"/>
      <c r="AC29" s="28"/>
      <c r="AD29" s="28"/>
      <c r="AE29" s="28"/>
    </row>
    <row r="30" spans="1:38" x14ac:dyDescent="0.2">
      <c r="A30" s="180">
        <f t="shared" si="7"/>
        <v>2038</v>
      </c>
      <c r="B30" s="128">
        <f t="shared" si="0"/>
        <v>1.2</v>
      </c>
      <c r="C30" s="5">
        <f t="shared" si="8"/>
        <v>7.1588670249446977</v>
      </c>
      <c r="D30" s="195">
        <f t="shared" si="1"/>
        <v>5.9657225207872484</v>
      </c>
      <c r="E30" s="5">
        <f t="shared" si="2"/>
        <v>4</v>
      </c>
      <c r="F30" s="5">
        <f t="shared" si="9"/>
        <v>6.4577126749310949</v>
      </c>
      <c r="G30" s="4">
        <f t="shared" si="3"/>
        <v>1.6144281687327737</v>
      </c>
      <c r="H30" s="128">
        <f t="shared" si="4"/>
        <v>1.7000000000000004</v>
      </c>
      <c r="I30" s="5">
        <f t="shared" si="10"/>
        <v>0.41107245727848829</v>
      </c>
      <c r="J30" s="4">
        <f t="shared" si="5"/>
        <v>0.24180732781087541</v>
      </c>
      <c r="K30" s="128">
        <f t="shared" si="11"/>
        <v>6.9</v>
      </c>
      <c r="L30" s="19">
        <f t="shared" si="12"/>
        <v>14.02765215715428</v>
      </c>
      <c r="M30" s="195">
        <f t="shared" si="6"/>
        <v>2.0329930662542433</v>
      </c>
      <c r="N30" s="440">
        <f t="shared" si="13"/>
        <v>-8.4857308249200569E-2</v>
      </c>
      <c r="O30" s="448">
        <f t="shared" si="14"/>
        <v>-8.040605003470136E-2</v>
      </c>
      <c r="P30" s="444">
        <f t="shared" si="15"/>
        <v>-8.9627834351049929E-2</v>
      </c>
      <c r="Q30" s="445">
        <f t="shared" si="16"/>
        <v>-8.6662666105396302E-2</v>
      </c>
      <c r="S30" s="7"/>
      <c r="T30" s="7"/>
      <c r="U30" s="7"/>
      <c r="AB30" s="7"/>
    </row>
    <row r="31" spans="1:38" x14ac:dyDescent="0.2">
      <c r="A31" s="180">
        <f t="shared" si="7"/>
        <v>2039</v>
      </c>
      <c r="B31" s="128">
        <f t="shared" si="0"/>
        <v>1.2</v>
      </c>
      <c r="C31" s="5">
        <f t="shared" si="8"/>
        <v>6.5740061159814189</v>
      </c>
      <c r="D31" s="195">
        <f t="shared" si="1"/>
        <v>5.4783384299845164</v>
      </c>
      <c r="E31" s="5">
        <f t="shared" si="2"/>
        <v>4</v>
      </c>
      <c r="F31" s="5">
        <f t="shared" si="9"/>
        <v>5.8691518511317184</v>
      </c>
      <c r="G31" s="4">
        <f t="shared" si="3"/>
        <v>1.4672879627829296</v>
      </c>
      <c r="H31" s="128">
        <f t="shared" si="4"/>
        <v>1.7000000000000004</v>
      </c>
      <c r="I31" s="5">
        <f t="shared" si="10"/>
        <v>0.37485178975851996</v>
      </c>
      <c r="J31" s="4">
        <f t="shared" si="5"/>
        <v>0.22050105279912935</v>
      </c>
      <c r="K31" s="128">
        <f t="shared" si="11"/>
        <v>6.9</v>
      </c>
      <c r="L31" s="19">
        <f t="shared" si="12"/>
        <v>12.818009756871657</v>
      </c>
      <c r="M31" s="195">
        <f t="shared" si="6"/>
        <v>1.8576825734596603</v>
      </c>
      <c r="N31" s="440">
        <f t="shared" si="13"/>
        <v>-8.6232705710890478E-2</v>
      </c>
      <c r="O31" s="448">
        <f t="shared" si="14"/>
        <v>-8.1697412024187899E-2</v>
      </c>
      <c r="P31" s="444">
        <f t="shared" si="15"/>
        <v>-9.114075732792748E-2</v>
      </c>
      <c r="Q31" s="445">
        <f t="shared" si="16"/>
        <v>-8.8112610997506002E-2</v>
      </c>
      <c r="S31" s="7"/>
      <c r="T31" s="7"/>
      <c r="U31" s="7"/>
      <c r="AB31" s="7"/>
    </row>
    <row r="32" spans="1:38" x14ac:dyDescent="0.2">
      <c r="A32" s="180">
        <f t="shared" si="7"/>
        <v>2040</v>
      </c>
      <c r="B32" s="128">
        <f t="shared" si="0"/>
        <v>1.2</v>
      </c>
      <c r="C32" s="5">
        <f t="shared" si="8"/>
        <v>6.0290506854735355</v>
      </c>
      <c r="D32" s="195">
        <f t="shared" si="1"/>
        <v>5.0242089045612799</v>
      </c>
      <c r="E32" s="5">
        <f t="shared" si="2"/>
        <v>4</v>
      </c>
      <c r="F32" s="5">
        <f t="shared" si="9"/>
        <v>5.3260489452827429</v>
      </c>
      <c r="G32" s="4">
        <f t="shared" si="3"/>
        <v>1.3315122363206857</v>
      </c>
      <c r="H32" s="128">
        <f t="shared" si="4"/>
        <v>1.7000000000000004</v>
      </c>
      <c r="I32" s="5">
        <f t="shared" si="10"/>
        <v>0.34132075712714816</v>
      </c>
      <c r="J32" s="4">
        <f t="shared" si="5"/>
        <v>0.20077691595714592</v>
      </c>
      <c r="K32" s="128">
        <f t="shared" si="11"/>
        <v>6.9</v>
      </c>
      <c r="L32" s="19">
        <f t="shared" si="12"/>
        <v>11.696420387883427</v>
      </c>
      <c r="M32" s="195">
        <f t="shared" si="6"/>
        <v>1.6951333895483225</v>
      </c>
      <c r="N32" s="440">
        <f t="shared" si="13"/>
        <v>-8.7501054396292188E-2</v>
      </c>
      <c r="O32" s="448">
        <f t="shared" si="14"/>
        <v>-8.2895485780443035E-2</v>
      </c>
      <c r="P32" s="444">
        <f t="shared" si="15"/>
        <v>-9.2535160040926878E-2</v>
      </c>
      <c r="Q32" s="445">
        <f t="shared" si="16"/>
        <v>-8.9451440669317761E-2</v>
      </c>
      <c r="S32" s="7"/>
      <c r="T32" s="7"/>
      <c r="U32" s="7"/>
      <c r="AB32" s="7"/>
    </row>
    <row r="33" spans="1:38" x14ac:dyDescent="0.2">
      <c r="A33" s="180">
        <f t="shared" si="7"/>
        <v>2041</v>
      </c>
      <c r="B33" s="128">
        <f t="shared" si="0"/>
        <v>1.2</v>
      </c>
      <c r="C33" s="5">
        <f t="shared" si="8"/>
        <v>5.5225499707265513</v>
      </c>
      <c r="D33" s="195">
        <f t="shared" si="1"/>
        <v>4.6021249756054594</v>
      </c>
      <c r="E33" s="5">
        <f t="shared" si="2"/>
        <v>4</v>
      </c>
      <c r="F33" s="5">
        <f t="shared" si="9"/>
        <v>4.8263353610501909</v>
      </c>
      <c r="G33" s="4">
        <f t="shared" si="3"/>
        <v>1.2065838402625477</v>
      </c>
      <c r="H33" s="128">
        <f t="shared" si="4"/>
        <v>1.7000000000000004</v>
      </c>
      <c r="I33" s="5">
        <f t="shared" si="10"/>
        <v>0.31036588049987124</v>
      </c>
      <c r="J33" s="4">
        <f t="shared" si="5"/>
        <v>0.1825681649999242</v>
      </c>
      <c r="K33" s="128">
        <f t="shared" si="11"/>
        <v>6.9</v>
      </c>
      <c r="L33" s="19">
        <f t="shared" si="12"/>
        <v>10.659251212276613</v>
      </c>
      <c r="M33" s="195">
        <f t="shared" si="6"/>
        <v>1.5448190162719728</v>
      </c>
      <c r="N33" s="440">
        <f t="shared" si="13"/>
        <v>-8.8674067895271547E-2</v>
      </c>
      <c r="O33" s="448">
        <f t="shared" si="14"/>
        <v>-8.4010027642884677E-2</v>
      </c>
      <c r="P33" s="444">
        <f t="shared" si="15"/>
        <v>-9.3824444605441704E-2</v>
      </c>
      <c r="Q33" s="445">
        <f t="shared" si="16"/>
        <v>-9.0691456587111863E-2</v>
      </c>
      <c r="S33" s="7"/>
      <c r="T33" s="7"/>
      <c r="U33" s="7"/>
      <c r="AB33" s="7"/>
    </row>
    <row r="34" spans="1:38" x14ac:dyDescent="0.2">
      <c r="A34" s="180">
        <f t="shared" si="7"/>
        <v>2042</v>
      </c>
      <c r="B34" s="128">
        <f t="shared" si="0"/>
        <v>1.2</v>
      </c>
      <c r="C34" s="5">
        <f t="shared" si="8"/>
        <v>5.0528599711951543</v>
      </c>
      <c r="D34" s="195">
        <f t="shared" si="1"/>
        <v>4.2107166426626286</v>
      </c>
      <c r="E34" s="5">
        <f t="shared" si="2"/>
        <v>4</v>
      </c>
      <c r="F34" s="5">
        <f t="shared" si="9"/>
        <v>4.3677366571005152</v>
      </c>
      <c r="G34" s="4">
        <f t="shared" si="3"/>
        <v>1.0919341642751288</v>
      </c>
      <c r="H34" s="128">
        <f t="shared" si="4"/>
        <v>1.7000000000000004</v>
      </c>
      <c r="I34" s="5">
        <f t="shared" si="10"/>
        <v>0.28186088207164151</v>
      </c>
      <c r="J34" s="4">
        <f t="shared" si="5"/>
        <v>0.16580051886567143</v>
      </c>
      <c r="K34" s="128">
        <f t="shared" si="11"/>
        <v>6.9</v>
      </c>
      <c r="L34" s="19">
        <f t="shared" si="12"/>
        <v>9.7024575103673101</v>
      </c>
      <c r="M34" s="195">
        <f t="shared" si="6"/>
        <v>1.4061532623720738</v>
      </c>
      <c r="N34" s="440">
        <f t="shared" si="13"/>
        <v>-8.9761811862294039E-2</v>
      </c>
      <c r="O34" s="448">
        <f t="shared" si="14"/>
        <v>-8.5049479320438715E-2</v>
      </c>
      <c r="P34" s="444">
        <f t="shared" si="15"/>
        <v>-9.502006587662537E-2</v>
      </c>
      <c r="Q34" s="445">
        <f t="shared" si="16"/>
        <v>-9.184320899681353E-2</v>
      </c>
      <c r="S34" s="7"/>
      <c r="T34" s="7"/>
      <c r="U34" s="7"/>
      <c r="AB34" s="7"/>
    </row>
    <row r="35" spans="1:38" x14ac:dyDescent="0.2">
      <c r="A35" s="180">
        <f t="shared" si="7"/>
        <v>2043</v>
      </c>
      <c r="B35" s="128">
        <f t="shared" si="0"/>
        <v>1.2</v>
      </c>
      <c r="C35" s="5">
        <f t="shared" si="8"/>
        <v>4.6182069834742236</v>
      </c>
      <c r="D35" s="195">
        <f t="shared" si="1"/>
        <v>3.8485058195618533</v>
      </c>
      <c r="E35" s="5">
        <f t="shared" si="2"/>
        <v>4</v>
      </c>
      <c r="F35" s="5">
        <f t="shared" si="9"/>
        <v>3.9478579527386515</v>
      </c>
      <c r="G35" s="4">
        <f t="shared" si="3"/>
        <v>0.98696448818466287</v>
      </c>
      <c r="H35" s="128">
        <f t="shared" si="4"/>
        <v>1.7000000000000004</v>
      </c>
      <c r="I35" s="5">
        <f t="shared" si="10"/>
        <v>0.25567155333374103</v>
      </c>
      <c r="J35" s="4">
        <f t="shared" si="5"/>
        <v>0.15039503137278881</v>
      </c>
      <c r="K35" s="128">
        <f t="shared" si="11"/>
        <v>6.9</v>
      </c>
      <c r="L35" s="19">
        <f t="shared" si="12"/>
        <v>8.8217364895466162</v>
      </c>
      <c r="M35" s="195">
        <f t="shared" si="6"/>
        <v>1.2785125347169009</v>
      </c>
      <c r="N35" s="440">
        <f t="shared" si="13"/>
        <v>-9.0772984048590022E-2</v>
      </c>
      <c r="O35" s="448">
        <f t="shared" si="14"/>
        <v>-8.6021182102563154E-2</v>
      </c>
      <c r="P35" s="444">
        <f t="shared" si="15"/>
        <v>-9.6131872712444277E-2</v>
      </c>
      <c r="Q35" s="445">
        <f t="shared" si="16"/>
        <v>-9.2915797841162773E-2</v>
      </c>
    </row>
    <row r="36" spans="1:38" x14ac:dyDescent="0.2">
      <c r="A36" s="180">
        <f t="shared" si="7"/>
        <v>2044</v>
      </c>
      <c r="B36" s="128">
        <f t="shared" si="0"/>
        <v>1.2</v>
      </c>
      <c r="C36" s="5">
        <f t="shared" si="8"/>
        <v>4.2167390898395212</v>
      </c>
      <c r="D36" s="195">
        <f t="shared" si="1"/>
        <v>3.5139492415329343</v>
      </c>
      <c r="E36" s="5">
        <f t="shared" si="2"/>
        <v>4</v>
      </c>
      <c r="F36" s="5">
        <f t="shared" si="9"/>
        <v>3.5642509914028722</v>
      </c>
      <c r="G36" s="4">
        <f t="shared" si="3"/>
        <v>0.89106274785071804</v>
      </c>
      <c r="H36" s="128">
        <f t="shared" si="4"/>
        <v>1.7000000000000004</v>
      </c>
      <c r="I36" s="5">
        <f t="shared" si="10"/>
        <v>0.23165961899211229</v>
      </c>
      <c r="J36" s="4">
        <f t="shared" si="5"/>
        <v>0.13627036411300719</v>
      </c>
      <c r="K36" s="128">
        <f t="shared" si="11"/>
        <v>6.9</v>
      </c>
      <c r="L36" s="19">
        <f t="shared" si="12"/>
        <v>8.0126497002345047</v>
      </c>
      <c r="M36" s="195">
        <f t="shared" si="6"/>
        <v>1.161253579744131</v>
      </c>
      <c r="N36" s="440">
        <f t="shared" si="13"/>
        <v>-9.1715139107912069E-2</v>
      </c>
      <c r="O36" s="448">
        <f t="shared" si="14"/>
        <v>-8.6931550506790578E-2</v>
      </c>
      <c r="P36" s="444">
        <f t="shared" si="15"/>
        <v>-9.7168379898184831E-2</v>
      </c>
      <c r="Q36" s="445">
        <f t="shared" si="16"/>
        <v>-9.3917113689549692E-2</v>
      </c>
    </row>
    <row r="37" spans="1:38" x14ac:dyDescent="0.2">
      <c r="A37" s="180">
        <f t="shared" si="7"/>
        <v>2045</v>
      </c>
      <c r="B37" s="128">
        <f t="shared" si="0"/>
        <v>1.2</v>
      </c>
      <c r="C37" s="5">
        <f t="shared" si="8"/>
        <v>3.8465675295050161</v>
      </c>
      <c r="D37" s="195">
        <f t="shared" si="1"/>
        <v>3.2054729412541803</v>
      </c>
      <c r="E37" s="5">
        <f t="shared" si="2"/>
        <v>4</v>
      </c>
      <c r="F37" s="5">
        <f t="shared" si="9"/>
        <v>3.2144661395116323</v>
      </c>
      <c r="G37" s="4">
        <f t="shared" si="3"/>
        <v>0.80361653487790807</v>
      </c>
      <c r="H37" s="128">
        <f t="shared" si="4"/>
        <v>1.7000000000000004</v>
      </c>
      <c r="I37" s="5">
        <f t="shared" si="10"/>
        <v>0.20968577003666677</v>
      </c>
      <c r="J37" s="4">
        <f t="shared" si="5"/>
        <v>0.12334457060980396</v>
      </c>
      <c r="K37" s="128">
        <f t="shared" si="11"/>
        <v>6.9</v>
      </c>
      <c r="L37" s="19">
        <f t="shared" si="12"/>
        <v>7.2707194390533152</v>
      </c>
      <c r="M37" s="195">
        <f t="shared" si="6"/>
        <v>1.0537274549352631</v>
      </c>
      <c r="N37" s="440">
        <f t="shared" si="13"/>
        <v>-9.2594870478298286E-2</v>
      </c>
      <c r="O37" s="448">
        <f t="shared" si="14"/>
        <v>-8.7786214050201705E-2</v>
      </c>
      <c r="P37" s="444">
        <f t="shared" si="15"/>
        <v>-9.8136986630553258E-2</v>
      </c>
      <c r="Q37" s="445">
        <f t="shared" si="16"/>
        <v>-9.4854032183285697E-2</v>
      </c>
    </row>
    <row r="38" spans="1:38" x14ac:dyDescent="0.2">
      <c r="A38" s="180">
        <f t="shared" si="7"/>
        <v>2046</v>
      </c>
      <c r="B38" s="128">
        <f t="shared" si="0"/>
        <v>1.2</v>
      </c>
      <c r="C38" s="5">
        <f t="shared" si="8"/>
        <v>3.5057995975157326</v>
      </c>
      <c r="D38" s="195">
        <f t="shared" si="1"/>
        <v>2.9214996645964439</v>
      </c>
      <c r="E38" s="5">
        <f t="shared" si="2"/>
        <v>4</v>
      </c>
      <c r="F38" s="5">
        <f t="shared" si="9"/>
        <v>2.8960920620082469</v>
      </c>
      <c r="G38" s="4">
        <f t="shared" si="3"/>
        <v>0.72402301550206172</v>
      </c>
      <c r="H38" s="128">
        <f t="shared" si="4"/>
        <v>1.7000000000000004</v>
      </c>
      <c r="I38" s="5">
        <f t="shared" si="10"/>
        <v>0.18961201193122723</v>
      </c>
      <c r="J38" s="4">
        <f t="shared" si="5"/>
        <v>0.11153647760660423</v>
      </c>
      <c r="K38" s="128">
        <f t="shared" si="11"/>
        <v>6.9</v>
      </c>
      <c r="L38" s="19">
        <f t="shared" si="12"/>
        <v>6.5915036714552064</v>
      </c>
      <c r="M38" s="195">
        <f t="shared" si="6"/>
        <v>0.95529038716742121</v>
      </c>
      <c r="N38" s="440">
        <f t="shared" si="13"/>
        <v>-9.3417958606658358E-2</v>
      </c>
      <c r="O38" s="448">
        <f t="shared" si="14"/>
        <v>-8.8590133768725043E-2</v>
      </c>
      <c r="P38" s="444">
        <f t="shared" si="15"/>
        <v>-9.9044153425661974E-2</v>
      </c>
      <c r="Q38" s="445">
        <f t="shared" si="16"/>
        <v>-9.5732572133670923E-2</v>
      </c>
    </row>
    <row r="39" spans="1:38" x14ac:dyDescent="0.2">
      <c r="A39" s="180">
        <f t="shared" si="7"/>
        <v>2047</v>
      </c>
      <c r="B39" s="128">
        <f t="shared" si="0"/>
        <v>1.2</v>
      </c>
      <c r="C39" s="5">
        <f t="shared" si="8"/>
        <v>3.1925644717929806</v>
      </c>
      <c r="D39" s="195">
        <f t="shared" si="1"/>
        <v>2.6604703931608173</v>
      </c>
      <c r="E39" s="5">
        <f t="shared" si="2"/>
        <v>4</v>
      </c>
      <c r="F39" s="5">
        <f t="shared" si="9"/>
        <v>2.6067853630569466</v>
      </c>
      <c r="G39" s="4">
        <f t="shared" si="3"/>
        <v>0.65169634076423666</v>
      </c>
      <c r="H39" s="128">
        <f t="shared" si="4"/>
        <v>1.7000000000000004</v>
      </c>
      <c r="I39" s="5">
        <f t="shared" si="10"/>
        <v>0.17130345055040808</v>
      </c>
      <c r="J39" s="4">
        <f t="shared" si="5"/>
        <v>0.10076673561788708</v>
      </c>
      <c r="K39" s="128">
        <f t="shared" si="11"/>
        <v>6.9</v>
      </c>
      <c r="L39" s="19">
        <f t="shared" si="12"/>
        <v>5.9706532854003349</v>
      </c>
      <c r="M39" s="195">
        <f t="shared" si="6"/>
        <v>0.86531207034787461</v>
      </c>
      <c r="N39" s="440">
        <f t="shared" si="13"/>
        <v>-9.4189492565025956E-2</v>
      </c>
      <c r="O39" s="448">
        <f t="shared" si="14"/>
        <v>-8.9347698580579338E-2</v>
      </c>
      <c r="P39" s="444">
        <f t="shared" si="15"/>
        <v>-9.9895546397335666E-2</v>
      </c>
      <c r="Q39" s="445">
        <f t="shared" si="16"/>
        <v>-9.6558024960252564E-2</v>
      </c>
    </row>
    <row r="40" spans="1:38" x14ac:dyDescent="0.2">
      <c r="A40" s="180">
        <f t="shared" si="7"/>
        <v>2048</v>
      </c>
      <c r="B40" s="128">
        <f t="shared" si="0"/>
        <v>1.2</v>
      </c>
      <c r="C40" s="5">
        <f t="shared" si="8"/>
        <v>2.9050331588911824</v>
      </c>
      <c r="D40" s="195">
        <f t="shared" si="1"/>
        <v>2.4208609657426523</v>
      </c>
      <c r="E40" s="5">
        <f t="shared" si="2"/>
        <v>4</v>
      </c>
      <c r="F40" s="5">
        <f t="shared" si="9"/>
        <v>2.344292098215579</v>
      </c>
      <c r="G40" s="4">
        <f t="shared" si="3"/>
        <v>0.58607302455389476</v>
      </c>
      <c r="H40" s="128">
        <f t="shared" si="4"/>
        <v>1.7000000000000004</v>
      </c>
      <c r="I40" s="5">
        <f t="shared" si="10"/>
        <v>0.15462961868118752</v>
      </c>
      <c r="J40" s="4">
        <f t="shared" si="5"/>
        <v>9.0958599224227929E-2</v>
      </c>
      <c r="K40" s="128">
        <f t="shared" si="11"/>
        <v>6.9</v>
      </c>
      <c r="L40" s="19">
        <f t="shared" si="12"/>
        <v>5.4039548757879494</v>
      </c>
      <c r="M40" s="195">
        <f t="shared" si="6"/>
        <v>0.78318186605622453</v>
      </c>
      <c r="N40" s="440">
        <f t="shared" si="13"/>
        <v>-9.4913970469211129E-2</v>
      </c>
      <c r="O40" s="448">
        <f t="shared" si="14"/>
        <v>-9.0062805447533312E-2</v>
      </c>
      <c r="P40" s="444">
        <f t="shared" si="15"/>
        <v>-0.10069615571783974</v>
      </c>
      <c r="Q40" s="445">
        <f t="shared" si="16"/>
        <v>-9.7335061352509578E-2</v>
      </c>
    </row>
    <row r="41" spans="1:38" x14ac:dyDescent="0.2">
      <c r="A41" s="180">
        <f t="shared" si="7"/>
        <v>2049</v>
      </c>
      <c r="B41" s="128">
        <f t="shared" si="0"/>
        <v>1.2</v>
      </c>
      <c r="C41" s="5">
        <f t="shared" si="8"/>
        <v>2.6414335688226416</v>
      </c>
      <c r="D41" s="195">
        <f t="shared" si="1"/>
        <v>2.2011946406855349</v>
      </c>
      <c r="E41" s="5">
        <f t="shared" si="2"/>
        <v>4</v>
      </c>
      <c r="F41" s="5">
        <f t="shared" si="9"/>
        <v>2.1064627423850268</v>
      </c>
      <c r="G41" s="4">
        <f t="shared" si="3"/>
        <v>0.52661568559625671</v>
      </c>
      <c r="H41" s="128">
        <f t="shared" si="4"/>
        <v>1.7000000000000004</v>
      </c>
      <c r="I41" s="5">
        <f t="shared" si="10"/>
        <v>0.13946542911638971</v>
      </c>
      <c r="J41" s="4">
        <f t="shared" si="5"/>
        <v>8.2038487715523342E-2</v>
      </c>
      <c r="K41" s="128">
        <f t="shared" si="11"/>
        <v>6.9</v>
      </c>
      <c r="L41" s="19">
        <f t="shared" si="12"/>
        <v>4.8873617403240583</v>
      </c>
      <c r="M41" s="195">
        <f t="shared" si="6"/>
        <v>0.70831329569913881</v>
      </c>
      <c r="N41" s="440">
        <f t="shared" si="13"/>
        <v>-9.5595382888641667E-2</v>
      </c>
      <c r="O41" s="448">
        <f t="shared" si="14"/>
        <v>-9.0738926425595001E-2</v>
      </c>
      <c r="P41" s="444">
        <f t="shared" si="15"/>
        <v>-0.10145039349472806</v>
      </c>
      <c r="Q41" s="445">
        <f t="shared" si="16"/>
        <v>-9.8067819698004044E-2</v>
      </c>
    </row>
    <row r="42" spans="1:38" ht="13.5" thickBot="1" x14ac:dyDescent="0.25">
      <c r="A42" s="189">
        <f>A41+1</f>
        <v>2050</v>
      </c>
      <c r="B42" s="181">
        <f>RF!B40</f>
        <v>1.2</v>
      </c>
      <c r="C42" s="182">
        <f t="shared" si="8"/>
        <v>2.4000615747941296</v>
      </c>
      <c r="D42" s="196">
        <f t="shared" si="1"/>
        <v>2.0000513123284414</v>
      </c>
      <c r="E42" s="190">
        <f>RF!E40</f>
        <v>4</v>
      </c>
      <c r="F42" s="182">
        <f t="shared" si="9"/>
        <v>1.891261926815309</v>
      </c>
      <c r="G42" s="183">
        <f t="shared" si="3"/>
        <v>0.47281548170382726</v>
      </c>
      <c r="H42" s="184">
        <f>K42-E42-B42</f>
        <v>1.7000000000000004</v>
      </c>
      <c r="I42" s="182">
        <f t="shared" si="10"/>
        <v>0.12569182615234231</v>
      </c>
      <c r="J42" s="183">
        <f t="shared" si="5"/>
        <v>7.3936368324907228E-2</v>
      </c>
      <c r="K42" s="181">
        <f>RF!K40</f>
        <v>6.9</v>
      </c>
      <c r="L42" s="185">
        <f t="shared" si="12"/>
        <v>4.4170153277617814</v>
      </c>
      <c r="M42" s="186">
        <f t="shared" si="6"/>
        <v>0.64014714895098279</v>
      </c>
      <c r="N42" s="441">
        <f t="shared" si="13"/>
        <v>-9.6237282516168032E-2</v>
      </c>
      <c r="O42" s="449">
        <f t="shared" si="14"/>
        <v>-9.1379165040329946E-2</v>
      </c>
      <c r="P42" s="446">
        <f t="shared" si="15"/>
        <v>-0.10216217511925152</v>
      </c>
      <c r="Q42" s="447">
        <f t="shared" si="16"/>
        <v>-9.8759979812292786E-2</v>
      </c>
    </row>
    <row r="43" spans="1:38" s="206" customFormat="1" x14ac:dyDescent="0.2">
      <c r="A43" s="489" t="s">
        <v>1</v>
      </c>
      <c r="B43" s="197"/>
      <c r="C43" s="207">
        <f>SUM(C12:C42)</f>
        <v>321.55839680052622</v>
      </c>
      <c r="D43" s="208"/>
      <c r="E43" s="207"/>
      <c r="F43" s="207">
        <f>SUM(F12:F42)</f>
        <v>303.78217631684129</v>
      </c>
      <c r="G43" s="207"/>
      <c r="H43" s="209"/>
      <c r="I43" s="207">
        <f>SUM(I12:I42)</f>
        <v>19.031754323347027</v>
      </c>
      <c r="J43" s="207"/>
      <c r="K43" s="210"/>
      <c r="L43" s="207">
        <f>SUM(L12:L42)</f>
        <v>644.37232744071457</v>
      </c>
      <c r="M43" s="198"/>
      <c r="N43" s="205"/>
      <c r="P43" s="3"/>
      <c r="Q43" s="3"/>
      <c r="R43" s="3"/>
      <c r="S43" s="3"/>
      <c r="T43" s="3"/>
      <c r="U43" s="3"/>
      <c r="V43" s="1"/>
      <c r="W43" s="1"/>
      <c r="X43" s="1"/>
      <c r="Y43" s="1"/>
      <c r="Z43" s="1"/>
      <c r="AA43" s="1"/>
      <c r="AB43" s="3"/>
      <c r="AC43" s="1"/>
      <c r="AD43" s="1"/>
      <c r="AE43" s="1"/>
      <c r="AF43" s="1"/>
      <c r="AG43" s="1"/>
      <c r="AH43" s="1"/>
      <c r="AI43" s="1"/>
      <c r="AJ43" s="3"/>
      <c r="AK43" s="3"/>
      <c r="AL43" s="3"/>
    </row>
    <row r="44" spans="1:38" ht="13.5" thickBot="1" x14ac:dyDescent="0.25">
      <c r="A44" s="180" t="s">
        <v>52</v>
      </c>
      <c r="B44" s="197"/>
      <c r="C44" s="211">
        <f>C$11*EXP(-C$8*($A42-$A$11))/C$8^2*((C$7*C$8+C$8^2)*($A42-$A$11)+2*C$8+C$7)</f>
        <v>22.656223863545428</v>
      </c>
      <c r="D44" s="208"/>
      <c r="E44" s="207"/>
      <c r="F44" s="211">
        <f>F$11*EXP(-F$8*($A42-$A$11))/F$8^2*((F$7*F$8+F$8^2)*($A42-$A$11)+2*F$8+F$7)</f>
        <v>15.845685728368183</v>
      </c>
      <c r="G44" s="207"/>
      <c r="H44" s="209"/>
      <c r="I44" s="211">
        <f>I$11*EXP(-I$8*($A42-$A$11))/I$8^2*((I$7*I$8+I$8^2)*($A42-$A$11)+2*I$8+I$7)</f>
        <v>1.0919683580140913</v>
      </c>
      <c r="J44" s="207"/>
      <c r="K44" s="212"/>
      <c r="L44" s="213">
        <f t="shared" si="12"/>
        <v>39.593877949927702</v>
      </c>
      <c r="M44" s="204"/>
      <c r="N44" s="152"/>
      <c r="AK44" s="206"/>
      <c r="AL44" s="206"/>
    </row>
    <row r="45" spans="1:38" ht="13.5" thickBot="1" x14ac:dyDescent="0.25">
      <c r="A45" s="143" t="s">
        <v>1</v>
      </c>
      <c r="B45" s="199"/>
      <c r="C45" s="145">
        <f>SUM(C43:C44)</f>
        <v>344.21462066407167</v>
      </c>
      <c r="D45" s="200"/>
      <c r="E45" s="145"/>
      <c r="F45" s="145">
        <f>SUM(F43:F44)</f>
        <v>319.6278620452095</v>
      </c>
      <c r="G45" s="146"/>
      <c r="H45" s="144"/>
      <c r="I45" s="145">
        <f>SUM(I43:I44)</f>
        <v>20.123722681361119</v>
      </c>
      <c r="J45" s="146"/>
      <c r="K45" s="144"/>
      <c r="L45" s="147">
        <f>SUM(L43:L44)</f>
        <v>683.96620539064224</v>
      </c>
      <c r="M45" s="148"/>
      <c r="N45" s="138"/>
    </row>
    <row r="46" spans="1:38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8" x14ac:dyDescent="0.2">
      <c r="A47" s="7"/>
      <c r="B47" s="7"/>
      <c r="C47" s="7"/>
      <c r="D47" s="7"/>
      <c r="E47" s="7"/>
      <c r="F47" s="7" t="s">
        <v>58</v>
      </c>
      <c r="K47" s="114"/>
      <c r="L47" s="113">
        <f>'global path'!C88</f>
        <v>683.96620539064213</v>
      </c>
      <c r="M47" s="7"/>
      <c r="N47" s="7"/>
      <c r="AI47" s="2"/>
      <c r="AJ47" s="206"/>
    </row>
    <row r="48" spans="1:3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113">
        <f>L45-L47</f>
        <v>0</v>
      </c>
      <c r="M48" s="7"/>
      <c r="N48" s="7"/>
    </row>
    <row r="49" spans="1:34" x14ac:dyDescent="0.2">
      <c r="AG49" s="2"/>
      <c r="AH49" s="2"/>
    </row>
    <row r="50" spans="1:34" ht="13.5" thickBot="1" x14ac:dyDescent="0.25">
      <c r="O50" s="35"/>
      <c r="P50" s="35"/>
      <c r="Q50" s="35"/>
    </row>
    <row r="51" spans="1:34" x14ac:dyDescent="0.2">
      <c r="A51" s="491">
        <f>A42+1</f>
        <v>2051</v>
      </c>
      <c r="B51" s="568">
        <f>B42</f>
        <v>1.2</v>
      </c>
      <c r="C51" s="493">
        <f>-C$11*EXP(-C$8*($A51-$A$11))/C$8^2*((C$7*C$8+C$8^2)*($A51-$A$11)+2*C$8+C$7)
  +C$11*EXP(-C$8*($A42-$A$11))/C$8^2*((C$7*C$8+C$8^2)*($A42-$A$11)+2*C$8+C$7)</f>
        <v>2.1792887813518398</v>
      </c>
      <c r="D51" s="494">
        <f>C51/B51</f>
        <v>1.8160739844598666</v>
      </c>
      <c r="E51" s="658">
        <f>E42</f>
        <v>4</v>
      </c>
      <c r="F51" s="493">
        <f>-F$11*EXP(-F$8*($A51-$A$11))/F$8^2*((F$7*F$8+F$8^2)*($A51-$A$11)+2*F$8+F$7)
  +F$11*EXP(-F$8*($A42-$A$11))/F$8^2*((F$7*F$8+F$8^2)*($A42-$A$11)+2*F$8+F$7)</f>
        <v>1.6967740306784531</v>
      </c>
      <c r="G51" s="495">
        <f>F51/E51</f>
        <v>0.42419350766961328</v>
      </c>
      <c r="H51" s="568">
        <f>H42</f>
        <v>1.7000000000000004</v>
      </c>
      <c r="I51" s="493">
        <f>-I$11*EXP(-I$8*($A51-$A$11))/I$8^2*((I$7*I$8+I$8^2)*($A51-$A$11)+2*I$8+I$7)
  +I$11*EXP(-I$8*($A42-$A$11))/I$8^2*((I$7*I$8+I$8^2)*($A42-$A$11)+2*I$8+I$7)</f>
        <v>0.11319619528360303</v>
      </c>
      <c r="J51" s="495">
        <f>I51/H51</f>
        <v>6.6585997225648827E-2</v>
      </c>
      <c r="K51" s="492">
        <f>B51+E51+H51</f>
        <v>6.9</v>
      </c>
      <c r="L51" s="496">
        <f>I51+F51+C51</f>
        <v>3.9892590073138958</v>
      </c>
      <c r="M51" s="494">
        <f>L51/K51</f>
        <v>0.57815347932085448</v>
      </c>
      <c r="N51" s="497">
        <f>L51/L42-1</f>
        <v>-9.6842842667843043E-2</v>
      </c>
      <c r="O51" s="448">
        <f>C51/C42-1</f>
        <v>-9.1986303918567991E-2</v>
      </c>
      <c r="P51" s="444">
        <f>F51/F42-1</f>
        <v>-0.10283498725338036</v>
      </c>
      <c r="Q51" s="445">
        <f>I51/I42-1</f>
        <v>-9.9414824744404662E-2</v>
      </c>
      <c r="R51" s="206"/>
    </row>
    <row r="52" spans="1:34" x14ac:dyDescent="0.2">
      <c r="A52" s="180">
        <f>A51+1</f>
        <v>2052</v>
      </c>
      <c r="B52" s="128">
        <f>B51</f>
        <v>1.2</v>
      </c>
      <c r="C52" s="5">
        <f t="shared" ref="C52:C100" si="17">-C$11*EXP(-C$8*($A52-$A$11))/C$8^2*((C$7*C$8+C$8^2)*($A52-$A$11)+2*C$8+C$7)
  +C$11*EXP(-C$8*($A51-$A$11))/C$8^2*((C$7*C$8+C$8^2)*($A51-$A$11)+2*C$8+C$7)</f>
        <v>1.9775676111966263</v>
      </c>
      <c r="D52" s="195">
        <f>C52/B52</f>
        <v>1.647973009330522</v>
      </c>
      <c r="E52" s="5">
        <f>E51</f>
        <v>4</v>
      </c>
      <c r="F52" s="5">
        <f t="shared" ref="F52:F100" si="18">-F$11*EXP(-F$8*($A52-$A$11))/F$8^2*((F$7*F$8+F$8^2)*($A52-$A$11)+2*F$8+F$7)
  +F$11*EXP(-F$8*($A51-$A$11))/F$8^2*((F$7*F$8+F$8^2)*($A51-$A$11)+2*F$8+F$7)</f>
        <v>1.5212055215872784</v>
      </c>
      <c r="G52" s="4">
        <f>F52/E52</f>
        <v>0.3803013803968196</v>
      </c>
      <c r="H52" s="128">
        <f>H51</f>
        <v>1.7000000000000004</v>
      </c>
      <c r="I52" s="5">
        <f t="shared" ref="I52:I100" si="19">-I$11*EXP(-I$8*($A52-$A$11))/I$8^2*((I$7*I$8+I$8^2)*($A52-$A$11)+2*I$8+I$7)
  +I$11*EXP(-I$8*($A51-$A$11))/I$8^2*((I$7*I$8+I$8^2)*($A51-$A$11)+2*I$8+I$7)</f>
        <v>0.10187258073906136</v>
      </c>
      <c r="J52" s="4">
        <f>I52/H52</f>
        <v>5.9925047493565489E-2</v>
      </c>
      <c r="K52" s="128">
        <f>B52+E52+H52</f>
        <v>6.9</v>
      </c>
      <c r="L52" s="19">
        <f>I52+F52+C52</f>
        <v>3.6006457135229661</v>
      </c>
      <c r="M52" s="195">
        <f>L52/K52</f>
        <v>0.52183271210477766</v>
      </c>
      <c r="N52" s="440">
        <f>L52/L51-1</f>
        <v>-9.7414906647687483E-2</v>
      </c>
      <c r="O52" s="448">
        <f>C52/C51-1</f>
        <v>-9.2562845218743028E-2</v>
      </c>
      <c r="P52" s="444">
        <f>F52/F51-1</f>
        <v>-0.10347194494777467</v>
      </c>
      <c r="Q52" s="445">
        <f>I52/I51-1</f>
        <v>-0.10003529284859225</v>
      </c>
    </row>
    <row r="53" spans="1:34" x14ac:dyDescent="0.2">
      <c r="A53" s="180">
        <f t="shared" ref="A53:A100" si="20">A52+1</f>
        <v>2053</v>
      </c>
      <c r="B53" s="128">
        <f t="shared" ref="B53:B100" si="21">B52</f>
        <v>1.2</v>
      </c>
      <c r="C53" s="5">
        <f t="shared" si="17"/>
        <v>1.7934342241645922</v>
      </c>
      <c r="D53" s="195">
        <f>C53/B53</f>
        <v>1.4945285201371603</v>
      </c>
      <c r="E53" s="5">
        <f t="shared" ref="E53:E100" si="22">E52</f>
        <v>4</v>
      </c>
      <c r="F53" s="5">
        <f t="shared" si="18"/>
        <v>1.3628847793206518</v>
      </c>
      <c r="G53" s="4">
        <f>F53/E53</f>
        <v>0.34072119483016294</v>
      </c>
      <c r="H53" s="128">
        <f t="shared" ref="H53:H100" si="23">H52</f>
        <v>1.7000000000000004</v>
      </c>
      <c r="I53" s="5">
        <f t="shared" si="19"/>
        <v>9.1621751947312258E-2</v>
      </c>
      <c r="J53" s="4">
        <f>I53/H53</f>
        <v>5.3895148204301316E-2</v>
      </c>
      <c r="K53" s="128">
        <f>B53+E53+H53</f>
        <v>6.9</v>
      </c>
      <c r="L53" s="19">
        <f>I53+F53+C53</f>
        <v>3.2479407554325563</v>
      </c>
      <c r="M53" s="195">
        <f>L53/K53</f>
        <v>0.47071605151196466</v>
      </c>
      <c r="N53" s="440">
        <f>L53/L52-1</f>
        <v>-9.7956029599289285E-2</v>
      </c>
      <c r="O53" s="448">
        <f>C53/C52-1</f>
        <v>-9.3111045098789313E-2</v>
      </c>
      <c r="P53" s="444">
        <f>F53/F52-1</f>
        <v>-0.10407583986510205</v>
      </c>
      <c r="Q53" s="445">
        <f>I53/I52-1</f>
        <v>-0.10062402186517483</v>
      </c>
    </row>
    <row r="54" spans="1:34" x14ac:dyDescent="0.2">
      <c r="A54" s="180">
        <f t="shared" si="20"/>
        <v>2054</v>
      </c>
      <c r="B54" s="128">
        <f t="shared" si="21"/>
        <v>1.2</v>
      </c>
      <c r="C54" s="5">
        <f t="shared" si="17"/>
        <v>1.6255096992794051</v>
      </c>
      <c r="D54" s="195">
        <f t="shared" ref="D54:D100" si="24">C54/B54</f>
        <v>1.354591416066171</v>
      </c>
      <c r="E54" s="5">
        <f t="shared" si="22"/>
        <v>4</v>
      </c>
      <c r="F54" s="5">
        <f t="shared" si="18"/>
        <v>1.2202600031166515</v>
      </c>
      <c r="G54" s="4">
        <f t="shared" ref="G54:G100" si="25">F54/E54</f>
        <v>0.30506500077916288</v>
      </c>
      <c r="H54" s="128">
        <f t="shared" si="23"/>
        <v>1.7000000000000004</v>
      </c>
      <c r="I54" s="5">
        <f t="shared" si="19"/>
        <v>8.2351152816889428E-2</v>
      </c>
      <c r="J54" s="4">
        <f t="shared" ref="J54:J100" si="26">I54/H54</f>
        <v>4.8441854598170242E-2</v>
      </c>
      <c r="K54" s="128">
        <f t="shared" ref="K54:K100" si="27">B54+E54+H54</f>
        <v>6.9</v>
      </c>
      <c r="L54" s="19">
        <f t="shared" ref="L54:L100" si="28">I54+F54+C54</f>
        <v>2.9281208552129461</v>
      </c>
      <c r="M54" s="195">
        <f t="shared" ref="M54:M100" si="29">L54/K54</f>
        <v>0.42436534133520953</v>
      </c>
      <c r="N54" s="440">
        <f t="shared" ref="N54:N100" si="30">L54/L53-1</f>
        <v>-9.8468514145362618E-2</v>
      </c>
      <c r="O54" s="448">
        <f t="shared" ref="O54:O100" si="31">C54/C53-1</f>
        <v>-9.3632943222887732E-2</v>
      </c>
      <c r="P54" s="444">
        <f t="shared" ref="P54:P100" si="32">F54/F53-1</f>
        <v>-0.10464918118396882</v>
      </c>
      <c r="Q54" s="445">
        <f t="shared" ref="Q54:Q100" si="33">I54/I53-1</f>
        <v>-0.1011833864053806</v>
      </c>
    </row>
    <row r="55" spans="1:34" x14ac:dyDescent="0.2">
      <c r="A55" s="180">
        <f t="shared" si="20"/>
        <v>2055</v>
      </c>
      <c r="B55" s="128">
        <f t="shared" si="21"/>
        <v>1.2</v>
      </c>
      <c r="C55" s="5">
        <f t="shared" si="17"/>
        <v>1.4724998403921834</v>
      </c>
      <c r="D55" s="195">
        <f t="shared" si="24"/>
        <v>1.2270832003268195</v>
      </c>
      <c r="E55" s="5">
        <f t="shared" si="22"/>
        <v>4</v>
      </c>
      <c r="F55" s="5">
        <f t="shared" si="18"/>
        <v>1.0918956911428204</v>
      </c>
      <c r="G55" s="4">
        <f t="shared" si="25"/>
        <v>0.27297392278570509</v>
      </c>
      <c r="H55" s="128">
        <f t="shared" si="23"/>
        <v>1.7000000000000004</v>
      </c>
      <c r="I55" s="5">
        <f t="shared" si="19"/>
        <v>7.3974761664997279E-2</v>
      </c>
      <c r="J55" s="4">
        <f t="shared" si="26"/>
        <v>4.3514565685292508E-2</v>
      </c>
      <c r="K55" s="128">
        <f t="shared" si="27"/>
        <v>6.9</v>
      </c>
      <c r="L55" s="19">
        <f t="shared" si="28"/>
        <v>2.6383702932000013</v>
      </c>
      <c r="M55" s="195">
        <f t="shared" si="29"/>
        <v>0.38237250626086972</v>
      </c>
      <c r="N55" s="440">
        <f t="shared" si="30"/>
        <v>-9.8954440865068993E-2</v>
      </c>
      <c r="O55" s="448">
        <f t="shared" si="31"/>
        <v>-9.4130388120754693E-2</v>
      </c>
      <c r="P55" s="444">
        <f t="shared" si="32"/>
        <v>-0.10519423044759102</v>
      </c>
      <c r="Q55" s="445">
        <f t="shared" si="33"/>
        <v>-0.10171552996370725</v>
      </c>
    </row>
    <row r="56" spans="1:34" x14ac:dyDescent="0.2">
      <c r="A56" s="180">
        <f t="shared" si="20"/>
        <v>2056</v>
      </c>
      <c r="B56" s="128">
        <f t="shared" si="21"/>
        <v>1.2</v>
      </c>
      <c r="C56" s="5">
        <f t="shared" si="17"/>
        <v>1.3331939060204245</v>
      </c>
      <c r="D56" s="195">
        <f t="shared" si="24"/>
        <v>1.1109949216836872</v>
      </c>
      <c r="E56" s="5">
        <f t="shared" si="22"/>
        <v>4</v>
      </c>
      <c r="F56" s="5">
        <f t="shared" si="18"/>
        <v>0.97646808768405169</v>
      </c>
      <c r="G56" s="4">
        <f t="shared" si="25"/>
        <v>0.24411702192101292</v>
      </c>
      <c r="H56" s="128">
        <f t="shared" si="23"/>
        <v>1.7000000000000004</v>
      </c>
      <c r="I56" s="5">
        <f t="shared" si="19"/>
        <v>6.6412884552766283E-2</v>
      </c>
      <c r="J56" s="4">
        <f t="shared" si="26"/>
        <v>3.9066402678097807E-2</v>
      </c>
      <c r="K56" s="128">
        <f t="shared" si="27"/>
        <v>6.9</v>
      </c>
      <c r="L56" s="19">
        <f t="shared" si="28"/>
        <v>2.3760748782572425</v>
      </c>
      <c r="M56" s="195">
        <f t="shared" si="29"/>
        <v>0.344358678008296</v>
      </c>
      <c r="N56" s="440">
        <f t="shared" si="30"/>
        <v>-9.9415694460624149E-2</v>
      </c>
      <c r="O56" s="448">
        <f t="shared" si="31"/>
        <v>-9.4605059063813779E-2</v>
      </c>
      <c r="P56" s="444">
        <f t="shared" si="32"/>
        <v>-0.10571303137752808</v>
      </c>
      <c r="Q56" s="445">
        <f t="shared" si="33"/>
        <v>-0.10222239236776154</v>
      </c>
    </row>
    <row r="57" spans="1:34" x14ac:dyDescent="0.2">
      <c r="A57" s="180">
        <f t="shared" si="20"/>
        <v>2057</v>
      </c>
      <c r="B57" s="128">
        <f t="shared" si="21"/>
        <v>1.2</v>
      </c>
      <c r="C57" s="5">
        <f t="shared" si="17"/>
        <v>1.2064625130974349</v>
      </c>
      <c r="D57" s="195">
        <f t="shared" si="24"/>
        <v>1.0053854275811958</v>
      </c>
      <c r="E57" s="5">
        <f t="shared" si="22"/>
        <v>4</v>
      </c>
      <c r="F57" s="5">
        <f t="shared" si="18"/>
        <v>0.87275991626135152</v>
      </c>
      <c r="G57" s="4">
        <f t="shared" si="25"/>
        <v>0.21818997906533788</v>
      </c>
      <c r="H57" s="128">
        <f t="shared" si="23"/>
        <v>1.7000000000000004</v>
      </c>
      <c r="I57" s="5">
        <f t="shared" si="19"/>
        <v>5.9591900537128595E-2</v>
      </c>
      <c r="J57" s="4">
        <f t="shared" si="26"/>
        <v>3.5054059139487399E-2</v>
      </c>
      <c r="K57" s="128">
        <f t="shared" si="27"/>
        <v>6.9</v>
      </c>
      <c r="L57" s="19">
        <f t="shared" si="28"/>
        <v>2.138814329895915</v>
      </c>
      <c r="M57" s="195">
        <f t="shared" si="29"/>
        <v>0.30997309128926304</v>
      </c>
      <c r="N57" s="440">
        <f t="shared" si="30"/>
        <v>-9.9853986308440223E-2</v>
      </c>
      <c r="O57" s="448">
        <f t="shared" si="31"/>
        <v>-9.5058485004092197E-2</v>
      </c>
      <c r="P57" s="444">
        <f t="shared" si="32"/>
        <v>-0.10620743548175871</v>
      </c>
      <c r="Q57" s="445">
        <f t="shared" si="33"/>
        <v>-0.10270573340656941</v>
      </c>
      <c r="AF57" s="2"/>
    </row>
    <row r="58" spans="1:34" x14ac:dyDescent="0.2">
      <c r="A58" s="180">
        <f t="shared" si="20"/>
        <v>2058</v>
      </c>
      <c r="B58" s="128">
        <f t="shared" si="21"/>
        <v>1.2</v>
      </c>
      <c r="C58" s="5">
        <f t="shared" si="17"/>
        <v>1.091254921171414</v>
      </c>
      <c r="D58" s="195">
        <f t="shared" si="24"/>
        <v>0.90937910097617836</v>
      </c>
      <c r="E58" s="5">
        <f t="shared" si="22"/>
        <v>4</v>
      </c>
      <c r="F58" s="5">
        <f t="shared" si="18"/>
        <v>0.77965465281649227</v>
      </c>
      <c r="G58" s="4">
        <f t="shared" si="25"/>
        <v>0.19491366320412307</v>
      </c>
      <c r="H58" s="128">
        <f t="shared" si="23"/>
        <v>1.7000000000000004</v>
      </c>
      <c r="I58" s="5">
        <f t="shared" si="19"/>
        <v>5.3443973802312306E-2</v>
      </c>
      <c r="J58" s="4">
        <f t="shared" si="26"/>
        <v>3.1437631648418993E-2</v>
      </c>
      <c r="K58" s="128">
        <f t="shared" si="27"/>
        <v>6.9</v>
      </c>
      <c r="L58" s="19">
        <f t="shared" si="28"/>
        <v>1.9243535477902185</v>
      </c>
      <c r="M58" s="195">
        <f t="shared" si="29"/>
        <v>0.27889181852032152</v>
      </c>
      <c r="N58" s="440">
        <f t="shared" si="30"/>
        <v>-0.10027087396414314</v>
      </c>
      <c r="O58" s="448">
        <f t="shared" si="31"/>
        <v>-9.5492061025784003E-2</v>
      </c>
      <c r="P58" s="444">
        <f t="shared" si="32"/>
        <v>-0.10667912413266523</v>
      </c>
      <c r="Q58" s="445">
        <f t="shared" si="33"/>
        <v>-0.10316715324401904</v>
      </c>
      <c r="S58" s="206"/>
      <c r="T58" s="206"/>
      <c r="U58" s="206"/>
      <c r="V58" s="2"/>
      <c r="W58" s="2"/>
      <c r="X58" s="2"/>
      <c r="Y58" s="2"/>
      <c r="Z58" s="2"/>
      <c r="AA58" s="2"/>
      <c r="AB58" s="206"/>
      <c r="AC58" s="2"/>
      <c r="AD58" s="2"/>
      <c r="AE58" s="2"/>
    </row>
    <row r="59" spans="1:34" x14ac:dyDescent="0.2">
      <c r="A59" s="180">
        <f t="shared" si="20"/>
        <v>2059</v>
      </c>
      <c r="B59" s="128">
        <f t="shared" si="21"/>
        <v>1.2</v>
      </c>
      <c r="C59" s="5">
        <f t="shared" si="17"/>
        <v>0.98659586704406976</v>
      </c>
      <c r="D59" s="195">
        <f t="shared" si="24"/>
        <v>0.8221632225367248</v>
      </c>
      <c r="E59" s="5">
        <f t="shared" si="22"/>
        <v>4</v>
      </c>
      <c r="F59" s="5">
        <f t="shared" si="18"/>
        <v>0.696130540148582</v>
      </c>
      <c r="G59" s="4">
        <f t="shared" si="25"/>
        <v>0.1740326350371455</v>
      </c>
      <c r="H59" s="128">
        <f t="shared" si="23"/>
        <v>1.7000000000000004</v>
      </c>
      <c r="I59" s="5">
        <f t="shared" si="19"/>
        <v>4.7906744679543034E-2</v>
      </c>
      <c r="J59" s="4">
        <f t="shared" si="26"/>
        <v>2.8180438046790015E-2</v>
      </c>
      <c r="K59" s="128">
        <f t="shared" si="27"/>
        <v>6.9</v>
      </c>
      <c r="L59" s="19">
        <f t="shared" si="28"/>
        <v>1.7306331518721949</v>
      </c>
      <c r="M59" s="195">
        <f t="shared" si="29"/>
        <v>0.2508163988220572</v>
      </c>
      <c r="N59" s="440">
        <f t="shared" si="30"/>
        <v>-0.10066777809123351</v>
      </c>
      <c r="O59" s="448">
        <f t="shared" si="31"/>
        <v>-9.5907062682473287E-2</v>
      </c>
      <c r="P59" s="444">
        <f t="shared" si="32"/>
        <v>-0.10712962767063661</v>
      </c>
      <c r="Q59" s="445">
        <f t="shared" si="33"/>
        <v>-0.10360811011642435</v>
      </c>
    </row>
    <row r="60" spans="1:34" x14ac:dyDescent="0.2">
      <c r="A60" s="180">
        <f t="shared" si="20"/>
        <v>2060</v>
      </c>
      <c r="B60" s="128">
        <f t="shared" si="21"/>
        <v>1.2</v>
      </c>
      <c r="C60" s="5">
        <f t="shared" si="17"/>
        <v>0.89158208896090052</v>
      </c>
      <c r="D60" s="195">
        <f t="shared" si="24"/>
        <v>0.74298507413408377</v>
      </c>
      <c r="E60" s="5">
        <f t="shared" si="22"/>
        <v>4</v>
      </c>
      <c r="F60" s="5">
        <f t="shared" si="18"/>
        <v>0.62125450118068315</v>
      </c>
      <c r="G60" s="4">
        <f t="shared" si="25"/>
        <v>0.15531362529517079</v>
      </c>
      <c r="H60" s="128">
        <f t="shared" si="23"/>
        <v>1.7000000000000004</v>
      </c>
      <c r="I60" s="5">
        <f t="shared" si="19"/>
        <v>4.2923009109656962E-2</v>
      </c>
      <c r="J60" s="4">
        <f t="shared" si="26"/>
        <v>2.5248828888033502E-2</v>
      </c>
      <c r="K60" s="128">
        <f t="shared" si="27"/>
        <v>6.9</v>
      </c>
      <c r="L60" s="19">
        <f t="shared" si="28"/>
        <v>1.5557595992512407</v>
      </c>
      <c r="M60" s="195">
        <f t="shared" si="29"/>
        <v>0.22547240568858559</v>
      </c>
      <c r="N60" s="440">
        <f t="shared" si="30"/>
        <v>-0.10104599720153074</v>
      </c>
      <c r="O60" s="448">
        <f t="shared" si="31"/>
        <v>-9.6304658530385945E-2</v>
      </c>
      <c r="P60" s="444">
        <f t="shared" si="32"/>
        <v>-0.1075603419897615</v>
      </c>
      <c r="Q60" s="445">
        <f t="shared" si="33"/>
        <v>-0.10402993572665375</v>
      </c>
    </row>
    <row r="61" spans="1:34" x14ac:dyDescent="0.2">
      <c r="A61" s="180">
        <f t="shared" si="20"/>
        <v>2061</v>
      </c>
      <c r="B61" s="128">
        <f t="shared" si="21"/>
        <v>1.2</v>
      </c>
      <c r="C61" s="5">
        <f t="shared" si="17"/>
        <v>0.80537865343828141</v>
      </c>
      <c r="D61" s="195">
        <f t="shared" si="24"/>
        <v>0.67114887786523458</v>
      </c>
      <c r="E61" s="5">
        <f t="shared" si="22"/>
        <v>4</v>
      </c>
      <c r="F61" s="5">
        <f t="shared" si="18"/>
        <v>0.55417607284716475</v>
      </c>
      <c r="G61" s="4">
        <f t="shared" si="25"/>
        <v>0.13854401821179119</v>
      </c>
      <c r="H61" s="128">
        <f t="shared" si="23"/>
        <v>1.7000000000000004</v>
      </c>
      <c r="I61" s="5">
        <f t="shared" si="19"/>
        <v>3.844039407153621E-2</v>
      </c>
      <c r="J61" s="4">
        <f t="shared" si="26"/>
        <v>2.2611996512668354E-2</v>
      </c>
      <c r="K61" s="128">
        <f t="shared" si="27"/>
        <v>6.9</v>
      </c>
      <c r="L61" s="19">
        <f t="shared" si="28"/>
        <v>1.3979951203569825</v>
      </c>
      <c r="M61" s="195">
        <f t="shared" si="29"/>
        <v>0.20260798845753369</v>
      </c>
      <c r="N61" s="440">
        <f t="shared" si="30"/>
        <v>-0.10140672053072175</v>
      </c>
      <c r="O61" s="448">
        <f t="shared" si="31"/>
        <v>-9.6685921117017237E-2</v>
      </c>
      <c r="P61" s="444">
        <f t="shared" si="32"/>
        <v>-0.10797254298526138</v>
      </c>
      <c r="Q61" s="445">
        <f t="shared" si="33"/>
        <v>-0.10443384867703132</v>
      </c>
    </row>
    <row r="62" spans="1:34" x14ac:dyDescent="0.2">
      <c r="A62" s="180">
        <f t="shared" si="20"/>
        <v>2062</v>
      </c>
      <c r="B62" s="128">
        <f t="shared" si="21"/>
        <v>1.2</v>
      </c>
      <c r="C62" s="5">
        <f t="shared" si="17"/>
        <v>0.72721517592915941</v>
      </c>
      <c r="D62" s="195">
        <f t="shared" si="24"/>
        <v>0.60601264660763288</v>
      </c>
      <c r="E62" s="5">
        <f t="shared" si="22"/>
        <v>4</v>
      </c>
      <c r="F62" s="5">
        <f t="shared" si="18"/>
        <v>0.49412145314673017</v>
      </c>
      <c r="G62" s="4">
        <f t="shared" si="25"/>
        <v>0.12353036328668254</v>
      </c>
      <c r="H62" s="128">
        <f t="shared" si="23"/>
        <v>1.7000000000000004</v>
      </c>
      <c r="I62" s="5">
        <f t="shared" si="19"/>
        <v>3.441103482281932E-2</v>
      </c>
      <c r="J62" s="4">
        <f t="shared" si="26"/>
        <v>2.0241785189893714E-2</v>
      </c>
      <c r="K62" s="128">
        <f t="shared" si="27"/>
        <v>6.9</v>
      </c>
      <c r="L62" s="19">
        <f t="shared" si="28"/>
        <v>1.2557476638987088</v>
      </c>
      <c r="M62" s="195">
        <f t="shared" si="29"/>
        <v>0.18199241505778388</v>
      </c>
      <c r="N62" s="440">
        <f t="shared" si="30"/>
        <v>-0.10175103931832774</v>
      </c>
      <c r="O62" s="448">
        <f t="shared" si="31"/>
        <v>-9.705183664283934E-2</v>
      </c>
      <c r="P62" s="444">
        <f t="shared" si="32"/>
        <v>-0.10836739917675398</v>
      </c>
      <c r="Q62" s="445">
        <f t="shared" si="33"/>
        <v>-0.10482096622678727</v>
      </c>
    </row>
    <row r="63" spans="1:34" x14ac:dyDescent="0.2">
      <c r="A63" s="180">
        <f t="shared" si="20"/>
        <v>2063</v>
      </c>
      <c r="B63" s="128">
        <f t="shared" si="21"/>
        <v>1.2</v>
      </c>
      <c r="C63" s="5">
        <f t="shared" si="17"/>
        <v>0.65638200818135406</v>
      </c>
      <c r="D63" s="195">
        <f t="shared" si="24"/>
        <v>0.54698500681779505</v>
      </c>
      <c r="E63" s="5">
        <f t="shared" si="22"/>
        <v>4</v>
      </c>
      <c r="F63" s="5">
        <f t="shared" si="18"/>
        <v>0.44038773011602617</v>
      </c>
      <c r="G63" s="4">
        <f t="shared" si="25"/>
        <v>0.11009693252900654</v>
      </c>
      <c r="H63" s="128">
        <f t="shared" si="23"/>
        <v>1.7000000000000004</v>
      </c>
      <c r="I63" s="5">
        <f t="shared" si="19"/>
        <v>3.079125842160102E-2</v>
      </c>
      <c r="J63" s="4">
        <f t="shared" si="26"/>
        <v>1.811250495388295E-2</v>
      </c>
      <c r="K63" s="128">
        <f t="shared" si="27"/>
        <v>6.9</v>
      </c>
      <c r="L63" s="19">
        <f t="shared" si="28"/>
        <v>1.1275609967189812</v>
      </c>
      <c r="M63" s="195">
        <f t="shared" si="29"/>
        <v>0.16341463720564944</v>
      </c>
      <c r="N63" s="440">
        <f t="shared" si="30"/>
        <v>-0.10207995671817338</v>
      </c>
      <c r="O63" s="448">
        <f t="shared" si="31"/>
        <v>-9.7403313479125564E-2</v>
      </c>
      <c r="P63" s="444">
        <f t="shared" si="32"/>
        <v>-0.10874598277105707</v>
      </c>
      <c r="Q63" s="445">
        <f t="shared" si="33"/>
        <v>-0.10519231461234302</v>
      </c>
    </row>
    <row r="64" spans="1:34" x14ac:dyDescent="0.2">
      <c r="A64" s="180">
        <f t="shared" si="20"/>
        <v>2064</v>
      </c>
      <c r="B64" s="128">
        <f t="shared" si="21"/>
        <v>1.2</v>
      </c>
      <c r="C64" s="5">
        <f t="shared" si="17"/>
        <v>0.59222644980585848</v>
      </c>
      <c r="D64" s="195">
        <f t="shared" si="24"/>
        <v>0.4935220415048821</v>
      </c>
      <c r="E64" s="5">
        <f t="shared" si="22"/>
        <v>4</v>
      </c>
      <c r="F64" s="5">
        <f t="shared" si="18"/>
        <v>0.39233734223310623</v>
      </c>
      <c r="G64" s="4">
        <f t="shared" si="25"/>
        <v>9.8084335558276559E-2</v>
      </c>
      <c r="H64" s="128">
        <f t="shared" si="23"/>
        <v>1.7000000000000004</v>
      </c>
      <c r="I64" s="5">
        <f t="shared" si="19"/>
        <v>2.7541276870581027E-2</v>
      </c>
      <c r="J64" s="4">
        <f t="shared" si="26"/>
        <v>1.6200751100341776E-2</v>
      </c>
      <c r="K64" s="128">
        <f t="shared" si="27"/>
        <v>6.9</v>
      </c>
      <c r="L64" s="19">
        <f t="shared" si="28"/>
        <v>1.0121050689095457</v>
      </c>
      <c r="M64" s="195">
        <f t="shared" si="29"/>
        <v>0.14668189404486168</v>
      </c>
      <c r="N64" s="440">
        <f t="shared" si="30"/>
        <v>-0.10239439652967208</v>
      </c>
      <c r="O64" s="448">
        <f t="shared" si="31"/>
        <v>-9.7741189697219455E-2</v>
      </c>
      <c r="P64" s="444">
        <f t="shared" si="32"/>
        <v>-0.10910927938491932</v>
      </c>
      <c r="Q64" s="445">
        <f t="shared" si="33"/>
        <v>-0.10554883813193006</v>
      </c>
    </row>
    <row r="65" spans="1:17" x14ac:dyDescent="0.2">
      <c r="A65" s="180">
        <f t="shared" si="20"/>
        <v>2065</v>
      </c>
      <c r="B65" s="128">
        <f t="shared" si="21"/>
        <v>1.2</v>
      </c>
      <c r="C65" s="5">
        <f t="shared" si="17"/>
        <v>0.5341490287987618</v>
      </c>
      <c r="D65" s="195">
        <f t="shared" si="24"/>
        <v>0.44512419066563486</v>
      </c>
      <c r="E65" s="5">
        <f t="shared" si="22"/>
        <v>4</v>
      </c>
      <c r="F65" s="5">
        <f t="shared" si="18"/>
        <v>0.34939280428833053</v>
      </c>
      <c r="G65" s="4">
        <f t="shared" si="25"/>
        <v>8.7348201072082632E-2</v>
      </c>
      <c r="H65" s="128">
        <f t="shared" si="23"/>
        <v>1.7000000000000004</v>
      </c>
      <c r="I65" s="5">
        <f t="shared" si="19"/>
        <v>2.4624892307682111E-2</v>
      </c>
      <c r="J65" s="4">
        <f t="shared" si="26"/>
        <v>1.4485230769224767E-2</v>
      </c>
      <c r="K65" s="128">
        <f t="shared" si="27"/>
        <v>6.9</v>
      </c>
      <c r="L65" s="19">
        <f t="shared" si="28"/>
        <v>0.9081667253947745</v>
      </c>
      <c r="M65" s="195">
        <f t="shared" si="29"/>
        <v>0.13161836599924268</v>
      </c>
      <c r="N65" s="440">
        <f t="shared" si="30"/>
        <v>-0.10269521091002498</v>
      </c>
      <c r="O65" s="448">
        <f t="shared" si="31"/>
        <v>-9.8066239740111971E-2</v>
      </c>
      <c r="P65" s="444">
        <f t="shared" si="32"/>
        <v>-0.10945819661300638</v>
      </c>
      <c r="Q65" s="445">
        <f t="shared" si="33"/>
        <v>-0.10589140716326528</v>
      </c>
    </row>
    <row r="66" spans="1:17" x14ac:dyDescent="0.2">
      <c r="A66" s="180">
        <f t="shared" si="20"/>
        <v>2066</v>
      </c>
      <c r="B66" s="128">
        <f t="shared" si="21"/>
        <v>1.2</v>
      </c>
      <c r="C66" s="5">
        <f t="shared" si="17"/>
        <v>0.48159988516159746</v>
      </c>
      <c r="D66" s="195">
        <f t="shared" si="24"/>
        <v>0.40133323763466455</v>
      </c>
      <c r="E66" s="5">
        <f t="shared" si="22"/>
        <v>4</v>
      </c>
      <c r="F66" s="5">
        <f t="shared" si="18"/>
        <v>0.31103172041467309</v>
      </c>
      <c r="G66" s="4">
        <f t="shared" si="25"/>
        <v>7.7757930103668271E-2</v>
      </c>
      <c r="H66" s="128">
        <f t="shared" si="23"/>
        <v>1.7000000000000004</v>
      </c>
      <c r="I66" s="5">
        <f t="shared" si="19"/>
        <v>2.2009215924872566E-2</v>
      </c>
      <c r="J66" s="4">
        <f t="shared" si="26"/>
        <v>1.2946597602866212E-2</v>
      </c>
      <c r="K66" s="128">
        <f t="shared" si="27"/>
        <v>6.9</v>
      </c>
      <c r="L66" s="19">
        <f t="shared" si="28"/>
        <v>0.81464082150114314</v>
      </c>
      <c r="M66" s="195">
        <f t="shared" si="29"/>
        <v>0.11806388717407872</v>
      </c>
      <c r="N66" s="440">
        <f t="shared" si="30"/>
        <v>-0.10298318720384325</v>
      </c>
      <c r="O66" s="448">
        <f t="shared" si="31"/>
        <v>-9.8379180348490358E-2</v>
      </c>
      <c r="P66" s="444">
        <f t="shared" si="32"/>
        <v>-0.10979357159857417</v>
      </c>
      <c r="Q66" s="445">
        <f t="shared" si="33"/>
        <v>-0.10622082525792587</v>
      </c>
    </row>
    <row r="67" spans="1:17" x14ac:dyDescent="0.2">
      <c r="A67" s="180">
        <f t="shared" si="20"/>
        <v>2067</v>
      </c>
      <c r="B67" s="128">
        <f t="shared" si="21"/>
        <v>1.2</v>
      </c>
      <c r="C67" s="5">
        <f t="shared" si="17"/>
        <v>0.43407528301102927</v>
      </c>
      <c r="D67" s="195">
        <f t="shared" si="24"/>
        <v>0.36172940250919106</v>
      </c>
      <c r="E67" s="5">
        <f t="shared" si="22"/>
        <v>4</v>
      </c>
      <c r="F67" s="5">
        <f t="shared" si="18"/>
        <v>0.27678209620697825</v>
      </c>
      <c r="G67" s="4">
        <f t="shared" si="25"/>
        <v>6.9195524051744561E-2</v>
      </c>
      <c r="H67" s="128">
        <f t="shared" si="23"/>
        <v>1.7000000000000004</v>
      </c>
      <c r="I67" s="5">
        <f t="shared" si="19"/>
        <v>1.9664401700635464E-2</v>
      </c>
      <c r="J67" s="4">
        <f t="shared" si="26"/>
        <v>1.1567295118020859E-2</v>
      </c>
      <c r="K67" s="128">
        <f t="shared" si="27"/>
        <v>6.9</v>
      </c>
      <c r="L67" s="19">
        <f t="shared" si="28"/>
        <v>0.73052178091864295</v>
      </c>
      <c r="M67" s="195">
        <f t="shared" si="29"/>
        <v>0.10587272187226709</v>
      </c>
      <c r="N67" s="440">
        <f t="shared" si="30"/>
        <v>-0.10325905400553537</v>
      </c>
      <c r="O67" s="448">
        <f t="shared" si="31"/>
        <v>-9.8680675836585019E-2</v>
      </c>
      <c r="P67" s="444">
        <f t="shared" si="32"/>
        <v>-0.11011617773914706</v>
      </c>
      <c r="Q67" s="445">
        <f t="shared" si="33"/>
        <v>-0.10653783543407525</v>
      </c>
    </row>
    <row r="68" spans="1:17" x14ac:dyDescent="0.2">
      <c r="A68" s="180">
        <f t="shared" si="20"/>
        <v>2068</v>
      </c>
      <c r="B68" s="128">
        <f t="shared" si="21"/>
        <v>1.2</v>
      </c>
      <c r="C68" s="5">
        <f t="shared" si="17"/>
        <v>0.39111426937532601</v>
      </c>
      <c r="D68" s="195">
        <f t="shared" si="24"/>
        <v>0.32592855781277169</v>
      </c>
      <c r="E68" s="5">
        <f t="shared" si="22"/>
        <v>4</v>
      </c>
      <c r="F68" s="5">
        <f t="shared" si="18"/>
        <v>0.24621795422293036</v>
      </c>
      <c r="G68" s="4">
        <f t="shared" si="25"/>
        <v>6.1554488555732589E-2</v>
      </c>
      <c r="H68" s="128">
        <f t="shared" si="23"/>
        <v>1.7000000000000004</v>
      </c>
      <c r="I68" s="5">
        <f t="shared" si="19"/>
        <v>1.7563395556518369E-2</v>
      </c>
      <c r="J68" s="4">
        <f t="shared" si="26"/>
        <v>1.0331409150893155E-2</v>
      </c>
      <c r="K68" s="128">
        <f t="shared" si="27"/>
        <v>6.9</v>
      </c>
      <c r="L68" s="19">
        <f t="shared" si="28"/>
        <v>0.65489561915477479</v>
      </c>
      <c r="M68" s="195">
        <f t="shared" si="29"/>
        <v>9.4912408573155763E-2</v>
      </c>
      <c r="N68" s="440">
        <f t="shared" si="30"/>
        <v>-0.10352348655336063</v>
      </c>
      <c r="O68" s="448">
        <f t="shared" si="31"/>
        <v>-9.8971342799566098E-2</v>
      </c>
      <c r="P68" s="444">
        <f t="shared" si="32"/>
        <v>-0.1104267306408141</v>
      </c>
      <c r="Q68" s="445">
        <f t="shared" si="33"/>
        <v>-0.10684312577123567</v>
      </c>
    </row>
    <row r="69" spans="1:17" x14ac:dyDescent="0.2">
      <c r="A69" s="180">
        <f t="shared" si="20"/>
        <v>2069</v>
      </c>
      <c r="B69" s="128">
        <f t="shared" si="21"/>
        <v>1.2</v>
      </c>
      <c r="C69" s="5">
        <f t="shared" si="17"/>
        <v>0.35229549199920962</v>
      </c>
      <c r="D69" s="195">
        <f t="shared" si="24"/>
        <v>0.29357957666600804</v>
      </c>
      <c r="E69" s="5">
        <f t="shared" si="22"/>
        <v>4</v>
      </c>
      <c r="F69" s="5">
        <f t="shared" si="18"/>
        <v>0.21895525126624893</v>
      </c>
      <c r="G69" s="4">
        <f t="shared" si="25"/>
        <v>5.4738812816562232E-2</v>
      </c>
      <c r="H69" s="128">
        <f t="shared" si="23"/>
        <v>1.7000000000000004</v>
      </c>
      <c r="I69" s="5">
        <f t="shared" si="19"/>
        <v>1.5681700173653584E-2</v>
      </c>
      <c r="J69" s="4">
        <f t="shared" si="26"/>
        <v>9.2245295139138702E-3</v>
      </c>
      <c r="K69" s="128">
        <f t="shared" si="27"/>
        <v>6.9</v>
      </c>
      <c r="L69" s="19">
        <f t="shared" si="28"/>
        <v>0.58693244343911211</v>
      </c>
      <c r="M69" s="195">
        <f t="shared" si="29"/>
        <v>8.5062672962190153E-2</v>
      </c>
      <c r="N69" s="440">
        <f t="shared" si="30"/>
        <v>-0.10377711153935909</v>
      </c>
      <c r="O69" s="448">
        <f t="shared" si="31"/>
        <v>-9.9251754322634111E-2</v>
      </c>
      <c r="P69" s="444">
        <f t="shared" si="32"/>
        <v>-0.11072589341716832</v>
      </c>
      <c r="Q69" s="445">
        <f t="shared" si="33"/>
        <v>-0.10713733439582096</v>
      </c>
    </row>
    <row r="70" spans="1:17" x14ac:dyDescent="0.2">
      <c r="A70" s="180">
        <f t="shared" si="20"/>
        <v>2070</v>
      </c>
      <c r="B70" s="128">
        <f t="shared" si="21"/>
        <v>1.2</v>
      </c>
      <c r="C70" s="5">
        <f t="shared" si="17"/>
        <v>0.31723418371252832</v>
      </c>
      <c r="D70" s="195">
        <f t="shared" si="24"/>
        <v>0.26436181976044026</v>
      </c>
      <c r="E70" s="5">
        <f t="shared" si="22"/>
        <v>4</v>
      </c>
      <c r="F70" s="5">
        <f t="shared" si="18"/>
        <v>0.19464809138471129</v>
      </c>
      <c r="G70" s="4">
        <f t="shared" si="25"/>
        <v>4.8662022846177821E-2</v>
      </c>
      <c r="H70" s="128">
        <f t="shared" si="23"/>
        <v>1.7000000000000004</v>
      </c>
      <c r="I70" s="5">
        <f t="shared" si="19"/>
        <v>1.3997155413531054E-2</v>
      </c>
      <c r="J70" s="4">
        <f t="shared" si="26"/>
        <v>8.233620831488854E-3</v>
      </c>
      <c r="K70" s="128">
        <f t="shared" si="27"/>
        <v>6.9</v>
      </c>
      <c r="L70" s="19">
        <f t="shared" si="28"/>
        <v>0.52587943051077068</v>
      </c>
      <c r="M70" s="195">
        <f t="shared" si="29"/>
        <v>7.6214410218952269E-2</v>
      </c>
      <c r="N70" s="440">
        <f t="shared" si="30"/>
        <v>-0.10402051140775792</v>
      </c>
      <c r="O70" s="448">
        <f t="shared" si="31"/>
        <v>-9.9522443752303125E-2</v>
      </c>
      <c r="P70" s="444">
        <f t="shared" si="32"/>
        <v>-0.11101428141579583</v>
      </c>
      <c r="Q70" s="445">
        <f t="shared" si="33"/>
        <v>-0.1074210539334689</v>
      </c>
    </row>
    <row r="71" spans="1:17" x14ac:dyDescent="0.2">
      <c r="A71" s="180">
        <f t="shared" si="20"/>
        <v>2071</v>
      </c>
      <c r="B71" s="128">
        <f t="shared" si="21"/>
        <v>1.2</v>
      </c>
      <c r="C71" s="5">
        <f t="shared" si="17"/>
        <v>0.28557931708440876</v>
      </c>
      <c r="D71" s="195">
        <f t="shared" si="24"/>
        <v>0.23798276423700732</v>
      </c>
      <c r="E71" s="5">
        <f t="shared" si="22"/>
        <v>4</v>
      </c>
      <c r="F71" s="5">
        <f t="shared" si="18"/>
        <v>0.17298522520604198</v>
      </c>
      <c r="G71" s="4">
        <f t="shared" si="25"/>
        <v>4.3246306301510495E-2</v>
      </c>
      <c r="H71" s="128">
        <f t="shared" si="23"/>
        <v>1.7000000000000004</v>
      </c>
      <c r="I71" s="5">
        <f t="shared" si="19"/>
        <v>1.248973406389467E-2</v>
      </c>
      <c r="J71" s="4">
        <f t="shared" si="26"/>
        <v>7.3469023905262743E-3</v>
      </c>
      <c r="K71" s="128">
        <f t="shared" si="27"/>
        <v>6.9</v>
      </c>
      <c r="L71" s="19">
        <f t="shared" si="28"/>
        <v>0.47105427635434538</v>
      </c>
      <c r="M71" s="195">
        <f t="shared" si="29"/>
        <v>6.8268735703528316E-2</v>
      </c>
      <c r="N71" s="440">
        <f t="shared" si="30"/>
        <v>-0.1042542282043154</v>
      </c>
      <c r="O71" s="448">
        <f t="shared" si="31"/>
        <v>-9.9783908082253236E-2</v>
      </c>
      <c r="P71" s="444">
        <f t="shared" si="32"/>
        <v>-0.11129246644321744</v>
      </c>
      <c r="Q71" s="445">
        <f t="shared" si="33"/>
        <v>-0.10769483549344316</v>
      </c>
    </row>
    <row r="72" spans="1:17" x14ac:dyDescent="0.2">
      <c r="A72" s="180">
        <f t="shared" si="20"/>
        <v>2072</v>
      </c>
      <c r="B72" s="128">
        <f t="shared" si="21"/>
        <v>1.2</v>
      </c>
      <c r="C72" s="5">
        <f t="shared" si="17"/>
        <v>0.25701093003201292</v>
      </c>
      <c r="D72" s="195">
        <f t="shared" si="24"/>
        <v>0.21417577502667745</v>
      </c>
      <c r="E72" s="5">
        <f t="shared" si="22"/>
        <v>4</v>
      </c>
      <c r="F72" s="5">
        <f t="shared" si="18"/>
        <v>0.15368682386158983</v>
      </c>
      <c r="G72" s="4">
        <f t="shared" si="25"/>
        <v>3.8421705965397457E-2</v>
      </c>
      <c r="H72" s="128">
        <f t="shared" si="23"/>
        <v>1.7000000000000004</v>
      </c>
      <c r="I72" s="5">
        <f t="shared" si="19"/>
        <v>1.1141352463043958E-2</v>
      </c>
      <c r="J72" s="4">
        <f t="shared" si="26"/>
        <v>6.5537367429670326E-3</v>
      </c>
      <c r="K72" s="128">
        <f t="shared" si="27"/>
        <v>6.9</v>
      </c>
      <c r="L72" s="19">
        <f t="shared" si="28"/>
        <v>0.42183910635664668</v>
      </c>
      <c r="M72" s="195">
        <f t="shared" si="29"/>
        <v>6.1136102370528501E-2</v>
      </c>
      <c r="N72" s="440">
        <f t="shared" si="30"/>
        <v>-0.10447876702997416</v>
      </c>
      <c r="O72" s="448">
        <f t="shared" si="31"/>
        <v>-0.10003661099851946</v>
      </c>
      <c r="P72" s="444">
        <f t="shared" si="32"/>
        <v>-0.11156098054886432</v>
      </c>
      <c r="Q72" s="445">
        <f t="shared" si="33"/>
        <v>-0.10795919224161976</v>
      </c>
    </row>
    <row r="73" spans="1:17" x14ac:dyDescent="0.2">
      <c r="A73" s="180">
        <f t="shared" si="20"/>
        <v>2073</v>
      </c>
      <c r="B73" s="128">
        <f t="shared" si="21"/>
        <v>1.2</v>
      </c>
      <c r="C73" s="5">
        <f t="shared" si="17"/>
        <v>0.23123762065227282</v>
      </c>
      <c r="D73" s="195">
        <f t="shared" si="24"/>
        <v>0.19269801721022736</v>
      </c>
      <c r="E73" s="5">
        <f t="shared" si="22"/>
        <v>4</v>
      </c>
      <c r="F73" s="5">
        <f t="shared" si="18"/>
        <v>0.13650151412649225</v>
      </c>
      <c r="G73" s="4">
        <f t="shared" si="25"/>
        <v>3.4125378531623063E-2</v>
      </c>
      <c r="H73" s="128">
        <f t="shared" si="23"/>
        <v>1.7000000000000004</v>
      </c>
      <c r="I73" s="5">
        <f t="shared" si="19"/>
        <v>9.9356954337100761E-3</v>
      </c>
      <c r="J73" s="4">
        <f t="shared" si="26"/>
        <v>5.8445267257118084E-3</v>
      </c>
      <c r="K73" s="128">
        <f t="shared" si="27"/>
        <v>6.9</v>
      </c>
      <c r="L73" s="19">
        <f t="shared" si="28"/>
        <v>0.37767483021247517</v>
      </c>
      <c r="M73" s="195">
        <f t="shared" si="29"/>
        <v>5.4735482639489151E-2</v>
      </c>
      <c r="N73" s="440">
        <f t="shared" si="30"/>
        <v>-0.10469459914613166</v>
      </c>
      <c r="O73" s="448">
        <f t="shared" si="31"/>
        <v>-0.10028098562395693</v>
      </c>
      <c r="P73" s="444">
        <f t="shared" si="32"/>
        <v>-0.11182031942162229</v>
      </c>
      <c r="Q73" s="445">
        <f t="shared" si="33"/>
        <v>-0.10821460261068527</v>
      </c>
    </row>
    <row r="74" spans="1:17" x14ac:dyDescent="0.2">
      <c r="A74" s="180">
        <f t="shared" si="20"/>
        <v>2074</v>
      </c>
      <c r="B74" s="128">
        <f t="shared" si="21"/>
        <v>1.2</v>
      </c>
      <c r="C74" s="5">
        <f t="shared" si="17"/>
        <v>0.20799420768737353</v>
      </c>
      <c r="D74" s="195">
        <f t="shared" si="24"/>
        <v>0.17332850640614461</v>
      </c>
      <c r="E74" s="5">
        <f t="shared" si="22"/>
        <v>4</v>
      </c>
      <c r="F74" s="5">
        <f t="shared" si="18"/>
        <v>0.12120366038386354</v>
      </c>
      <c r="G74" s="4">
        <f t="shared" si="25"/>
        <v>3.0300915095965886E-2</v>
      </c>
      <c r="H74" s="128">
        <f t="shared" si="23"/>
        <v>1.7000000000000004</v>
      </c>
      <c r="I74" s="5">
        <f t="shared" si="19"/>
        <v>8.8580548723764668E-3</v>
      </c>
      <c r="J74" s="4">
        <f t="shared" si="26"/>
        <v>5.2106205131626261E-3</v>
      </c>
      <c r="K74" s="128">
        <f t="shared" si="27"/>
        <v>6.9</v>
      </c>
      <c r="L74" s="19">
        <f t="shared" si="28"/>
        <v>0.33805592294361353</v>
      </c>
      <c r="M74" s="195">
        <f t="shared" si="29"/>
        <v>4.8993612020813551E-2</v>
      </c>
      <c r="N74" s="440">
        <f t="shared" si="30"/>
        <v>-0.10490216477114067</v>
      </c>
      <c r="O74" s="448">
        <f t="shared" si="31"/>
        <v>-0.10051743699547888</v>
      </c>
      <c r="P74" s="444">
        <f t="shared" si="32"/>
        <v>-0.11207094544352525</v>
      </c>
      <c r="Q74" s="445">
        <f t="shared" si="33"/>
        <v>-0.1084615131898431</v>
      </c>
    </row>
    <row r="75" spans="1:17" x14ac:dyDescent="0.2">
      <c r="A75" s="180">
        <f t="shared" si="20"/>
        <v>2075</v>
      </c>
      <c r="B75" s="128">
        <f t="shared" si="21"/>
        <v>1.2</v>
      </c>
      <c r="C75" s="5">
        <f t="shared" si="17"/>
        <v>0.18703955162639896</v>
      </c>
      <c r="D75" s="195">
        <f t="shared" si="24"/>
        <v>0.15586629302199914</v>
      </c>
      <c r="E75" s="5">
        <f t="shared" si="22"/>
        <v>4</v>
      </c>
      <c r="F75" s="5">
        <f t="shared" si="18"/>
        <v>0.10759087847262494</v>
      </c>
      <c r="G75" s="4">
        <f t="shared" si="25"/>
        <v>2.6897719618156235E-2</v>
      </c>
      <c r="H75" s="128">
        <f t="shared" si="23"/>
        <v>1.7000000000000004</v>
      </c>
      <c r="I75" s="5">
        <f t="shared" si="19"/>
        <v>7.8951812842223829E-3</v>
      </c>
      <c r="J75" s="4">
        <f t="shared" si="26"/>
        <v>4.6442242848366948E-3</v>
      </c>
      <c r="K75" s="128">
        <f t="shared" si="27"/>
        <v>6.9</v>
      </c>
      <c r="L75" s="19">
        <f t="shared" si="28"/>
        <v>0.3025256113832463</v>
      </c>
      <c r="M75" s="195">
        <f t="shared" si="29"/>
        <v>4.3844291504818299E-2</v>
      </c>
      <c r="N75" s="440">
        <f t="shared" si="30"/>
        <v>-0.10510187560385842</v>
      </c>
      <c r="O75" s="448">
        <f t="shared" si="31"/>
        <v>-0.10074634430431129</v>
      </c>
      <c r="P75" s="444">
        <f t="shared" si="32"/>
        <v>-0.11231329044127569</v>
      </c>
      <c r="Q75" s="445">
        <f t="shared" si="33"/>
        <v>-0.10870034133077811</v>
      </c>
    </row>
    <row r="76" spans="1:17" x14ac:dyDescent="0.2">
      <c r="A76" s="180">
        <f t="shared" si="20"/>
        <v>2076</v>
      </c>
      <c r="B76" s="128">
        <f t="shared" si="21"/>
        <v>1.2</v>
      </c>
      <c r="C76" s="5">
        <f t="shared" si="17"/>
        <v>0.1681545304082892</v>
      </c>
      <c r="D76" s="195">
        <f t="shared" si="24"/>
        <v>0.14012877534024101</v>
      </c>
      <c r="E76" s="5">
        <f t="shared" si="22"/>
        <v>4</v>
      </c>
      <c r="F76" s="5">
        <f t="shared" si="18"/>
        <v>9.5481766301100612E-2</v>
      </c>
      <c r="G76" s="4">
        <f t="shared" si="25"/>
        <v>2.3870441575275153E-2</v>
      </c>
      <c r="H76" s="128">
        <f t="shared" si="23"/>
        <v>1.7000000000000004</v>
      </c>
      <c r="I76" s="5">
        <f t="shared" si="19"/>
        <v>7.0351475217883333E-3</v>
      </c>
      <c r="J76" s="4">
        <f t="shared" si="26"/>
        <v>4.1383220716401953E-3</v>
      </c>
      <c r="K76" s="128">
        <f t="shared" si="27"/>
        <v>6.9</v>
      </c>
      <c r="L76" s="19">
        <f t="shared" si="28"/>
        <v>0.27067144423117817</v>
      </c>
      <c r="M76" s="195">
        <f t="shared" si="29"/>
        <v>3.922774554075046E-2</v>
      </c>
      <c r="N76" s="440">
        <f t="shared" si="30"/>
        <v>-0.10529411710440129</v>
      </c>
      <c r="O76" s="448">
        <f t="shared" si="31"/>
        <v>-0.10096806292516958</v>
      </c>
      <c r="P76" s="444">
        <f t="shared" si="32"/>
        <v>-0.11254775816897278</v>
      </c>
      <c r="Q76" s="445">
        <f t="shared" si="33"/>
        <v>-0.10893147750169196</v>
      </c>
    </row>
    <row r="77" spans="1:17" x14ac:dyDescent="0.2">
      <c r="A77" s="180">
        <f t="shared" si="20"/>
        <v>2077</v>
      </c>
      <c r="B77" s="128">
        <f t="shared" si="21"/>
        <v>1.2</v>
      </c>
      <c r="C77" s="5">
        <f t="shared" si="17"/>
        <v>0.15114016295817434</v>
      </c>
      <c r="D77" s="195">
        <f t="shared" si="24"/>
        <v>0.12595013579847864</v>
      </c>
      <c r="E77" s="5">
        <f t="shared" si="22"/>
        <v>4</v>
      </c>
      <c r="F77" s="5">
        <f t="shared" si="18"/>
        <v>8.471383621569939E-2</v>
      </c>
      <c r="G77" s="4">
        <f t="shared" si="25"/>
        <v>2.1178459053924847E-2</v>
      </c>
      <c r="H77" s="128">
        <f t="shared" si="23"/>
        <v>1.7000000000000004</v>
      </c>
      <c r="I77" s="5">
        <f t="shared" si="19"/>
        <v>6.2672239720208758E-3</v>
      </c>
      <c r="J77" s="4">
        <f t="shared" si="26"/>
        <v>3.6866023364828674E-3</v>
      </c>
      <c r="K77" s="128">
        <f t="shared" si="27"/>
        <v>6.9</v>
      </c>
      <c r="L77" s="19">
        <f t="shared" si="28"/>
        <v>0.2421212231458946</v>
      </c>
      <c r="M77" s="195">
        <f t="shared" si="29"/>
        <v>3.5090032339984721E-2</v>
      </c>
      <c r="N77" s="440">
        <f t="shared" si="30"/>
        <v>-0.10547925055920959</v>
      </c>
      <c r="O77" s="448">
        <f t="shared" si="31"/>
        <v>-0.10118292625719316</v>
      </c>
      <c r="P77" s="444">
        <f t="shared" si="32"/>
        <v>-0.11277472655297016</v>
      </c>
      <c r="Q77" s="445">
        <f t="shared" si="33"/>
        <v>-0.10915528741780411</v>
      </c>
    </row>
    <row r="78" spans="1:17" x14ac:dyDescent="0.2">
      <c r="A78" s="180">
        <f t="shared" si="20"/>
        <v>2078</v>
      </c>
      <c r="B78" s="128">
        <f t="shared" si="21"/>
        <v>1.2</v>
      </c>
      <c r="C78" s="5">
        <f t="shared" si="17"/>
        <v>0.1358158733040955</v>
      </c>
      <c r="D78" s="195">
        <f t="shared" si="24"/>
        <v>0.11317989442007959</v>
      </c>
      <c r="E78" s="5">
        <f t="shared" si="22"/>
        <v>4</v>
      </c>
      <c r="F78" s="5">
        <f t="shared" si="18"/>
        <v>7.514163443706523E-2</v>
      </c>
      <c r="G78" s="4">
        <f t="shared" si="25"/>
        <v>1.8785408609266308E-2</v>
      </c>
      <c r="H78" s="128">
        <f t="shared" si="23"/>
        <v>1.7000000000000004</v>
      </c>
      <c r="I78" s="5">
        <f t="shared" si="19"/>
        <v>5.5817644374651226E-3</v>
      </c>
      <c r="J78" s="4">
        <f t="shared" si="26"/>
        <v>3.2833908455677185E-3</v>
      </c>
      <c r="K78" s="128">
        <f t="shared" si="27"/>
        <v>6.9</v>
      </c>
      <c r="L78" s="19">
        <f t="shared" si="28"/>
        <v>0.21653927217862584</v>
      </c>
      <c r="M78" s="195">
        <f t="shared" si="29"/>
        <v>3.1382503214293596E-2</v>
      </c>
      <c r="N78" s="440">
        <f t="shared" si="30"/>
        <v>-0.10565761495370396</v>
      </c>
      <c r="O78" s="448">
        <f t="shared" si="31"/>
        <v>-0.10139124739675975</v>
      </c>
      <c r="P78" s="444">
        <f t="shared" si="32"/>
        <v>-0.11299454972457279</v>
      </c>
      <c r="Q78" s="445">
        <f t="shared" si="33"/>
        <v>-0.10937211397197377</v>
      </c>
    </row>
    <row r="79" spans="1:17" x14ac:dyDescent="0.2">
      <c r="A79" s="180">
        <f t="shared" si="20"/>
        <v>2079</v>
      </c>
      <c r="B79" s="128">
        <f t="shared" si="21"/>
        <v>1.2</v>
      </c>
      <c r="C79" s="5">
        <f t="shared" si="17"/>
        <v>0.1220178877368332</v>
      </c>
      <c r="D79" s="195">
        <f t="shared" si="24"/>
        <v>0.10168157311402767</v>
      </c>
      <c r="E79" s="5">
        <f t="shared" si="22"/>
        <v>4</v>
      </c>
      <c r="F79" s="5">
        <f t="shared" si="18"/>
        <v>6.663503335827603E-2</v>
      </c>
      <c r="G79" s="4">
        <f t="shared" si="25"/>
        <v>1.6658758339569008E-2</v>
      </c>
      <c r="H79" s="128">
        <f t="shared" si="23"/>
        <v>1.7000000000000004</v>
      </c>
      <c r="I79" s="5">
        <f t="shared" si="19"/>
        <v>4.9701019696345508E-3</v>
      </c>
      <c r="J79" s="4">
        <f t="shared" si="26"/>
        <v>2.9235893939026764E-3</v>
      </c>
      <c r="K79" s="128">
        <f t="shared" si="27"/>
        <v>6.9</v>
      </c>
      <c r="L79" s="19">
        <f t="shared" si="28"/>
        <v>0.19362302306474377</v>
      </c>
      <c r="M79" s="195">
        <f t="shared" si="29"/>
        <v>2.8061307690542575E-2</v>
      </c>
      <c r="N79" s="440">
        <f t="shared" si="30"/>
        <v>-0.10582952867310913</v>
      </c>
      <c r="O79" s="448">
        <f t="shared" si="31"/>
        <v>-0.10159332065971582</v>
      </c>
      <c r="P79" s="444">
        <f t="shared" si="32"/>
        <v>-0.11320755986368503</v>
      </c>
      <c r="Q79" s="445">
        <f t="shared" si="33"/>
        <v>-0.10958227898781581</v>
      </c>
    </row>
    <row r="80" spans="1:17" x14ac:dyDescent="0.2">
      <c r="A80" s="180">
        <f t="shared" si="20"/>
        <v>2080</v>
      </c>
      <c r="B80" s="128">
        <f t="shared" si="21"/>
        <v>1.2</v>
      </c>
      <c r="C80" s="5">
        <f t="shared" si="17"/>
        <v>0.10959775735222899</v>
      </c>
      <c r="D80" s="195">
        <f t="shared" si="24"/>
        <v>9.1331464460190831E-2</v>
      </c>
      <c r="E80" s="5">
        <f t="shared" si="22"/>
        <v>4</v>
      </c>
      <c r="F80" s="5">
        <f t="shared" si="18"/>
        <v>5.9077683095571099E-2</v>
      </c>
      <c r="G80" s="4">
        <f t="shared" si="25"/>
        <v>1.4769420773892775E-2</v>
      </c>
      <c r="H80" s="128">
        <f t="shared" si="23"/>
        <v>1.7000000000000004</v>
      </c>
      <c r="I80" s="5">
        <f t="shared" si="19"/>
        <v>4.4244539332651475E-3</v>
      </c>
      <c r="J80" s="4">
        <f t="shared" si="26"/>
        <v>2.6026199607442038E-3</v>
      </c>
      <c r="K80" s="128">
        <f t="shared" si="27"/>
        <v>6.9</v>
      </c>
      <c r="L80" s="19">
        <f t="shared" si="28"/>
        <v>0.17309989438106524</v>
      </c>
      <c r="M80" s="195">
        <f t="shared" si="29"/>
        <v>2.5086941214647135E-2</v>
      </c>
      <c r="N80" s="440">
        <f t="shared" si="30"/>
        <v>-0.10599529104974259</v>
      </c>
      <c r="O80" s="448">
        <f t="shared" si="31"/>
        <v>-0.10178942296880111</v>
      </c>
      <c r="P80" s="444">
        <f t="shared" si="32"/>
        <v>-0.11341406887382177</v>
      </c>
      <c r="Q80" s="445">
        <f t="shared" si="33"/>
        <v>-0.10978608481337149</v>
      </c>
    </row>
    <row r="81" spans="1:17" x14ac:dyDescent="0.2">
      <c r="A81" s="180">
        <f t="shared" si="20"/>
        <v>2081</v>
      </c>
      <c r="B81" s="128">
        <f t="shared" si="21"/>
        <v>1.2</v>
      </c>
      <c r="C81" s="5">
        <f t="shared" si="17"/>
        <v>9.8420998319919017E-2</v>
      </c>
      <c r="D81" s="195">
        <f t="shared" si="24"/>
        <v>8.2017498599932515E-2</v>
      </c>
      <c r="E81" s="5">
        <f t="shared" si="22"/>
        <v>4</v>
      </c>
      <c r="F81" s="5">
        <f t="shared" si="18"/>
        <v>5.2365609355169374E-2</v>
      </c>
      <c r="G81" s="4">
        <f t="shared" si="25"/>
        <v>1.3091402338792343E-2</v>
      </c>
      <c r="H81" s="128">
        <f t="shared" si="23"/>
        <v>1.7000000000000004</v>
      </c>
      <c r="I81" s="5">
        <f t="shared" si="19"/>
        <v>3.937835606975186E-3</v>
      </c>
      <c r="J81" s="4">
        <f t="shared" si="26"/>
        <v>2.3163738864559911E-3</v>
      </c>
      <c r="K81" s="128">
        <f t="shared" si="27"/>
        <v>6.9</v>
      </c>
      <c r="L81" s="19">
        <f t="shared" si="28"/>
        <v>0.15472444328206358</v>
      </c>
      <c r="M81" s="195">
        <f t="shared" si="29"/>
        <v>2.242383235971936E-2</v>
      </c>
      <c r="N81" s="440">
        <f t="shared" si="30"/>
        <v>-0.10615518377238065</v>
      </c>
      <c r="O81" s="448">
        <f t="shared" si="31"/>
        <v>-0.1019798151196627</v>
      </c>
      <c r="P81" s="444">
        <f t="shared" si="32"/>
        <v>-0.11361436990586571</v>
      </c>
      <c r="Q81" s="445">
        <f t="shared" si="33"/>
        <v>-0.10998381577245808</v>
      </c>
    </row>
    <row r="82" spans="1:17" x14ac:dyDescent="0.2">
      <c r="A82" s="180">
        <f t="shared" si="20"/>
        <v>2082</v>
      </c>
      <c r="B82" s="128">
        <f t="shared" si="21"/>
        <v>1.2</v>
      </c>
      <c r="C82" s="5">
        <f t="shared" si="17"/>
        <v>8.8365842326849964E-2</v>
      </c>
      <c r="D82" s="195">
        <f t="shared" si="24"/>
        <v>7.3638201939041636E-2</v>
      </c>
      <c r="E82" s="5">
        <f t="shared" si="22"/>
        <v>4</v>
      </c>
      <c r="F82" s="5">
        <f t="shared" si="18"/>
        <v>4.6405945400765092E-2</v>
      </c>
      <c r="G82" s="4">
        <f t="shared" si="25"/>
        <v>1.1601486350191273E-2</v>
      </c>
      <c r="H82" s="128">
        <f t="shared" si="23"/>
        <v>1.7000000000000004</v>
      </c>
      <c r="I82" s="5">
        <f t="shared" si="19"/>
        <v>3.5039816569944204E-3</v>
      </c>
      <c r="J82" s="4">
        <f t="shared" si="26"/>
        <v>2.0611656805849528E-3</v>
      </c>
      <c r="K82" s="128">
        <f t="shared" si="27"/>
        <v>6.9</v>
      </c>
      <c r="L82" s="19">
        <f t="shared" si="28"/>
        <v>0.13827576938460948</v>
      </c>
      <c r="M82" s="195">
        <f t="shared" si="29"/>
        <v>2.0039966577479633E-2</v>
      </c>
      <c r="N82" s="440">
        <f t="shared" si="30"/>
        <v>-0.10630947217220277</v>
      </c>
      <c r="O82" s="448">
        <f t="shared" si="31"/>
        <v>-0.10216474293813405</v>
      </c>
      <c r="P82" s="444">
        <f t="shared" si="32"/>
        <v>-0.11380873874651021</v>
      </c>
      <c r="Q82" s="445">
        <f t="shared" si="33"/>
        <v>-0.11017573948802462</v>
      </c>
    </row>
    <row r="83" spans="1:17" x14ac:dyDescent="0.2">
      <c r="A83" s="180">
        <f t="shared" si="20"/>
        <v>2083</v>
      </c>
      <c r="B83" s="128">
        <f t="shared" si="21"/>
        <v>1.2</v>
      </c>
      <c r="C83" s="5">
        <f t="shared" si="17"/>
        <v>7.9322089825552666E-2</v>
      </c>
      <c r="D83" s="195">
        <f t="shared" si="24"/>
        <v>6.6101741521293889E-2</v>
      </c>
      <c r="E83" s="5">
        <f t="shared" si="22"/>
        <v>4</v>
      </c>
      <c r="F83" s="5">
        <f t="shared" si="18"/>
        <v>4.1115786652366371E-2</v>
      </c>
      <c r="G83" s="4">
        <f t="shared" si="25"/>
        <v>1.0278946663091593E-2</v>
      </c>
      <c r="H83" s="128">
        <f t="shared" si="23"/>
        <v>1.7000000000000004</v>
      </c>
      <c r="I83" s="5">
        <f t="shared" si="19"/>
        <v>3.1172748546174842E-3</v>
      </c>
      <c r="J83" s="4">
        <f t="shared" si="26"/>
        <v>1.8336910909514609E-3</v>
      </c>
      <c r="K83" s="128">
        <f t="shared" si="27"/>
        <v>6.9</v>
      </c>
      <c r="L83" s="19">
        <f t="shared" si="28"/>
        <v>0.12355515133253653</v>
      </c>
      <c r="M83" s="195">
        <f t="shared" si="29"/>
        <v>1.7906543671382103E-2</v>
      </c>
      <c r="N83" s="440">
        <f t="shared" si="30"/>
        <v>-0.10645840639749427</v>
      </c>
      <c r="O83" s="448">
        <f t="shared" si="31"/>
        <v>-0.10234443833903628</v>
      </c>
      <c r="P83" s="444">
        <f t="shared" si="32"/>
        <v>-0.1139974350853652</v>
      </c>
      <c r="Q83" s="445">
        <f t="shared" si="33"/>
        <v>-0.11036210809066804</v>
      </c>
    </row>
    <row r="84" spans="1:17" x14ac:dyDescent="0.2">
      <c r="A84" s="180">
        <f t="shared" si="20"/>
        <v>2084</v>
      </c>
      <c r="B84" s="128">
        <f t="shared" si="21"/>
        <v>1.2</v>
      </c>
      <c r="C84" s="5">
        <f t="shared" si="17"/>
        <v>7.1190058956557389E-2</v>
      </c>
      <c r="D84" s="195">
        <f t="shared" si="24"/>
        <v>5.9325049130464491E-2</v>
      </c>
      <c r="E84" s="5">
        <f t="shared" si="22"/>
        <v>4</v>
      </c>
      <c r="F84" s="5">
        <f t="shared" si="18"/>
        <v>3.642115720036293E-2</v>
      </c>
      <c r="G84" s="4">
        <f t="shared" si="25"/>
        <v>9.1052893000907326E-3</v>
      </c>
      <c r="H84" s="128">
        <f t="shared" si="23"/>
        <v>1.7000000000000004</v>
      </c>
      <c r="I84" s="5">
        <f t="shared" si="19"/>
        <v>2.7726814437078473E-3</v>
      </c>
      <c r="J84" s="4">
        <f t="shared" si="26"/>
        <v>1.6309890845340274E-3</v>
      </c>
      <c r="K84" s="128">
        <f t="shared" si="27"/>
        <v>6.9</v>
      </c>
      <c r="L84" s="19">
        <f t="shared" si="28"/>
        <v>0.11038389760062817</v>
      </c>
      <c r="M84" s="195">
        <f t="shared" si="29"/>
        <v>1.5997666318931618E-2</v>
      </c>
      <c r="N84" s="440">
        <f t="shared" si="30"/>
        <v>-0.1066022224881521</v>
      </c>
      <c r="O84" s="448">
        <f t="shared" si="31"/>
        <v>-0.10251912029649579</v>
      </c>
      <c r="P84" s="444">
        <f t="shared" si="32"/>
        <v>-0.1141807036722049</v>
      </c>
      <c r="Q84" s="445">
        <f t="shared" si="33"/>
        <v>-0.11054315932366554</v>
      </c>
    </row>
    <row r="85" spans="1:17" x14ac:dyDescent="0.2">
      <c r="A85" s="180">
        <f t="shared" si="20"/>
        <v>2085</v>
      </c>
      <c r="B85" s="128">
        <f t="shared" si="21"/>
        <v>1.2</v>
      </c>
      <c r="C85" s="5">
        <f t="shared" si="17"/>
        <v>6.3879623296054455E-2</v>
      </c>
      <c r="D85" s="195">
        <f t="shared" si="24"/>
        <v>5.3233019413378713E-2</v>
      </c>
      <c r="E85" s="5">
        <f t="shared" si="22"/>
        <v>4</v>
      </c>
      <c r="F85" s="5">
        <f t="shared" si="18"/>
        <v>3.2256078265140542E-2</v>
      </c>
      <c r="G85" s="4">
        <f t="shared" si="25"/>
        <v>8.0640195662851355E-3</v>
      </c>
      <c r="H85" s="128">
        <f t="shared" si="23"/>
        <v>1.7000000000000004</v>
      </c>
      <c r="I85" s="5">
        <f t="shared" si="19"/>
        <v>2.4656926009999809E-3</v>
      </c>
      <c r="J85" s="4">
        <f t="shared" si="26"/>
        <v>1.4504074123529297E-3</v>
      </c>
      <c r="K85" s="128">
        <f t="shared" si="27"/>
        <v>6.9</v>
      </c>
      <c r="L85" s="19">
        <f t="shared" si="28"/>
        <v>9.8601394162194975E-2</v>
      </c>
      <c r="M85" s="195">
        <f t="shared" si="29"/>
        <v>1.4290057124955792E-2</v>
      </c>
      <c r="N85" s="440">
        <f t="shared" si="30"/>
        <v>-0.10674114336008134</v>
      </c>
      <c r="O85" s="448">
        <f t="shared" si="31"/>
        <v>-0.1026889957341377</v>
      </c>
      <c r="P85" s="444">
        <f t="shared" si="32"/>
        <v>-0.11435877537633221</v>
      </c>
      <c r="Q85" s="445">
        <f t="shared" si="33"/>
        <v>-0.11071911755478725</v>
      </c>
    </row>
    <row r="86" spans="1:17" x14ac:dyDescent="0.2">
      <c r="A86" s="180">
        <f t="shared" si="20"/>
        <v>2086</v>
      </c>
      <c r="B86" s="128">
        <f t="shared" si="21"/>
        <v>1.2</v>
      </c>
      <c r="C86" s="5">
        <f t="shared" si="17"/>
        <v>5.7309331890962878E-2</v>
      </c>
      <c r="D86" s="195">
        <f t="shared" si="24"/>
        <v>4.7757776575802401E-2</v>
      </c>
      <c r="E86" s="5">
        <f t="shared" si="22"/>
        <v>4</v>
      </c>
      <c r="F86" s="5">
        <f t="shared" si="18"/>
        <v>2.8561729362024724E-2</v>
      </c>
      <c r="G86" s="4">
        <f t="shared" si="25"/>
        <v>7.1404323405061809E-3</v>
      </c>
      <c r="H86" s="128">
        <f t="shared" si="23"/>
        <v>1.7000000000000004</v>
      </c>
      <c r="I86" s="5">
        <f t="shared" si="19"/>
        <v>2.192271468395221E-3</v>
      </c>
      <c r="J86" s="4">
        <f t="shared" si="26"/>
        <v>1.2895714519971886E-3</v>
      </c>
      <c r="K86" s="128">
        <f t="shared" si="27"/>
        <v>6.9</v>
      </c>
      <c r="L86" s="19">
        <f t="shared" si="28"/>
        <v>8.8063332721382823E-2</v>
      </c>
      <c r="M86" s="195">
        <f t="shared" si="29"/>
        <v>1.2762801843678669E-2</v>
      </c>
      <c r="N86" s="440">
        <f t="shared" si="30"/>
        <v>-0.1068753797078924</v>
      </c>
      <c r="O86" s="448">
        <f t="shared" si="31"/>
        <v>-0.10285426034278744</v>
      </c>
      <c r="P86" s="444">
        <f t="shared" si="32"/>
        <v>-0.1145318681567169</v>
      </c>
      <c r="Q86" s="445">
        <f t="shared" si="33"/>
        <v>-0.11089019470386208</v>
      </c>
    </row>
    <row r="87" spans="1:17" x14ac:dyDescent="0.2">
      <c r="A87" s="180">
        <f t="shared" si="20"/>
        <v>2087</v>
      </c>
      <c r="B87" s="128">
        <f t="shared" si="21"/>
        <v>1.2</v>
      </c>
      <c r="C87" s="5">
        <f t="shared" si="17"/>
        <v>5.1405605373542773E-2</v>
      </c>
      <c r="D87" s="195">
        <f t="shared" si="24"/>
        <v>4.2838004477952316E-2</v>
      </c>
      <c r="E87" s="5">
        <f t="shared" si="22"/>
        <v>4</v>
      </c>
      <c r="F87" s="5">
        <f t="shared" si="18"/>
        <v>2.5285693635967554E-2</v>
      </c>
      <c r="G87" s="4">
        <f t="shared" si="25"/>
        <v>6.3214234089918886E-3</v>
      </c>
      <c r="H87" s="128">
        <f t="shared" si="23"/>
        <v>1.7000000000000004</v>
      </c>
      <c r="I87" s="5">
        <f t="shared" si="19"/>
        <v>1.9488052723620163E-3</v>
      </c>
      <c r="J87" s="4">
        <f t="shared" si="26"/>
        <v>1.1463560425658916E-3</v>
      </c>
      <c r="K87" s="128">
        <f t="shared" si="27"/>
        <v>6.9</v>
      </c>
      <c r="L87" s="19">
        <f t="shared" si="28"/>
        <v>7.8640104281872347E-2</v>
      </c>
      <c r="M87" s="195">
        <f t="shared" si="29"/>
        <v>1.1397116562590195E-2</v>
      </c>
      <c r="N87" s="440">
        <f t="shared" si="30"/>
        <v>-0.10700513083378238</v>
      </c>
      <c r="O87" s="448">
        <f t="shared" si="31"/>
        <v>-0.10301509933238406</v>
      </c>
      <c r="P87" s="444">
        <f t="shared" si="32"/>
        <v>-0.11470018795195713</v>
      </c>
      <c r="Q87" s="445">
        <f t="shared" si="33"/>
        <v>-0.1110565910942708</v>
      </c>
    </row>
    <row r="88" spans="1:17" x14ac:dyDescent="0.2">
      <c r="A88" s="180">
        <f t="shared" si="20"/>
        <v>2088</v>
      </c>
      <c r="B88" s="128">
        <f t="shared" si="21"/>
        <v>1.2</v>
      </c>
      <c r="C88" s="5">
        <f t="shared" si="17"/>
        <v>4.6102002288086197E-2</v>
      </c>
      <c r="D88" s="195">
        <f t="shared" si="24"/>
        <v>3.8418335240071835E-2</v>
      </c>
      <c r="E88" s="5">
        <f t="shared" si="22"/>
        <v>4</v>
      </c>
      <c r="F88" s="5">
        <f t="shared" si="18"/>
        <v>2.2381279504861851E-2</v>
      </c>
      <c r="G88" s="4">
        <f t="shared" si="25"/>
        <v>5.5953198762154627E-3</v>
      </c>
      <c r="H88" s="128">
        <f t="shared" si="23"/>
        <v>1.7000000000000004</v>
      </c>
      <c r="I88" s="5">
        <f t="shared" si="19"/>
        <v>1.7320620805142684E-3</v>
      </c>
      <c r="J88" s="4">
        <f t="shared" si="26"/>
        <v>1.0188600473613342E-3</v>
      </c>
      <c r="K88" s="128">
        <f t="shared" si="27"/>
        <v>6.9</v>
      </c>
      <c r="L88" s="19">
        <f t="shared" si="28"/>
        <v>7.0215343873462316E-2</v>
      </c>
      <c r="M88" s="195">
        <f t="shared" si="29"/>
        <v>1.0176136793255408E-2</v>
      </c>
      <c r="N88" s="440">
        <f t="shared" si="30"/>
        <v>-0.10713058540986775</v>
      </c>
      <c r="O88" s="448">
        <f t="shared" si="31"/>
        <v>-0.10317168812462252</v>
      </c>
      <c r="P88" s="444">
        <f t="shared" si="32"/>
        <v>-0.11486392949783786</v>
      </c>
      <c r="Q88" s="445">
        <f t="shared" si="33"/>
        <v>-0.11121849623541302</v>
      </c>
    </row>
    <row r="89" spans="1:17" x14ac:dyDescent="0.2">
      <c r="A89" s="180">
        <f t="shared" si="20"/>
        <v>2089</v>
      </c>
      <c r="B89" s="128">
        <f t="shared" si="21"/>
        <v>1.2</v>
      </c>
      <c r="C89" s="5">
        <f t="shared" si="17"/>
        <v>4.1338550106410188E-2</v>
      </c>
      <c r="D89" s="195">
        <f t="shared" si="24"/>
        <v>3.4448791755341823E-2</v>
      </c>
      <c r="E89" s="5">
        <f t="shared" si="22"/>
        <v>4</v>
      </c>
      <c r="F89" s="5">
        <f t="shared" si="18"/>
        <v>1.9806911390999549E-2</v>
      </c>
      <c r="G89" s="4">
        <f t="shared" si="25"/>
        <v>4.9517278477498872E-3</v>
      </c>
      <c r="H89" s="128">
        <f t="shared" si="23"/>
        <v>1.7000000000000004</v>
      </c>
      <c r="I89" s="5">
        <f t="shared" si="19"/>
        <v>1.539151779141372E-3</v>
      </c>
      <c r="J89" s="4">
        <f t="shared" si="26"/>
        <v>9.053833994949245E-4</v>
      </c>
      <c r="K89" s="128">
        <f t="shared" si="27"/>
        <v>6.9</v>
      </c>
      <c r="L89" s="19">
        <f t="shared" si="28"/>
        <v>6.2684613276551115E-2</v>
      </c>
      <c r="M89" s="195">
        <f t="shared" si="29"/>
        <v>9.0847265618190023E-3</v>
      </c>
      <c r="N89" s="440">
        <f t="shared" si="30"/>
        <v>-0.10725192217932611</v>
      </c>
      <c r="O89" s="448">
        <f t="shared" si="31"/>
        <v>-0.10332419299078888</v>
      </c>
      <c r="P89" s="444">
        <f t="shared" si="32"/>
        <v>-0.11502327707864402</v>
      </c>
      <c r="Q89" s="445">
        <f t="shared" si="33"/>
        <v>-0.11137608954271383</v>
      </c>
    </row>
    <row r="90" spans="1:17" x14ac:dyDescent="0.2">
      <c r="A90" s="180">
        <f t="shared" si="20"/>
        <v>2090</v>
      </c>
      <c r="B90" s="128">
        <f t="shared" si="21"/>
        <v>1.2</v>
      </c>
      <c r="C90" s="5">
        <f t="shared" si="17"/>
        <v>3.706113575127451E-2</v>
      </c>
      <c r="D90" s="195">
        <f t="shared" si="24"/>
        <v>3.0884279792728758E-2</v>
      </c>
      <c r="E90" s="5">
        <f t="shared" si="22"/>
        <v>4</v>
      </c>
      <c r="F90" s="5">
        <f t="shared" si="18"/>
        <v>1.7525582924665717E-2</v>
      </c>
      <c r="G90" s="4">
        <f t="shared" si="25"/>
        <v>4.3813957311664292E-3</v>
      </c>
      <c r="H90" s="128">
        <f t="shared" si="23"/>
        <v>1.7000000000000004</v>
      </c>
      <c r="I90" s="5">
        <f t="shared" si="19"/>
        <v>1.3674908876830667E-3</v>
      </c>
      <c r="J90" s="4">
        <f t="shared" si="26"/>
        <v>8.0440640451945084E-4</v>
      </c>
      <c r="K90" s="128">
        <f t="shared" si="27"/>
        <v>6.9</v>
      </c>
      <c r="L90" s="19">
        <f t="shared" si="28"/>
        <v>5.5954209563623292E-2</v>
      </c>
      <c r="M90" s="195">
        <f t="shared" si="29"/>
        <v>8.1093057338584469E-3</v>
      </c>
      <c r="N90" s="440">
        <f t="shared" si="30"/>
        <v>-0.10736931060314148</v>
      </c>
      <c r="O90" s="448">
        <f t="shared" si="31"/>
        <v>-0.10347277164112245</v>
      </c>
      <c r="P90" s="444">
        <f t="shared" si="32"/>
        <v>-0.11517840521922507</v>
      </c>
      <c r="Q90" s="445">
        <f t="shared" si="33"/>
        <v>-0.11152954100086721</v>
      </c>
    </row>
    <row r="91" spans="1:17" x14ac:dyDescent="0.2">
      <c r="A91" s="180">
        <f t="shared" si="20"/>
        <v>2091</v>
      </c>
      <c r="B91" s="128">
        <f t="shared" si="21"/>
        <v>1.2</v>
      </c>
      <c r="C91" s="5">
        <f t="shared" si="17"/>
        <v>3.3220950783625525E-2</v>
      </c>
      <c r="D91" s="195">
        <f t="shared" si="24"/>
        <v>2.7684125653021273E-2</v>
      </c>
      <c r="E91" s="5">
        <f t="shared" si="22"/>
        <v>4</v>
      </c>
      <c r="F91" s="5">
        <f t="shared" si="18"/>
        <v>1.5504366571140835E-2</v>
      </c>
      <c r="G91" s="4">
        <f t="shared" si="25"/>
        <v>3.8760916427852087E-3</v>
      </c>
      <c r="H91" s="128">
        <f t="shared" si="23"/>
        <v>1.7000000000000004</v>
      </c>
      <c r="I91" s="5">
        <f t="shared" si="19"/>
        <v>1.2147708567347669E-3</v>
      </c>
      <c r="J91" s="4">
        <f t="shared" si="26"/>
        <v>7.1457109219692154E-4</v>
      </c>
      <c r="K91" s="128">
        <f t="shared" si="27"/>
        <v>6.9</v>
      </c>
      <c r="L91" s="19">
        <f t="shared" si="28"/>
        <v>4.994008821150113E-2</v>
      </c>
      <c r="M91" s="195">
        <f t="shared" si="29"/>
        <v>7.2376939436958158E-3</v>
      </c>
      <c r="N91" s="440">
        <f t="shared" si="30"/>
        <v>-0.10748291145608524</v>
      </c>
      <c r="O91" s="448">
        <f t="shared" si="31"/>
        <v>-0.10361757376841652</v>
      </c>
      <c r="P91" s="444">
        <f t="shared" si="32"/>
        <v>-0.1153294793224936</v>
      </c>
      <c r="Q91" s="445">
        <f t="shared" si="33"/>
        <v>-0.11167901177539297</v>
      </c>
    </row>
    <row r="92" spans="1:17" x14ac:dyDescent="0.2">
      <c r="A92" s="180">
        <f t="shared" si="20"/>
        <v>2092</v>
      </c>
      <c r="B92" s="128">
        <f t="shared" si="21"/>
        <v>1.2</v>
      </c>
      <c r="C92" s="5">
        <f t="shared" si="17"/>
        <v>2.9773986737173908E-2</v>
      </c>
      <c r="D92" s="195">
        <f t="shared" si="24"/>
        <v>2.481165561431159E-2</v>
      </c>
      <c r="E92" s="5">
        <f t="shared" si="22"/>
        <v>4</v>
      </c>
      <c r="F92" s="5">
        <f t="shared" si="18"/>
        <v>1.3713974162109427E-2</v>
      </c>
      <c r="G92" s="4">
        <f t="shared" si="25"/>
        <v>3.4284935405273567E-3</v>
      </c>
      <c r="H92" s="128">
        <f t="shared" si="23"/>
        <v>1.7000000000000004</v>
      </c>
      <c r="I92" s="5">
        <f t="shared" si="19"/>
        <v>1.0789295250468491E-3</v>
      </c>
      <c r="J92" s="4">
        <f t="shared" si="26"/>
        <v>6.3466442649814632E-4</v>
      </c>
      <c r="K92" s="128">
        <f t="shared" si="27"/>
        <v>6.9</v>
      </c>
      <c r="L92" s="19">
        <f t="shared" si="28"/>
        <v>4.456689042433018E-2</v>
      </c>
      <c r="M92" s="195">
        <f t="shared" si="29"/>
        <v>6.4589696267145181E-3</v>
      </c>
      <c r="N92" s="440">
        <f t="shared" si="30"/>
        <v>-0.10759287737768775</v>
      </c>
      <c r="O92" s="448">
        <f t="shared" si="31"/>
        <v>-0.10375874155144926</v>
      </c>
      <c r="P92" s="444">
        <f t="shared" si="32"/>
        <v>-0.11547665625785497</v>
      </c>
      <c r="Q92" s="445">
        <f t="shared" si="33"/>
        <v>-0.11182465477732273</v>
      </c>
    </row>
    <row r="93" spans="1:17" x14ac:dyDescent="0.2">
      <c r="A93" s="180">
        <f t="shared" si="20"/>
        <v>2093</v>
      </c>
      <c r="B93" s="128">
        <f t="shared" si="21"/>
        <v>1.2</v>
      </c>
      <c r="C93" s="5">
        <f t="shared" si="17"/>
        <v>2.6680576400212652E-2</v>
      </c>
      <c r="D93" s="195">
        <f t="shared" si="24"/>
        <v>2.2233813666843877E-2</v>
      </c>
      <c r="E93" s="5">
        <f t="shared" si="22"/>
        <v>4</v>
      </c>
      <c r="F93" s="5">
        <f t="shared" si="18"/>
        <v>1.212836330511019E-2</v>
      </c>
      <c r="G93" s="4">
        <f t="shared" si="25"/>
        <v>3.0320908262775476E-3</v>
      </c>
      <c r="H93" s="128">
        <f t="shared" si="23"/>
        <v>1.7000000000000004</v>
      </c>
      <c r="I93" s="5">
        <f t="shared" si="19"/>
        <v>9.5812543810427832E-4</v>
      </c>
      <c r="J93" s="4">
        <f t="shared" si="26"/>
        <v>5.6360319888486949E-4</v>
      </c>
      <c r="K93" s="128">
        <f t="shared" si="27"/>
        <v>6.9</v>
      </c>
      <c r="L93" s="19">
        <f t="shared" si="28"/>
        <v>3.9767065143427122E-2</v>
      </c>
      <c r="M93" s="195">
        <f t="shared" si="29"/>
        <v>5.7633427744097276E-3</v>
      </c>
      <c r="N93" s="440">
        <f t="shared" si="30"/>
        <v>-0.10769935338101833</v>
      </c>
      <c r="O93" s="448">
        <f t="shared" si="31"/>
        <v>-0.10389641012028195</v>
      </c>
      <c r="P93" s="444">
        <f t="shared" si="32"/>
        <v>-0.11562008490435605</v>
      </c>
      <c r="Q93" s="445">
        <f t="shared" si="33"/>
        <v>-0.11196661518492157</v>
      </c>
    </row>
    <row r="94" spans="1:17" x14ac:dyDescent="0.2">
      <c r="A94" s="180">
        <f t="shared" si="20"/>
        <v>2094</v>
      </c>
      <c r="B94" s="128">
        <f t="shared" si="21"/>
        <v>1.2</v>
      </c>
      <c r="C94" s="5">
        <f t="shared" si="17"/>
        <v>2.3904977147769541E-2</v>
      </c>
      <c r="D94" s="195">
        <f t="shared" si="24"/>
        <v>1.992081428980795E-2</v>
      </c>
      <c r="E94" s="5">
        <f t="shared" si="22"/>
        <v>4</v>
      </c>
      <c r="F94" s="5">
        <f t="shared" si="18"/>
        <v>1.0724385101055167E-2</v>
      </c>
      <c r="G94" s="4">
        <f t="shared" si="25"/>
        <v>2.6810962752637918E-3</v>
      </c>
      <c r="H94" s="128">
        <f t="shared" si="23"/>
        <v>1.7000000000000004</v>
      </c>
      <c r="I94" s="5">
        <f t="shared" si="19"/>
        <v>8.5071475623418012E-4</v>
      </c>
      <c r="J94" s="4">
        <f t="shared" si="26"/>
        <v>5.0042044484363524E-4</v>
      </c>
      <c r="K94" s="128">
        <f t="shared" si="27"/>
        <v>6.9</v>
      </c>
      <c r="L94" s="19">
        <f t="shared" si="28"/>
        <v>3.548007700505889E-2</v>
      </c>
      <c r="M94" s="195">
        <f t="shared" si="29"/>
        <v>5.142040145660708E-3</v>
      </c>
      <c r="N94" s="440">
        <f t="shared" si="30"/>
        <v>-0.1078024773240478</v>
      </c>
      <c r="O94" s="448">
        <f t="shared" si="31"/>
        <v>-0.10403070798803993</v>
      </c>
      <c r="P94" s="444">
        <f t="shared" si="32"/>
        <v>-0.11575990665314817</v>
      </c>
      <c r="Q94" s="445">
        <f t="shared" si="33"/>
        <v>-0.11210503092644963</v>
      </c>
    </row>
    <row r="95" spans="1:17" x14ac:dyDescent="0.2">
      <c r="A95" s="180">
        <f t="shared" si="20"/>
        <v>2095</v>
      </c>
      <c r="B95" s="128">
        <f t="shared" si="21"/>
        <v>1.2</v>
      </c>
      <c r="C95" s="5">
        <f t="shared" si="17"/>
        <v>2.1414992716236814E-2</v>
      </c>
      <c r="D95" s="195">
        <f t="shared" si="24"/>
        <v>1.7845827263530678E-2</v>
      </c>
      <c r="E95" s="5">
        <f t="shared" si="22"/>
        <v>4</v>
      </c>
      <c r="F95" s="5">
        <f t="shared" si="18"/>
        <v>9.4814690213091551E-3</v>
      </c>
      <c r="G95" s="4">
        <f t="shared" si="25"/>
        <v>2.3703672553272888E-3</v>
      </c>
      <c r="H95" s="128">
        <f t="shared" si="23"/>
        <v>1.7000000000000004</v>
      </c>
      <c r="I95" s="5">
        <f t="shared" si="19"/>
        <v>7.5523050381273021E-4</v>
      </c>
      <c r="J95" s="4">
        <f t="shared" si="26"/>
        <v>4.4425323753690001E-4</v>
      </c>
      <c r="K95" s="128">
        <f t="shared" si="27"/>
        <v>6.9</v>
      </c>
      <c r="L95" s="19">
        <f t="shared" si="28"/>
        <v>3.1651692241358699E-2</v>
      </c>
      <c r="M95" s="195">
        <f t="shared" si="29"/>
        <v>4.5872017741099558E-3</v>
      </c>
      <c r="N95" s="440">
        <f t="shared" si="30"/>
        <v>-0.10790238034585786</v>
      </c>
      <c r="O95" s="448">
        <f t="shared" si="31"/>
        <v>-0.10416175745079326</v>
      </c>
      <c r="P95" s="444">
        <f t="shared" si="32"/>
        <v>-0.11589625587239705</v>
      </c>
      <c r="Q95" s="445">
        <f t="shared" si="33"/>
        <v>-0.11224003312711495</v>
      </c>
    </row>
    <row r="96" spans="1:17" x14ac:dyDescent="0.2">
      <c r="A96" s="180">
        <f t="shared" si="20"/>
        <v>2096</v>
      </c>
      <c r="B96" s="128">
        <f t="shared" si="21"/>
        <v>1.2</v>
      </c>
      <c r="C96" s="5">
        <f t="shared" si="17"/>
        <v>1.9181630086610224E-2</v>
      </c>
      <c r="D96" s="195">
        <f t="shared" si="24"/>
        <v>1.5984691738841855E-2</v>
      </c>
      <c r="E96" s="5">
        <f t="shared" si="22"/>
        <v>4</v>
      </c>
      <c r="F96" s="5">
        <f t="shared" si="18"/>
        <v>8.3813411838502411E-3</v>
      </c>
      <c r="G96" s="4">
        <f t="shared" si="25"/>
        <v>2.0953352959625603E-3</v>
      </c>
      <c r="H96" s="128">
        <f t="shared" si="23"/>
        <v>1.7000000000000004</v>
      </c>
      <c r="I96" s="5">
        <f t="shared" si="19"/>
        <v>6.7036393307152824E-4</v>
      </c>
      <c r="J96" s="4">
        <f t="shared" si="26"/>
        <v>3.9433172533619301E-4</v>
      </c>
      <c r="K96" s="128">
        <f t="shared" si="27"/>
        <v>6.9</v>
      </c>
      <c r="L96" s="19">
        <f t="shared" si="28"/>
        <v>2.8233335203531995E-2</v>
      </c>
      <c r="M96" s="195">
        <f t="shared" si="29"/>
        <v>4.0917877106568107E-3</v>
      </c>
      <c r="N96" s="440">
        <f t="shared" si="30"/>
        <v>-0.10799918727125746</v>
      </c>
      <c r="O96" s="448">
        <f t="shared" si="31"/>
        <v>-0.10428967495904207</v>
      </c>
      <c r="P96" s="444">
        <f t="shared" si="32"/>
        <v>-0.11602926033786842</v>
      </c>
      <c r="Q96" s="445">
        <f t="shared" si="33"/>
        <v>-0.11237174652342408</v>
      </c>
    </row>
    <row r="97" spans="1:17" x14ac:dyDescent="0.2">
      <c r="A97" s="180">
        <f t="shared" si="20"/>
        <v>2097</v>
      </c>
      <c r="B97" s="128">
        <f t="shared" si="21"/>
        <v>1.2</v>
      </c>
      <c r="C97" s="5">
        <f t="shared" si="17"/>
        <v>1.7178788401153222E-2</v>
      </c>
      <c r="D97" s="195">
        <f t="shared" si="24"/>
        <v>1.4315657000961018E-2</v>
      </c>
      <c r="E97" s="5">
        <f t="shared" si="22"/>
        <v>4</v>
      </c>
      <c r="F97" s="5">
        <f t="shared" si="18"/>
        <v>7.4077726243387543E-3</v>
      </c>
      <c r="G97" s="4">
        <f t="shared" si="25"/>
        <v>1.8519431560846886E-3</v>
      </c>
      <c r="H97" s="128">
        <f t="shared" si="23"/>
        <v>1.7000000000000004</v>
      </c>
      <c r="I97" s="5">
        <f t="shared" si="19"/>
        <v>5.9494779629762698E-4</v>
      </c>
      <c r="J97" s="4">
        <f t="shared" si="26"/>
        <v>3.4996929193978051E-4</v>
      </c>
      <c r="K97" s="128">
        <f t="shared" si="27"/>
        <v>6.9</v>
      </c>
      <c r="L97" s="19">
        <f t="shared" si="28"/>
        <v>2.5181508821789603E-2</v>
      </c>
      <c r="M97" s="195">
        <f t="shared" si="29"/>
        <v>3.6494940321434204E-3</v>
      </c>
      <c r="N97" s="440">
        <f t="shared" si="30"/>
        <v>-0.10809301698655172</v>
      </c>
      <c r="O97" s="448">
        <f t="shared" si="31"/>
        <v>-0.1044145714630943</v>
      </c>
      <c r="P97" s="444">
        <f t="shared" si="32"/>
        <v>-0.11615904163255253</v>
      </c>
      <c r="Q97" s="445">
        <f t="shared" si="33"/>
        <v>-0.11250028984756599</v>
      </c>
    </row>
    <row r="98" spans="1:17" x14ac:dyDescent="0.2">
      <c r="A98" s="180">
        <f t="shared" si="20"/>
        <v>2098</v>
      </c>
      <c r="B98" s="128">
        <f t="shared" si="21"/>
        <v>1.2</v>
      </c>
      <c r="C98" s="5">
        <f t="shared" si="17"/>
        <v>1.5382977081556781E-2</v>
      </c>
      <c r="D98" s="195">
        <f t="shared" si="24"/>
        <v>1.2819147567963984E-2</v>
      </c>
      <c r="E98" s="5">
        <f t="shared" si="22"/>
        <v>4</v>
      </c>
      <c r="F98" s="5">
        <f t="shared" si="18"/>
        <v>6.5463544843298097E-3</v>
      </c>
      <c r="G98" s="4">
        <f t="shared" si="25"/>
        <v>1.6365886210824524E-3</v>
      </c>
      <c r="H98" s="128">
        <f t="shared" si="23"/>
        <v>1.7000000000000004</v>
      </c>
      <c r="I98" s="5">
        <f t="shared" si="19"/>
        <v>5.2794133895039692E-4</v>
      </c>
      <c r="J98" s="4">
        <f t="shared" si="26"/>
        <v>3.1055372879435107E-4</v>
      </c>
      <c r="K98" s="128">
        <f t="shared" si="27"/>
        <v>6.9</v>
      </c>
      <c r="L98" s="19">
        <f t="shared" si="28"/>
        <v>2.2457272904836987E-2</v>
      </c>
      <c r="M98" s="195">
        <f t="shared" si="29"/>
        <v>3.2546772325850702E-3</v>
      </c>
      <c r="N98" s="440">
        <f t="shared" si="30"/>
        <v>-0.10818398278801034</v>
      </c>
      <c r="O98" s="448">
        <f t="shared" si="31"/>
        <v>-0.10453655273359597</v>
      </c>
      <c r="P98" s="444">
        <f t="shared" si="32"/>
        <v>-0.11628571551706313</v>
      </c>
      <c r="Q98" s="445">
        <f t="shared" si="33"/>
        <v>-0.11262577618441938</v>
      </c>
    </row>
    <row r="99" spans="1:17" x14ac:dyDescent="0.2">
      <c r="A99" s="180">
        <f t="shared" si="20"/>
        <v>2099</v>
      </c>
      <c r="B99" s="128">
        <f t="shared" si="21"/>
        <v>1.2</v>
      </c>
      <c r="C99" s="5">
        <f t="shared" si="17"/>
        <v>1.3773060544561455E-2</v>
      </c>
      <c r="D99" s="195">
        <f t="shared" si="24"/>
        <v>1.1477550453801213E-2</v>
      </c>
      <c r="E99" s="5">
        <f t="shared" si="22"/>
        <v>4</v>
      </c>
      <c r="F99" s="5">
        <f t="shared" si="18"/>
        <v>5.7842973371969725E-3</v>
      </c>
      <c r="G99" s="4">
        <f t="shared" si="25"/>
        <v>1.4460743342992431E-3</v>
      </c>
      <c r="H99" s="128">
        <f t="shared" si="23"/>
        <v>1.7000000000000004</v>
      </c>
      <c r="I99" s="5">
        <f t="shared" si="19"/>
        <v>4.6841684346063221E-4</v>
      </c>
      <c r="J99" s="4">
        <f t="shared" si="26"/>
        <v>2.7553931968272478E-4</v>
      </c>
      <c r="K99" s="128">
        <f t="shared" si="27"/>
        <v>6.9</v>
      </c>
      <c r="L99" s="19">
        <f t="shared" si="28"/>
        <v>2.0025774725219062E-2</v>
      </c>
      <c r="M99" s="195">
        <f t="shared" si="29"/>
        <v>2.9022861920607332E-3</v>
      </c>
      <c r="N99" s="440">
        <f t="shared" si="30"/>
        <v>-0.10827219270663158</v>
      </c>
      <c r="O99" s="448">
        <f t="shared" si="31"/>
        <v>-0.10465571966076148</v>
      </c>
      <c r="P99" s="444">
        <f t="shared" si="32"/>
        <v>-0.11640939227427949</v>
      </c>
      <c r="Q99" s="445">
        <f t="shared" si="33"/>
        <v>-0.11274831330334101</v>
      </c>
    </row>
    <row r="100" spans="1:17" ht="13.5" thickBot="1" x14ac:dyDescent="0.25">
      <c r="A100" s="498">
        <f t="shared" si="20"/>
        <v>2100</v>
      </c>
      <c r="B100" s="499">
        <f t="shared" si="21"/>
        <v>1.2</v>
      </c>
      <c r="C100" s="500">
        <f t="shared" si="17"/>
        <v>1.2330027123982401E-2</v>
      </c>
      <c r="D100" s="204">
        <f t="shared" si="24"/>
        <v>1.0275022603318668E-2</v>
      </c>
      <c r="E100" s="500">
        <f t="shared" si="22"/>
        <v>4</v>
      </c>
      <c r="F100" s="500">
        <f t="shared" si="18"/>
        <v>5.1102521445029123E-3</v>
      </c>
      <c r="G100" s="501">
        <f t="shared" si="25"/>
        <v>1.2775630361257281E-3</v>
      </c>
      <c r="H100" s="499">
        <f t="shared" si="23"/>
        <v>1.7000000000000004</v>
      </c>
      <c r="I100" s="500">
        <f t="shared" si="19"/>
        <v>4.1554756931475728E-4</v>
      </c>
      <c r="J100" s="501">
        <f t="shared" si="26"/>
        <v>2.4443974665573951E-4</v>
      </c>
      <c r="K100" s="499">
        <f t="shared" si="27"/>
        <v>6.9</v>
      </c>
      <c r="L100" s="268">
        <f t="shared" si="28"/>
        <v>1.7855826837800071E-2</v>
      </c>
      <c r="M100" s="204">
        <f t="shared" si="29"/>
        <v>2.5878009909855175E-3</v>
      </c>
      <c r="N100" s="441">
        <f t="shared" si="30"/>
        <v>-0.10835774980961466</v>
      </c>
      <c r="O100" s="449">
        <f t="shared" si="31"/>
        <v>-0.10477216853220483</v>
      </c>
      <c r="P100" s="446">
        <f t="shared" si="32"/>
        <v>-0.11653017702936719</v>
      </c>
      <c r="Q100" s="447">
        <f t="shared" si="33"/>
        <v>-0.11286800396689467</v>
      </c>
    </row>
    <row r="101" spans="1:17" x14ac:dyDescent="0.2">
      <c r="A101" s="659" t="s">
        <v>1</v>
      </c>
      <c r="B101" s="197"/>
      <c r="C101" s="207">
        <f>SUM(C51:C100)</f>
        <v>22.551884926092182</v>
      </c>
      <c r="D101" s="208"/>
      <c r="E101" s="207"/>
      <c r="F101" s="207">
        <f>SUM(F51:F100)</f>
        <v>15.807264645149509</v>
      </c>
      <c r="G101" s="207"/>
      <c r="H101" s="209"/>
      <c r="I101" s="207">
        <f>SUM(I51:I100)</f>
        <v>1.0887306265605419</v>
      </c>
      <c r="J101" s="207"/>
      <c r="K101" s="210"/>
      <c r="L101" s="207">
        <f>SUM(L51:L100)</f>
        <v>39.447880197802228</v>
      </c>
      <c r="M101" s="198"/>
    </row>
    <row r="102" spans="1:17" ht="13.5" thickBot="1" x14ac:dyDescent="0.25">
      <c r="A102" s="180" t="s">
        <v>52</v>
      </c>
      <c r="B102" s="197"/>
      <c r="C102" s="211">
        <f>C$11*EXP(-C$8*($A100-$A$11))/C$8^2*((C$7*C$8+C$8^2)*($A100-$A$11)+2*C$8+C$7)</f>
        <v>0.10433893745325071</v>
      </c>
      <c r="D102" s="208"/>
      <c r="E102" s="207"/>
      <c r="F102" s="211">
        <f>F$11*EXP(-F$8*($A100-$A$11))/F$8^2*((F$7*F$8+F$8^2)*($A100-$A$11)+2*F$8+F$7)</f>
        <v>3.8421083218675517E-2</v>
      </c>
      <c r="G102" s="207"/>
      <c r="H102" s="209"/>
      <c r="I102" s="211">
        <f>I$11*EXP(-I$8*($A100-$A$11))/I$8^2*((I$7*I$8+I$8^2)*($A100-$A$11)+2*I$8+I$7)</f>
        <v>3.2377314535498615E-3</v>
      </c>
      <c r="J102" s="207"/>
      <c r="K102" s="212"/>
      <c r="L102" s="213">
        <f>I102+F102+C102</f>
        <v>0.14599775212547608</v>
      </c>
      <c r="M102" s="204"/>
    </row>
    <row r="103" spans="1:17" ht="13.5" thickBot="1" x14ac:dyDescent="0.25">
      <c r="A103" s="143" t="s">
        <v>1</v>
      </c>
      <c r="B103" s="199"/>
      <c r="C103" s="145">
        <f>SUM(C101:C102)</f>
        <v>22.656223863545431</v>
      </c>
      <c r="D103" s="200"/>
      <c r="E103" s="145"/>
      <c r="F103" s="145">
        <f>SUM(F101:F102)</f>
        <v>15.845685728368185</v>
      </c>
      <c r="G103" s="146"/>
      <c r="H103" s="144"/>
      <c r="I103" s="145">
        <f>SUM(I101:I102)</f>
        <v>1.0919683580140918</v>
      </c>
      <c r="J103" s="146"/>
      <c r="K103" s="144"/>
      <c r="L103" s="147">
        <f>SUM(L101:L102)</f>
        <v>39.593877949927702</v>
      </c>
      <c r="M103" s="148"/>
    </row>
    <row r="104" spans="1:17" ht="13.5" thickBot="1" x14ac:dyDescent="0.25"/>
    <row r="105" spans="1:17" s="1" customFormat="1" ht="13.5" thickBot="1" x14ac:dyDescent="0.25">
      <c r="A105" s="143" t="s">
        <v>1</v>
      </c>
      <c r="B105" s="562"/>
      <c r="C105" s="572">
        <f>C103+C43</f>
        <v>344.21462066407167</v>
      </c>
      <c r="D105" s="563"/>
      <c r="E105" s="456"/>
      <c r="F105" s="572">
        <f>F103+F43</f>
        <v>319.6278620452095</v>
      </c>
      <c r="G105" s="456"/>
      <c r="H105" s="562"/>
      <c r="I105" s="572">
        <f>I103+I43</f>
        <v>20.123722681361119</v>
      </c>
      <c r="J105" s="563"/>
      <c r="K105" s="456"/>
      <c r="L105" s="572">
        <f>SUM(C105:I105)</f>
        <v>683.96620539064224</v>
      </c>
      <c r="M105" s="563"/>
    </row>
    <row r="106" spans="1:17" s="1" customFormat="1" x14ac:dyDescent="0.2"/>
    <row r="107" spans="1:17" s="1" customFormat="1" x14ac:dyDescent="0.2">
      <c r="J107" s="1" t="s">
        <v>41</v>
      </c>
      <c r="K107" s="114"/>
      <c r="L107" s="573">
        <f>'global path'!C88</f>
        <v>683.96620539064213</v>
      </c>
    </row>
    <row r="108" spans="1:17" s="1" customFormat="1" x14ac:dyDescent="0.2">
      <c r="L108" s="573">
        <f>L105-L107</f>
        <v>0</v>
      </c>
    </row>
  </sheetData>
  <sheetProtection selectLockedCells="1"/>
  <mergeCells count="7">
    <mergeCell ref="S5:AE7"/>
    <mergeCell ref="K6:N8"/>
    <mergeCell ref="N11:Q11"/>
    <mergeCell ref="B4:D4"/>
    <mergeCell ref="E4:G4"/>
    <mergeCell ref="H4:J4"/>
    <mergeCell ref="K4:N4"/>
  </mergeCells>
  <conditionalFormatting sqref="L48">
    <cfRule type="cellIs" dxfId="42" priority="6" stopIfTrue="1" operator="equal">
      <formula>0</formula>
    </cfRule>
  </conditionalFormatting>
  <conditionalFormatting sqref="N11:N42">
    <cfRule type="expression" dxfId="41" priority="7" stopIfTrue="1">
      <formula>AND(N11=-100,N12=-100)</formula>
    </cfRule>
  </conditionalFormatting>
  <conditionalFormatting sqref="N44">
    <cfRule type="expression" dxfId="40" priority="8" stopIfTrue="1">
      <formula>AND(N44=-100,N46=-100)</formula>
    </cfRule>
  </conditionalFormatting>
  <conditionalFormatting sqref="N43">
    <cfRule type="expression" dxfId="39" priority="9" stopIfTrue="1">
      <formula>AND(N43=-100,N46=-100)</formula>
    </cfRule>
  </conditionalFormatting>
  <conditionalFormatting sqref="N53">
    <cfRule type="expression" dxfId="38" priority="5" stopIfTrue="1">
      <formula>AND(N53=-100,N54=-100)</formula>
    </cfRule>
  </conditionalFormatting>
  <conditionalFormatting sqref="N54:N100">
    <cfRule type="expression" dxfId="37" priority="4" stopIfTrue="1">
      <formula>AND(N54=-100,N55=-100)</formula>
    </cfRule>
  </conditionalFormatting>
  <conditionalFormatting sqref="N51">
    <cfRule type="expression" dxfId="36" priority="3" stopIfTrue="1">
      <formula>AND(N51=-100,N52=-100)</formula>
    </cfRule>
  </conditionalFormatting>
  <conditionalFormatting sqref="N52">
    <cfRule type="expression" dxfId="35" priority="2" stopIfTrue="1">
      <formula>AND(N52=-100,N53=-100)</formula>
    </cfRule>
  </conditionalFormatting>
  <conditionalFormatting sqref="L108">
    <cfRule type="cellIs" dxfId="34" priority="1" stopIfTrue="1" operator="equal">
      <formula>0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00B0F0"/>
    <pageSetUpPr fitToPage="1"/>
  </sheetPr>
  <dimension ref="A1:AL108"/>
  <sheetViews>
    <sheetView zoomScale="120" zoomScaleNormal="120" workbookViewId="0">
      <selection activeCell="Z8" sqref="Z8"/>
    </sheetView>
  </sheetViews>
  <sheetFormatPr baseColWidth="10" defaultColWidth="11.7109375" defaultRowHeight="12.75" x14ac:dyDescent="0.2"/>
  <cols>
    <col min="1" max="1" width="10.42578125" style="3" customWidth="1"/>
    <col min="2" max="2" width="4.42578125" style="3" bestFit="1" customWidth="1"/>
    <col min="3" max="3" width="6" style="3" bestFit="1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7.28515625" style="3" bestFit="1" customWidth="1"/>
    <col min="10" max="10" width="5.85546875" style="3" customWidth="1"/>
    <col min="11" max="11" width="5.28515625" style="3" bestFit="1" customWidth="1"/>
    <col min="12" max="12" width="7.5703125" style="3" bestFit="1" customWidth="1"/>
    <col min="13" max="14" width="7.28515625" style="3" bestFit="1" customWidth="1"/>
    <col min="15" max="17" width="5" style="3" bestFit="1" customWidth="1"/>
    <col min="18" max="19" width="4.42578125" style="3" bestFit="1" customWidth="1"/>
    <col min="20" max="20" width="6.7109375" style="3" customWidth="1"/>
    <col min="21" max="21" width="4.28515625" style="3" customWidth="1"/>
    <col min="22" max="27" width="8.42578125" style="1" bestFit="1" customWidth="1"/>
    <col min="28" max="28" width="8.42578125" style="3" bestFit="1" customWidth="1"/>
    <col min="29" max="35" width="8.42578125" style="1" bestFit="1" customWidth="1"/>
    <col min="36" max="36" width="8.42578125" style="3" bestFit="1" customWidth="1"/>
    <col min="37" max="16384" width="11.7109375" style="3"/>
  </cols>
  <sheetData>
    <row r="1" spans="1:38" ht="15.75" x14ac:dyDescent="0.25">
      <c r="A1" s="167" t="s">
        <v>210</v>
      </c>
      <c r="D1" s="1"/>
      <c r="F1" s="16"/>
    </row>
    <row r="2" spans="1:38" ht="15.75" x14ac:dyDescent="0.25">
      <c r="A2" s="169" t="str">
        <f>CONCATENATE("SPM-",ROUND(W8*100,0))</f>
        <v>SPM-50</v>
      </c>
      <c r="B2" s="166" t="s">
        <v>80</v>
      </c>
      <c r="D2" s="1"/>
      <c r="F2" s="16"/>
    </row>
    <row r="3" spans="1:38" ht="16.5" thickBot="1" x14ac:dyDescent="0.3">
      <c r="A3" s="51"/>
      <c r="D3" s="1"/>
      <c r="F3" s="16"/>
    </row>
    <row r="4" spans="1:38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P4" s="3"/>
      <c r="Q4" s="3"/>
      <c r="R4" s="3"/>
      <c r="S4" s="167" t="s">
        <v>61</v>
      </c>
      <c r="T4" s="3"/>
      <c r="U4" s="3"/>
      <c r="V4" s="1"/>
      <c r="W4" s="743" t="s">
        <v>134</v>
      </c>
      <c r="X4" s="744"/>
      <c r="Y4" s="1"/>
      <c r="Z4" s="1"/>
      <c r="AA4" s="1"/>
      <c r="AB4" s="3"/>
      <c r="AC4" s="1"/>
      <c r="AD4" s="1"/>
      <c r="AE4" s="1"/>
      <c r="AF4" s="1"/>
      <c r="AG4" s="1"/>
      <c r="AH4" s="1"/>
      <c r="AI4" s="10"/>
    </row>
    <row r="5" spans="1:38" ht="15.6" customHeight="1" x14ac:dyDescent="0.2">
      <c r="A5" s="173"/>
      <c r="B5" s="457" t="s">
        <v>89</v>
      </c>
      <c r="C5" s="458">
        <f>W8*'global path'!C88/K11*B11+(1-W8)*'global path'!C88*C11/L11</f>
        <v>231.58263253991771</v>
      </c>
      <c r="D5" s="459" t="s">
        <v>21</v>
      </c>
      <c r="E5" s="457" t="s">
        <v>90</v>
      </c>
      <c r="F5" s="458">
        <f>W8*'global path'!C88/K11*E11+(1-W8)*'global path'!C88*F11/L11</f>
        <v>358.06500504887777</v>
      </c>
      <c r="G5" s="459" t="s">
        <v>21</v>
      </c>
      <c r="H5" s="457" t="s">
        <v>91</v>
      </c>
      <c r="I5" s="458">
        <f>W8*'global path'!C88/K11*H11+(1-W8)*'global path'!C88*I11/L11</f>
        <v>94.31856780184664</v>
      </c>
      <c r="J5" s="459" t="s">
        <v>21</v>
      </c>
      <c r="K5" s="457" t="s">
        <v>92</v>
      </c>
      <c r="L5" s="460">
        <f>C5+F5+I5</f>
        <v>683.96620539064213</v>
      </c>
      <c r="M5" s="459" t="s">
        <v>21</v>
      </c>
      <c r="N5" s="461"/>
      <c r="S5" s="782" t="s">
        <v>190</v>
      </c>
      <c r="T5" s="782"/>
      <c r="U5" s="782"/>
      <c r="V5" s="782"/>
      <c r="W5" s="782"/>
      <c r="X5" s="782"/>
      <c r="Y5" s="782"/>
      <c r="Z5" s="782"/>
      <c r="AA5" s="782"/>
      <c r="AB5" s="782"/>
      <c r="AC5" s="782"/>
      <c r="AD5" s="782"/>
      <c r="AE5" s="782"/>
    </row>
    <row r="6" spans="1:38" ht="15.75" x14ac:dyDescent="0.2">
      <c r="A6" s="176"/>
      <c r="B6" s="174" t="s">
        <v>43</v>
      </c>
      <c r="C6" s="175">
        <f>C5/C11</f>
        <v>11.027744406662748</v>
      </c>
      <c r="D6" s="178"/>
      <c r="E6" s="174" t="s">
        <v>47</v>
      </c>
      <c r="F6" s="175">
        <f>F5/F11</f>
        <v>18.362307951224501</v>
      </c>
      <c r="G6" s="579"/>
      <c r="H6" s="174" t="s">
        <v>49</v>
      </c>
      <c r="I6" s="175">
        <f>I5/I11</f>
        <v>76.824349601036701</v>
      </c>
      <c r="J6" s="178"/>
      <c r="K6" s="783" t="s">
        <v>57</v>
      </c>
      <c r="L6" s="784"/>
      <c r="M6" s="784"/>
      <c r="N6" s="785"/>
      <c r="S6" s="782"/>
      <c r="T6" s="782"/>
      <c r="U6" s="782"/>
      <c r="V6" s="782"/>
      <c r="W6" s="782"/>
      <c r="X6" s="782"/>
      <c r="Y6" s="782"/>
      <c r="Z6" s="782"/>
      <c r="AA6" s="782"/>
      <c r="AB6" s="782"/>
      <c r="AC6" s="782"/>
      <c r="AD6" s="782"/>
      <c r="AE6" s="782"/>
      <c r="AG6" s="10"/>
      <c r="AH6" s="10"/>
    </row>
    <row r="7" spans="1:38" ht="16.5" thickBot="1" x14ac:dyDescent="0.25">
      <c r="A7" s="176"/>
      <c r="B7" s="174" t="s">
        <v>44</v>
      </c>
      <c r="C7" s="587">
        <f>'SPM-eq'!C7</f>
        <v>0</v>
      </c>
      <c r="D7" s="178"/>
      <c r="E7" s="174" t="s">
        <v>46</v>
      </c>
      <c r="F7" s="587">
        <f>'SPM-eq'!F7</f>
        <v>0.03</v>
      </c>
      <c r="G7" s="579"/>
      <c r="H7" s="174" t="s">
        <v>50</v>
      </c>
      <c r="I7" s="587">
        <f>'SPM-eq'!I7</f>
        <v>0.02</v>
      </c>
      <c r="J7" s="178"/>
      <c r="K7" s="783"/>
      <c r="L7" s="784"/>
      <c r="M7" s="784"/>
      <c r="N7" s="785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</row>
    <row r="8" spans="1:38" ht="16.5" thickBot="1" x14ac:dyDescent="0.3">
      <c r="A8" s="177"/>
      <c r="B8" s="87" t="s">
        <v>45</v>
      </c>
      <c r="C8" s="88">
        <f>(1+SQRT(1+C7*C6))/C6</f>
        <v>0.1813607503263894</v>
      </c>
      <c r="D8" s="179"/>
      <c r="E8" s="87" t="s">
        <v>48</v>
      </c>
      <c r="F8" s="88">
        <f>(1+SQRT(1+F7*F6))/F6</f>
        <v>0.12227978157380519</v>
      </c>
      <c r="G8" s="90"/>
      <c r="H8" s="87" t="s">
        <v>51</v>
      </c>
      <c r="I8" s="88">
        <f>(1+SQRT(1+I7*I6))/I6</f>
        <v>3.374757155179052E-2</v>
      </c>
      <c r="J8" s="179"/>
      <c r="K8" s="786"/>
      <c r="L8" s="787"/>
      <c r="M8" s="787"/>
      <c r="N8" s="788"/>
      <c r="S8" s="455" t="s">
        <v>188</v>
      </c>
      <c r="T8" s="312"/>
      <c r="U8" s="312"/>
      <c r="V8" s="456"/>
      <c r="W8" s="504">
        <v>0.5</v>
      </c>
      <c r="Y8" s="100">
        <f>B11/K11</f>
        <v>0.17391304347826086</v>
      </c>
      <c r="Z8" s="100">
        <f>C11/L11</f>
        <v>0.5032626143677319</v>
      </c>
    </row>
    <row r="9" spans="1:38" s="43" customFormat="1" ht="46.5" x14ac:dyDescent="0.25">
      <c r="A9" s="126" t="s">
        <v>10</v>
      </c>
      <c r="B9" s="191" t="s">
        <v>13</v>
      </c>
      <c r="C9" s="20" t="s">
        <v>12</v>
      </c>
      <c r="D9" s="192" t="s">
        <v>11</v>
      </c>
      <c r="E9" s="14" t="s">
        <v>13</v>
      </c>
      <c r="F9" s="14" t="s">
        <v>12</v>
      </c>
      <c r="G9" s="14" t="s">
        <v>11</v>
      </c>
      <c r="H9" s="13" t="s">
        <v>13</v>
      </c>
      <c r="I9" s="14" t="s">
        <v>12</v>
      </c>
      <c r="J9" s="14" t="s">
        <v>11</v>
      </c>
      <c r="K9" s="191" t="s">
        <v>22</v>
      </c>
      <c r="L9" s="20" t="s">
        <v>23</v>
      </c>
      <c r="M9" s="192" t="s">
        <v>11</v>
      </c>
      <c r="N9" s="201"/>
      <c r="P9" s="3"/>
      <c r="Q9" s="3"/>
      <c r="R9" s="3"/>
      <c r="S9" s="304" t="s">
        <v>59</v>
      </c>
      <c r="T9" s="3"/>
      <c r="U9" s="3"/>
      <c r="V9" s="1"/>
      <c r="W9" s="1"/>
      <c r="X9" s="1"/>
      <c r="Y9" s="1"/>
      <c r="Z9" s="1"/>
      <c r="AA9" s="1"/>
      <c r="AB9" s="3"/>
      <c r="AC9" s="1"/>
      <c r="AD9" s="1"/>
      <c r="AE9" s="1"/>
      <c r="AF9" s="1"/>
      <c r="AG9" s="1"/>
      <c r="AH9" s="1"/>
      <c r="AI9" s="10"/>
    </row>
    <row r="10" spans="1:38" s="43" customFormat="1" x14ac:dyDescent="0.2">
      <c r="A10" s="187"/>
      <c r="B10" s="127" t="s">
        <v>6</v>
      </c>
      <c r="C10" s="108" t="s">
        <v>21</v>
      </c>
      <c r="D10" s="193" t="s">
        <v>0</v>
      </c>
      <c r="E10" s="108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02" t="s">
        <v>6</v>
      </c>
      <c r="L10" s="108" t="s">
        <v>21</v>
      </c>
      <c r="M10" s="193" t="s">
        <v>0</v>
      </c>
      <c r="N10" s="30"/>
      <c r="O10" s="580" t="s">
        <v>129</v>
      </c>
      <c r="P10" s="581" t="s">
        <v>130</v>
      </c>
      <c r="Q10" s="582" t="s">
        <v>131</v>
      </c>
      <c r="R10" s="3"/>
      <c r="S10" s="3" t="s">
        <v>60</v>
      </c>
      <c r="T10" s="1" t="s">
        <v>105</v>
      </c>
      <c r="U10" s="3"/>
      <c r="V10" s="1"/>
      <c r="W10" s="1"/>
      <c r="X10" s="1"/>
      <c r="Y10" s="1"/>
      <c r="Z10" s="1"/>
      <c r="AA10" s="1"/>
      <c r="AB10" s="3"/>
      <c r="AC10" s="1"/>
      <c r="AD10" s="1"/>
      <c r="AE10" s="1"/>
      <c r="AF10" s="1"/>
      <c r="AG10" s="1"/>
      <c r="AH10" s="1"/>
      <c r="AI10" s="10"/>
    </row>
    <row r="11" spans="1:38" s="43" customFormat="1" x14ac:dyDescent="0.2">
      <c r="A11" s="188">
        <v>2019</v>
      </c>
      <c r="B11" s="131">
        <f>RF!B9</f>
        <v>1.2</v>
      </c>
      <c r="C11" s="132">
        <f>RF!C9</f>
        <v>21</v>
      </c>
      <c r="D11" s="194">
        <f>C11/B11</f>
        <v>17.5</v>
      </c>
      <c r="E11" s="132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1">
        <f>RF!K9</f>
        <v>6.9</v>
      </c>
      <c r="L11" s="32">
        <f>I11+F11+C11</f>
        <v>41.727717101305259</v>
      </c>
      <c r="M11" s="31">
        <f>L11/K11</f>
        <v>6.047495232073226</v>
      </c>
      <c r="N11" s="779" t="s">
        <v>172</v>
      </c>
      <c r="O11" s="780"/>
      <c r="P11" s="780"/>
      <c r="Q11" s="781"/>
      <c r="R11" s="3"/>
      <c r="S11" s="3" t="s">
        <v>60</v>
      </c>
      <c r="T11" s="1" t="s">
        <v>106</v>
      </c>
      <c r="U11" s="3"/>
      <c r="V11" s="1"/>
      <c r="W11" s="1"/>
      <c r="X11" s="1"/>
      <c r="Y11" s="1"/>
      <c r="Z11" s="1"/>
      <c r="AA11" s="1"/>
      <c r="AB11" s="3"/>
      <c r="AC11" s="1"/>
      <c r="AD11" s="1"/>
      <c r="AE11" s="1"/>
      <c r="AF11" s="1"/>
      <c r="AG11" s="1"/>
      <c r="AH11" s="1"/>
      <c r="AI11" s="10"/>
    </row>
    <row r="12" spans="1:38" x14ac:dyDescent="0.2">
      <c r="A12" s="180">
        <f>A11+1</f>
        <v>2020</v>
      </c>
      <c r="B12" s="128">
        <f t="shared" ref="B12:B41" si="0">B$11*(B$42/B$11)^(($A12-2019)/31)</f>
        <v>1.2</v>
      </c>
      <c r="C12" s="5">
        <f>-C$11*EXP(-C$8*($A12-$A$11))/C$8^2*((C$7*C$8+C$8^2)*($A12-$A$11)+2*C$8+C$7)
  +C$11*EXP(-C$8*($A11-$A$11))/C$8^2*((C$7*C$8+C$8^2)*($A11-$A$11)+2*C$8+C$7)</f>
        <v>20.894772381654917</v>
      </c>
      <c r="D12" s="195">
        <f t="shared" ref="D12:D42" si="1">C12/B12</f>
        <v>17.412310318045765</v>
      </c>
      <c r="E12" s="5">
        <f t="shared" ref="E12:E41" si="2">E$11*(E$42/E$11)^(($A12-2019)/31)</f>
        <v>4</v>
      </c>
      <c r="F12" s="5">
        <f>-F$11*EXP(-F$8*($A12-$A$11))/F$8^2*((F$7*F$8+F$8^2)*($A12-$A$11)+2*F$8+F$7)
  +F$11*EXP(-F$8*($A11-$A$11))/F$8^2*((F$7*F$8+F$8^2)*($A11-$A$11)+2*F$8+F$7)</f>
        <v>19.723983954892105</v>
      </c>
      <c r="G12" s="4">
        <f t="shared" ref="G12:G42" si="3">F12/E12</f>
        <v>4.9309959887230264</v>
      </c>
      <c r="H12" s="128">
        <f t="shared" ref="H12:H41" si="4">H$11*(H$42/H$11)^(($A12-2019)/31)</f>
        <v>1.7000000000000004</v>
      </c>
      <c r="I12" s="5">
        <f>-I$11*EXP(-I$8*($A12-$A$11))/I$8^2*((I$7*I$8+I$8^2)*($A12-$A$11)+2*I$8+I$7)
  +I$11*EXP(-I$8*($A11-$A$11))/I$8^2*((I$7*I$8+I$8^2)*($A11-$A$11)+2*I$8+I$7)</f>
        <v>1.2394923721104334</v>
      </c>
      <c r="J12" s="4">
        <f t="shared" ref="J12:J42" si="5">I12/H12</f>
        <v>0.72911316006496063</v>
      </c>
      <c r="K12" s="128">
        <f>B12+E12+H12</f>
        <v>6.9</v>
      </c>
      <c r="L12" s="19">
        <f>I12+F12+C12</f>
        <v>41.858248708657456</v>
      </c>
      <c r="M12" s="195">
        <f t="shared" ref="M12:M42" si="6">L12/K12</f>
        <v>6.0664128563271671</v>
      </c>
      <c r="N12" s="439">
        <f>L12/L11-1</f>
        <v>3.1281751416041281E-3</v>
      </c>
      <c r="O12" s="450">
        <f>C12/C11-1</f>
        <v>-5.0108389688134913E-3</v>
      </c>
      <c r="P12" s="442">
        <f>F12/F11-1</f>
        <v>1.1486356661133623E-2</v>
      </c>
      <c r="Q12" s="443">
        <f>I12/I11-1</f>
        <v>9.5911922971951835E-3</v>
      </c>
      <c r="R12" s="43"/>
      <c r="T12" s="1"/>
      <c r="AI12" s="10"/>
      <c r="AJ12" s="43"/>
      <c r="AK12" s="43"/>
      <c r="AL12" s="43"/>
    </row>
    <row r="13" spans="1:38" x14ac:dyDescent="0.2">
      <c r="A13" s="180">
        <f t="shared" ref="A13:A41" si="7">A12+1</f>
        <v>2021</v>
      </c>
      <c r="B13" s="128">
        <f t="shared" si="0"/>
        <v>1.2</v>
      </c>
      <c r="C13" s="5">
        <f t="shared" ref="C13:C42" si="8">-C$11*EXP(-C$8*($A13-$A$11))/C$8^2*((C$7*C$8+C$8^2)*($A13-$A$11)+2*C$8+C$7)
  +C$11*EXP(-C$8*($A12-$A$11))/C$8^2*((C$7*C$8+C$8^2)*($A12-$A$11)+2*C$8+C$7)</f>
        <v>20.334486613652501</v>
      </c>
      <c r="D13" s="195">
        <f t="shared" si="1"/>
        <v>16.945405511377086</v>
      </c>
      <c r="E13" s="5">
        <f t="shared" si="2"/>
        <v>4</v>
      </c>
      <c r="F13" s="5">
        <f t="shared" ref="F13:F42" si="9">-F$11*EXP(-F$8*($A13-$A$11))/F$8^2*((F$7*F$8+F$8^2)*($A13-$A$11)+2*F$8+F$7)
  +F$11*EXP(-F$8*($A12-$A$11))/F$8^2*((F$7*F$8+F$8^2)*($A12-$A$11)+2*F$8+F$7)</f>
        <v>19.927139169977409</v>
      </c>
      <c r="G13" s="4">
        <f t="shared" si="3"/>
        <v>4.9817847924943521</v>
      </c>
      <c r="H13" s="128">
        <f t="shared" si="4"/>
        <v>1.7000000000000004</v>
      </c>
      <c r="I13" s="5">
        <f t="shared" ref="I13:I42" si="10">-I$11*EXP(-I$8*($A13-$A$11))/I$8^2*((I$7*I$8+I$8^2)*($A13-$A$11)+2*I$8+I$7)
  +I$11*EXP(-I$8*($A12-$A$11))/I$8^2*((I$7*I$8+I$8^2)*($A12-$A$11)+2*I$8+I$7)</f>
        <v>1.2610930543153955</v>
      </c>
      <c r="J13" s="4">
        <f t="shared" si="5"/>
        <v>0.74181944371493835</v>
      </c>
      <c r="K13" s="128">
        <f t="shared" ref="K13:K41" si="11">B13+E13+H13</f>
        <v>6.9</v>
      </c>
      <c r="L13" s="19">
        <f t="shared" ref="L13:L44" si="12">I13+F13+C13</f>
        <v>41.522718837945305</v>
      </c>
      <c r="M13" s="195">
        <f t="shared" si="6"/>
        <v>6.0177853388326525</v>
      </c>
      <c r="N13" s="440">
        <f t="shared" ref="N13:N42" si="13">L13/L12-1</f>
        <v>-8.0158602202282658E-3</v>
      </c>
      <c r="O13" s="448">
        <f t="shared" ref="O13:O42" si="14">C13/C12-1</f>
        <v>-2.6814638502323795E-2</v>
      </c>
      <c r="P13" s="444">
        <f t="shared" ref="P13:P42" si="15">F13/F12-1</f>
        <v>1.0299907744292902E-2</v>
      </c>
      <c r="Q13" s="445">
        <f t="shared" ref="Q13:Q42" si="16">I13/I12-1</f>
        <v>1.742703923880029E-2</v>
      </c>
      <c r="S13" s="304" t="s">
        <v>173</v>
      </c>
      <c r="T13" s="1"/>
      <c r="AI13" s="10"/>
      <c r="AJ13" s="43"/>
    </row>
    <row r="14" spans="1:38" x14ac:dyDescent="0.2">
      <c r="A14" s="180">
        <f t="shared" si="7"/>
        <v>2022</v>
      </c>
      <c r="B14" s="128">
        <f t="shared" si="0"/>
        <v>1.2</v>
      </c>
      <c r="C14" s="5">
        <f t="shared" si="8"/>
        <v>19.385220674904559</v>
      </c>
      <c r="D14" s="195">
        <f t="shared" si="1"/>
        <v>16.154350562420468</v>
      </c>
      <c r="E14" s="5">
        <f t="shared" si="2"/>
        <v>4</v>
      </c>
      <c r="F14" s="5">
        <f t="shared" si="9"/>
        <v>19.822228252377556</v>
      </c>
      <c r="G14" s="4">
        <f t="shared" si="3"/>
        <v>4.955557063094389</v>
      </c>
      <c r="H14" s="128">
        <f t="shared" si="4"/>
        <v>1.7000000000000004</v>
      </c>
      <c r="I14" s="5">
        <f t="shared" si="10"/>
        <v>1.2798951813680191</v>
      </c>
      <c r="J14" s="4">
        <f t="shared" si="5"/>
        <v>0.7528795184517757</v>
      </c>
      <c r="K14" s="128">
        <f t="shared" si="11"/>
        <v>6.9</v>
      </c>
      <c r="L14" s="19">
        <f t="shared" si="12"/>
        <v>40.487344108650134</v>
      </c>
      <c r="M14" s="195">
        <f t="shared" si="6"/>
        <v>5.8677310302391499</v>
      </c>
      <c r="N14" s="440">
        <f t="shared" si="13"/>
        <v>-2.4935138118869937E-2</v>
      </c>
      <c r="O14" s="448">
        <f t="shared" si="14"/>
        <v>-4.6682562327912791E-2</v>
      </c>
      <c r="P14" s="444">
        <f t="shared" si="15"/>
        <v>-5.2647254934573562E-3</v>
      </c>
      <c r="Q14" s="445">
        <f t="shared" si="16"/>
        <v>1.4909389111519955E-2</v>
      </c>
      <c r="T14" s="1" t="s">
        <v>174</v>
      </c>
      <c r="AI14" s="10"/>
      <c r="AJ14" s="43"/>
    </row>
    <row r="15" spans="1:38" s="7" customFormat="1" x14ac:dyDescent="0.2">
      <c r="A15" s="180">
        <f t="shared" si="7"/>
        <v>2023</v>
      </c>
      <c r="B15" s="128">
        <f t="shared" si="0"/>
        <v>1.2</v>
      </c>
      <c r="C15" s="5">
        <f t="shared" si="8"/>
        <v>18.191425678058579</v>
      </c>
      <c r="D15" s="195">
        <f t="shared" si="1"/>
        <v>15.15952139838215</v>
      </c>
      <c r="E15" s="5">
        <f t="shared" si="2"/>
        <v>4</v>
      </c>
      <c r="F15" s="5">
        <f t="shared" si="9"/>
        <v>19.477476193679365</v>
      </c>
      <c r="G15" s="4">
        <f t="shared" si="3"/>
        <v>4.8693690484198413</v>
      </c>
      <c r="H15" s="128">
        <f t="shared" si="4"/>
        <v>1.7000000000000004</v>
      </c>
      <c r="I15" s="5">
        <f>-I$11*EXP(-I$8*($A15-$A$11))/I$8^2*((I$7*I$8+I$8^2)*($A15-$A$11)+2*I$8+I$7)
  +I$11*EXP(-I$8*($A14-$A$11))/I$8^2*((I$7*I$8+I$8^2)*($A14-$A$11)+2*I$8+I$7)</f>
        <v>1.2960607035590357</v>
      </c>
      <c r="J15" s="4">
        <f t="shared" si="5"/>
        <v>0.76238864915237381</v>
      </c>
      <c r="K15" s="128">
        <f t="shared" si="11"/>
        <v>6.9</v>
      </c>
      <c r="L15" s="19">
        <f t="shared" si="12"/>
        <v>38.96496257529698</v>
      </c>
      <c r="M15" s="195">
        <f t="shared" si="6"/>
        <v>5.647096025405359</v>
      </c>
      <c r="N15" s="440">
        <f t="shared" si="13"/>
        <v>-3.7601417600219844E-2</v>
      </c>
      <c r="O15" s="448">
        <f t="shared" si="14"/>
        <v>-6.1582739596636404E-2</v>
      </c>
      <c r="P15" s="444">
        <f t="shared" si="15"/>
        <v>-1.7392194979736431E-2</v>
      </c>
      <c r="Q15" s="445">
        <f t="shared" si="16"/>
        <v>1.263034850536604E-2</v>
      </c>
      <c r="R15" s="3"/>
      <c r="S15" s="3"/>
      <c r="T15" s="3"/>
      <c r="U15" s="3"/>
      <c r="V15" s="1"/>
      <c r="W15" s="1"/>
      <c r="X15" s="1"/>
      <c r="Y15" s="1"/>
      <c r="Z15" s="1"/>
      <c r="AA15" s="1"/>
      <c r="AB15" s="3"/>
      <c r="AC15" s="1"/>
      <c r="AD15" s="1"/>
      <c r="AE15" s="1"/>
      <c r="AF15" s="1"/>
      <c r="AG15" s="10"/>
      <c r="AH15" s="10"/>
      <c r="AI15" s="10"/>
      <c r="AJ15" s="43"/>
      <c r="AK15" s="3"/>
      <c r="AL15" s="3"/>
    </row>
    <row r="16" spans="1:38" s="7" customFormat="1" x14ac:dyDescent="0.2">
      <c r="A16" s="180">
        <f t="shared" si="7"/>
        <v>2024</v>
      </c>
      <c r="B16" s="128">
        <f t="shared" si="0"/>
        <v>1.2</v>
      </c>
      <c r="C16" s="5">
        <f t="shared" si="8"/>
        <v>16.860335181254214</v>
      </c>
      <c r="D16" s="195">
        <f t="shared" si="1"/>
        <v>14.050279317711846</v>
      </c>
      <c r="E16" s="5">
        <f t="shared" si="2"/>
        <v>4</v>
      </c>
      <c r="F16" s="5">
        <f t="shared" si="9"/>
        <v>18.949483905085344</v>
      </c>
      <c r="G16" s="4">
        <f t="shared" si="3"/>
        <v>4.7373709762713361</v>
      </c>
      <c r="H16" s="128">
        <f t="shared" si="4"/>
        <v>1.7000000000000004</v>
      </c>
      <c r="I16" s="5">
        <f t="shared" si="10"/>
        <v>1.3097439045035912</v>
      </c>
      <c r="J16" s="4">
        <f t="shared" si="5"/>
        <v>0.77043759088446528</v>
      </c>
      <c r="K16" s="128">
        <f t="shared" si="11"/>
        <v>6.9</v>
      </c>
      <c r="L16" s="19">
        <f t="shared" si="12"/>
        <v>37.11956299084315</v>
      </c>
      <c r="M16" s="195">
        <f t="shared" si="6"/>
        <v>5.3796468102671229</v>
      </c>
      <c r="N16" s="440">
        <f t="shared" si="13"/>
        <v>-4.7360486511124678E-2</v>
      </c>
      <c r="O16" s="448">
        <f t="shared" si="14"/>
        <v>-7.3171312703096514E-2</v>
      </c>
      <c r="P16" s="444">
        <f t="shared" si="15"/>
        <v>-2.7107838990215738E-2</v>
      </c>
      <c r="Q16" s="445">
        <f t="shared" si="16"/>
        <v>1.055753091423961E-2</v>
      </c>
      <c r="R16" s="3"/>
      <c r="S16" s="304" t="s">
        <v>103</v>
      </c>
      <c r="T16" s="3"/>
      <c r="U16" s="3"/>
      <c r="V16" s="1"/>
      <c r="W16" s="1"/>
      <c r="X16" s="1"/>
      <c r="Y16" s="1"/>
      <c r="Z16" s="1"/>
      <c r="AA16" s="1"/>
      <c r="AB16" s="3"/>
      <c r="AC16" s="1"/>
      <c r="AD16" s="1"/>
      <c r="AE16" s="1"/>
      <c r="AF16" s="1"/>
      <c r="AG16" s="10"/>
      <c r="AH16" s="10"/>
      <c r="AI16" s="1"/>
      <c r="AJ16" s="3"/>
    </row>
    <row r="17" spans="1:38" s="7" customFormat="1" x14ac:dyDescent="0.2">
      <c r="A17" s="180">
        <f t="shared" si="7"/>
        <v>2025</v>
      </c>
      <c r="B17" s="128">
        <f t="shared" si="0"/>
        <v>1.2</v>
      </c>
      <c r="C17" s="5">
        <f t="shared" si="8"/>
        <v>15.470337360456455</v>
      </c>
      <c r="D17" s="195">
        <f t="shared" si="1"/>
        <v>12.891947800380379</v>
      </c>
      <c r="E17" s="5">
        <f t="shared" si="2"/>
        <v>4</v>
      </c>
      <c r="F17" s="5">
        <f t="shared" si="9"/>
        <v>18.285000229655111</v>
      </c>
      <c r="G17" s="4">
        <f t="shared" si="3"/>
        <v>4.5712500574137778</v>
      </c>
      <c r="H17" s="128">
        <f t="shared" si="4"/>
        <v>1.7000000000000004</v>
      </c>
      <c r="I17" s="5">
        <f t="shared" si="10"/>
        <v>1.3210917316294797</v>
      </c>
      <c r="J17" s="4">
        <f t="shared" si="5"/>
        <v>0.7771127833114585</v>
      </c>
      <c r="K17" s="128">
        <f t="shared" si="11"/>
        <v>6.9</v>
      </c>
      <c r="L17" s="19">
        <f t="shared" si="12"/>
        <v>35.076429321741045</v>
      </c>
      <c r="M17" s="195">
        <f t="shared" si="6"/>
        <v>5.0835404814117453</v>
      </c>
      <c r="N17" s="440">
        <f t="shared" si="13"/>
        <v>-5.5041964518981912E-2</v>
      </c>
      <c r="O17" s="448">
        <f t="shared" si="14"/>
        <v>-8.2441885398767067E-2</v>
      </c>
      <c r="P17" s="444">
        <f t="shared" si="15"/>
        <v>-3.506605661444484E-2</v>
      </c>
      <c r="Q17" s="445">
        <f t="shared" si="16"/>
        <v>8.66415723476055E-3</v>
      </c>
      <c r="R17" s="43"/>
      <c r="S17" s="3" t="s">
        <v>60</v>
      </c>
      <c r="T17" s="1" t="s">
        <v>107</v>
      </c>
      <c r="U17" s="3"/>
      <c r="V17" s="1"/>
      <c r="W17" s="1"/>
      <c r="X17" s="1"/>
      <c r="Y17" s="1"/>
      <c r="Z17" s="1"/>
      <c r="AA17" s="1"/>
      <c r="AB17" s="3"/>
      <c r="AC17" s="1"/>
      <c r="AD17" s="1"/>
      <c r="AE17" s="1"/>
      <c r="AF17" s="1"/>
      <c r="AG17" s="10"/>
      <c r="AH17" s="10"/>
      <c r="AI17" s="1"/>
      <c r="AJ17" s="3"/>
    </row>
    <row r="18" spans="1:38" s="7" customFormat="1" x14ac:dyDescent="0.2">
      <c r="A18" s="180">
        <f t="shared" si="7"/>
        <v>2026</v>
      </c>
      <c r="B18" s="128">
        <f t="shared" si="0"/>
        <v>1.2</v>
      </c>
      <c r="C18" s="5">
        <f t="shared" si="8"/>
        <v>14.077593777898727</v>
      </c>
      <c r="D18" s="195">
        <f t="shared" si="1"/>
        <v>11.73132814824894</v>
      </c>
      <c r="E18" s="5">
        <f t="shared" si="2"/>
        <v>4</v>
      </c>
      <c r="F18" s="5">
        <f t="shared" si="9"/>
        <v>17.522440033914222</v>
      </c>
      <c r="G18" s="4">
        <f t="shared" si="3"/>
        <v>4.3806100084785555</v>
      </c>
      <c r="H18" s="128">
        <f t="shared" si="4"/>
        <v>1.7000000000000004</v>
      </c>
      <c r="I18" s="5">
        <f t="shared" si="10"/>
        <v>1.3302441131734497</v>
      </c>
      <c r="J18" s="4">
        <f t="shared" si="5"/>
        <v>0.78249653716085255</v>
      </c>
      <c r="K18" s="128">
        <f t="shared" si="11"/>
        <v>6.9</v>
      </c>
      <c r="L18" s="19">
        <f t="shared" si="12"/>
        <v>32.930277924986399</v>
      </c>
      <c r="M18" s="195">
        <f t="shared" si="6"/>
        <v>4.7725040470994777</v>
      </c>
      <c r="N18" s="440">
        <f t="shared" si="13"/>
        <v>-6.1185001958692031E-2</v>
      </c>
      <c r="O18" s="448">
        <f t="shared" si="14"/>
        <v>-9.0026710478706362E-2</v>
      </c>
      <c r="P18" s="444">
        <f t="shared" si="15"/>
        <v>-4.1704139248745942E-2</v>
      </c>
      <c r="Q18" s="445">
        <f t="shared" si="16"/>
        <v>6.9278925337614705E-3</v>
      </c>
      <c r="R18" s="3"/>
      <c r="S18" s="3" t="s">
        <v>60</v>
      </c>
      <c r="T18" s="1" t="s">
        <v>157</v>
      </c>
      <c r="U18" s="3"/>
      <c r="V18" s="1"/>
      <c r="W18" s="1"/>
      <c r="X18" s="1"/>
      <c r="Y18" s="1"/>
      <c r="Z18" s="1"/>
      <c r="AA18" s="1"/>
      <c r="AB18" s="3"/>
      <c r="AC18" s="1"/>
      <c r="AD18" s="1"/>
      <c r="AE18" s="1"/>
      <c r="AF18" s="10"/>
      <c r="AG18" s="1"/>
      <c r="AH18" s="1"/>
      <c r="AI18" s="1"/>
      <c r="AJ18" s="3"/>
    </row>
    <row r="19" spans="1:38" s="7" customFormat="1" x14ac:dyDescent="0.2">
      <c r="A19" s="180">
        <f t="shared" si="7"/>
        <v>2027</v>
      </c>
      <c r="B19" s="128">
        <f t="shared" si="0"/>
        <v>1.2</v>
      </c>
      <c r="C19" s="5">
        <f t="shared" si="8"/>
        <v>12.721256075259902</v>
      </c>
      <c r="D19" s="195">
        <f t="shared" si="1"/>
        <v>10.601046729383253</v>
      </c>
      <c r="E19" s="5">
        <f t="shared" si="2"/>
        <v>4</v>
      </c>
      <c r="F19" s="5">
        <f t="shared" si="9"/>
        <v>16.693183355652934</v>
      </c>
      <c r="G19" s="4">
        <f t="shared" si="3"/>
        <v>4.1732958389132335</v>
      </c>
      <c r="H19" s="128">
        <f t="shared" si="4"/>
        <v>1.7000000000000004</v>
      </c>
      <c r="I19" s="5">
        <f t="shared" si="10"/>
        <v>1.3373342622177375</v>
      </c>
      <c r="J19" s="4">
        <f t="shared" si="5"/>
        <v>0.78666721306925724</v>
      </c>
      <c r="K19" s="128">
        <f t="shared" si="11"/>
        <v>6.9</v>
      </c>
      <c r="L19" s="19">
        <f t="shared" si="12"/>
        <v>30.751773693130573</v>
      </c>
      <c r="M19" s="195">
        <f t="shared" si="6"/>
        <v>4.4567787961058798</v>
      </c>
      <c r="N19" s="440">
        <f t="shared" si="13"/>
        <v>-6.6155051494504624E-2</v>
      </c>
      <c r="O19" s="448">
        <f t="shared" si="14"/>
        <v>-9.6347268150912435E-2</v>
      </c>
      <c r="P19" s="444">
        <f t="shared" si="15"/>
        <v>-4.7325411110340942E-2</v>
      </c>
      <c r="Q19" s="445">
        <f t="shared" si="16"/>
        <v>5.32996085009807E-3</v>
      </c>
      <c r="R19" s="43"/>
      <c r="S19" s="3"/>
      <c r="T19" s="3"/>
      <c r="U19" s="43"/>
      <c r="V19" s="10"/>
      <c r="W19" s="10"/>
      <c r="X19" s="10"/>
      <c r="Y19" s="10"/>
      <c r="Z19" s="10"/>
      <c r="AA19" s="10"/>
      <c r="AB19" s="43"/>
      <c r="AC19" s="10"/>
      <c r="AD19" s="10"/>
      <c r="AE19" s="10"/>
      <c r="AF19" s="1"/>
      <c r="AG19" s="1"/>
      <c r="AH19" s="1"/>
      <c r="AI19" s="1"/>
    </row>
    <row r="20" spans="1:38" x14ac:dyDescent="0.2">
      <c r="A20" s="180">
        <f t="shared" si="7"/>
        <v>2028</v>
      </c>
      <c r="B20" s="128">
        <f t="shared" si="0"/>
        <v>1.2</v>
      </c>
      <c r="C20" s="5">
        <f t="shared" si="8"/>
        <v>11.42756361212345</v>
      </c>
      <c r="D20" s="195">
        <f t="shared" si="1"/>
        <v>9.5229696767695415</v>
      </c>
      <c r="E20" s="5">
        <f t="shared" si="2"/>
        <v>4</v>
      </c>
      <c r="F20" s="5">
        <f t="shared" si="9"/>
        <v>15.822685897020165</v>
      </c>
      <c r="G20" s="4">
        <f t="shared" si="3"/>
        <v>3.9556714742550412</v>
      </c>
      <c r="H20" s="128">
        <f t="shared" si="4"/>
        <v>1.7000000000000004</v>
      </c>
      <c r="I20" s="5">
        <f t="shared" si="10"/>
        <v>1.3424889682776069</v>
      </c>
      <c r="J20" s="4">
        <f t="shared" si="5"/>
        <v>0.78969939310447446</v>
      </c>
      <c r="K20" s="128">
        <f t="shared" si="11"/>
        <v>6.9</v>
      </c>
      <c r="L20" s="19">
        <f t="shared" si="12"/>
        <v>28.592738477421221</v>
      </c>
      <c r="M20" s="195">
        <f t="shared" si="6"/>
        <v>4.1438751416552488</v>
      </c>
      <c r="N20" s="440">
        <f t="shared" si="13"/>
        <v>-7.0208477639507438E-2</v>
      </c>
      <c r="O20" s="448">
        <f t="shared" si="14"/>
        <v>-0.1016953401050078</v>
      </c>
      <c r="P20" s="444">
        <f t="shared" si="15"/>
        <v>-5.2146881759253305E-2</v>
      </c>
      <c r="Q20" s="445">
        <f t="shared" si="16"/>
        <v>3.8544634692310176E-3</v>
      </c>
      <c r="S20" s="206"/>
      <c r="AJ20" s="7"/>
      <c r="AK20" s="7"/>
      <c r="AL20" s="7"/>
    </row>
    <row r="21" spans="1:38" x14ac:dyDescent="0.2">
      <c r="A21" s="180">
        <f t="shared" si="7"/>
        <v>2029</v>
      </c>
      <c r="B21" s="128">
        <f t="shared" si="0"/>
        <v>1.2</v>
      </c>
      <c r="C21" s="5">
        <f t="shared" si="8"/>
        <v>10.213049756570783</v>
      </c>
      <c r="D21" s="195">
        <f t="shared" si="1"/>
        <v>8.5108747971423195</v>
      </c>
      <c r="E21" s="5">
        <f t="shared" si="2"/>
        <v>4</v>
      </c>
      <c r="F21" s="5">
        <f t="shared" si="9"/>
        <v>14.931427080041232</v>
      </c>
      <c r="G21" s="4">
        <f t="shared" si="3"/>
        <v>3.7328567700103079</v>
      </c>
      <c r="H21" s="128">
        <f t="shared" si="4"/>
        <v>1.7000000000000004</v>
      </c>
      <c r="I21" s="5">
        <f t="shared" si="10"/>
        <v>1.3458288769310798</v>
      </c>
      <c r="J21" s="4">
        <f t="shared" si="5"/>
        <v>0.79166404525357614</v>
      </c>
      <c r="K21" s="128">
        <f t="shared" si="11"/>
        <v>6.9</v>
      </c>
      <c r="L21" s="19">
        <f t="shared" si="12"/>
        <v>26.490305713543094</v>
      </c>
      <c r="M21" s="195">
        <f t="shared" si="6"/>
        <v>3.8391747410932018</v>
      </c>
      <c r="N21" s="440">
        <f t="shared" si="13"/>
        <v>-7.3530304400131197E-2</v>
      </c>
      <c r="O21" s="448">
        <f t="shared" si="14"/>
        <v>-0.10627933449122917</v>
      </c>
      <c r="P21" s="444">
        <f t="shared" si="15"/>
        <v>-5.6327909356197248E-2</v>
      </c>
      <c r="Q21" s="445">
        <f t="shared" si="16"/>
        <v>2.4878481182291079E-3</v>
      </c>
      <c r="S21" s="206"/>
      <c r="AJ21" s="7"/>
    </row>
    <row r="22" spans="1:38" x14ac:dyDescent="0.2">
      <c r="A22" s="180">
        <f t="shared" si="7"/>
        <v>2030</v>
      </c>
      <c r="B22" s="128">
        <f t="shared" si="0"/>
        <v>1.2</v>
      </c>
      <c r="C22" s="5">
        <f t="shared" si="8"/>
        <v>9.0870397840488408</v>
      </c>
      <c r="D22" s="195">
        <f t="shared" si="1"/>
        <v>7.5725331533740343</v>
      </c>
      <c r="E22" s="5">
        <f t="shared" si="2"/>
        <v>4</v>
      </c>
      <c r="F22" s="5">
        <f t="shared" si="9"/>
        <v>14.035718345816491</v>
      </c>
      <c r="G22" s="4">
        <f t="shared" si="3"/>
        <v>3.5089295864541228</v>
      </c>
      <c r="H22" s="128">
        <f t="shared" si="4"/>
        <v>1.7000000000000004</v>
      </c>
      <c r="I22" s="5">
        <f t="shared" si="10"/>
        <v>1.3474687579638669</v>
      </c>
      <c r="J22" s="4">
        <f t="shared" si="5"/>
        <v>0.79262868115521568</v>
      </c>
      <c r="K22" s="128">
        <f t="shared" si="11"/>
        <v>6.9</v>
      </c>
      <c r="L22" s="19">
        <f t="shared" si="12"/>
        <v>24.470226887829199</v>
      </c>
      <c r="M22" s="195">
        <f t="shared" si="6"/>
        <v>3.5464096938882896</v>
      </c>
      <c r="N22" s="440">
        <f t="shared" si="13"/>
        <v>-7.6257286252500167E-2</v>
      </c>
      <c r="O22" s="448">
        <f t="shared" si="14"/>
        <v>-0.11025207938475967</v>
      </c>
      <c r="P22" s="444">
        <f t="shared" si="15"/>
        <v>-5.9988153136549816E-2</v>
      </c>
      <c r="Q22" s="445">
        <f t="shared" si="16"/>
        <v>1.2184914894428633E-3</v>
      </c>
      <c r="R22" s="11"/>
      <c r="S22" s="206"/>
      <c r="AJ22" s="7"/>
    </row>
    <row r="23" spans="1:38" x14ac:dyDescent="0.2">
      <c r="A23" s="180">
        <f t="shared" si="7"/>
        <v>2031</v>
      </c>
      <c r="B23" s="128">
        <f t="shared" si="0"/>
        <v>1.2</v>
      </c>
      <c r="C23" s="5">
        <f t="shared" si="8"/>
        <v>8.0535871706202116</v>
      </c>
      <c r="D23" s="195">
        <f t="shared" si="1"/>
        <v>6.7113226421835099</v>
      </c>
      <c r="E23" s="5">
        <f t="shared" si="2"/>
        <v>4</v>
      </c>
      <c r="F23" s="5">
        <f t="shared" si="9"/>
        <v>13.148391309408424</v>
      </c>
      <c r="G23" s="4">
        <f t="shared" si="3"/>
        <v>3.2870978273521061</v>
      </c>
      <c r="H23" s="128">
        <f t="shared" si="4"/>
        <v>1.7000000000000004</v>
      </c>
      <c r="I23" s="5">
        <f t="shared" si="10"/>
        <v>1.347517762483605</v>
      </c>
      <c r="J23" s="4">
        <f t="shared" si="5"/>
        <v>0.79265750734329687</v>
      </c>
      <c r="K23" s="128">
        <f t="shared" si="11"/>
        <v>6.9</v>
      </c>
      <c r="L23" s="19">
        <f t="shared" si="12"/>
        <v>22.549496242512241</v>
      </c>
      <c r="M23" s="195">
        <f t="shared" si="6"/>
        <v>3.2680429336974259</v>
      </c>
      <c r="N23" s="440">
        <f t="shared" si="13"/>
        <v>-7.8492555631851313E-2</v>
      </c>
      <c r="O23" s="448">
        <f t="shared" si="14"/>
        <v>-0.11372819289761726</v>
      </c>
      <c r="P23" s="444">
        <f t="shared" si="15"/>
        <v>-6.3219210769682066E-2</v>
      </c>
      <c r="Q23" s="445">
        <f t="shared" si="16"/>
        <v>3.6367833724071374E-5</v>
      </c>
      <c r="R23" s="7"/>
      <c r="S23" s="206"/>
      <c r="AF23" s="10"/>
      <c r="AJ23" s="7"/>
    </row>
    <row r="24" spans="1:38" x14ac:dyDescent="0.2">
      <c r="A24" s="180">
        <f t="shared" si="7"/>
        <v>2032</v>
      </c>
      <c r="B24" s="128">
        <f t="shared" si="0"/>
        <v>1.2</v>
      </c>
      <c r="C24" s="5">
        <f t="shared" si="8"/>
        <v>7.1129658620150451</v>
      </c>
      <c r="D24" s="195">
        <f t="shared" si="1"/>
        <v>5.9274715516792043</v>
      </c>
      <c r="E24" s="5">
        <f t="shared" si="2"/>
        <v>4</v>
      </c>
      <c r="F24" s="5">
        <f t="shared" si="9"/>
        <v>12.279382719240829</v>
      </c>
      <c r="G24" s="4">
        <f t="shared" si="3"/>
        <v>3.0698456798102072</v>
      </c>
      <c r="H24" s="128">
        <f t="shared" si="4"/>
        <v>1.7000000000000004</v>
      </c>
      <c r="I24" s="5">
        <f t="shared" si="10"/>
        <v>1.3460796694398169</v>
      </c>
      <c r="J24" s="4">
        <f t="shared" si="5"/>
        <v>0.79181157025871562</v>
      </c>
      <c r="K24" s="128">
        <f t="shared" si="11"/>
        <v>6.9</v>
      </c>
      <c r="L24" s="19">
        <f t="shared" si="12"/>
        <v>20.738428250695691</v>
      </c>
      <c r="M24" s="195">
        <f t="shared" si="6"/>
        <v>3.0055693116950275</v>
      </c>
      <c r="N24" s="440">
        <f t="shared" si="13"/>
        <v>-8.0315230652566405E-2</v>
      </c>
      <c r="O24" s="448">
        <f t="shared" si="14"/>
        <v>-0.11679532221822697</v>
      </c>
      <c r="P24" s="444">
        <f t="shared" si="15"/>
        <v>-6.6092388773504984E-2</v>
      </c>
      <c r="Q24" s="445">
        <f t="shared" si="16"/>
        <v>-1.0672163913724164E-3</v>
      </c>
      <c r="R24" s="7"/>
      <c r="S24" s="509"/>
      <c r="T24" s="43"/>
      <c r="U24" s="43"/>
      <c r="V24" s="10"/>
      <c r="W24" s="10"/>
      <c r="X24" s="10"/>
      <c r="Y24" s="10"/>
      <c r="Z24" s="10"/>
      <c r="AA24" s="10"/>
      <c r="AB24" s="43"/>
      <c r="AC24" s="10"/>
      <c r="AD24" s="10"/>
      <c r="AE24" s="10"/>
      <c r="AF24" s="10"/>
    </row>
    <row r="25" spans="1:38" x14ac:dyDescent="0.2">
      <c r="A25" s="180">
        <f t="shared" si="7"/>
        <v>2033</v>
      </c>
      <c r="B25" s="128">
        <f t="shared" si="0"/>
        <v>1.2</v>
      </c>
      <c r="C25" s="5">
        <f t="shared" si="8"/>
        <v>6.2628125450342225</v>
      </c>
      <c r="D25" s="195">
        <f t="shared" si="1"/>
        <v>5.2190104541951854</v>
      </c>
      <c r="E25" s="5">
        <f t="shared" si="2"/>
        <v>4</v>
      </c>
      <c r="F25" s="5">
        <f t="shared" si="9"/>
        <v>11.436230859894025</v>
      </c>
      <c r="G25" s="4">
        <f t="shared" si="3"/>
        <v>2.8590577149735061</v>
      </c>
      <c r="H25" s="128">
        <f t="shared" si="4"/>
        <v>1.7000000000000004</v>
      </c>
      <c r="I25" s="5">
        <f t="shared" si="10"/>
        <v>1.3432531219704344</v>
      </c>
      <c r="J25" s="4">
        <f t="shared" si="5"/>
        <v>0.79014889527672594</v>
      </c>
      <c r="K25" s="128">
        <f t="shared" si="11"/>
        <v>6.9</v>
      </c>
      <c r="L25" s="19">
        <f t="shared" si="12"/>
        <v>19.042296526898681</v>
      </c>
      <c r="M25" s="195">
        <f t="shared" si="6"/>
        <v>2.7597531198403886</v>
      </c>
      <c r="N25" s="440">
        <f t="shared" si="13"/>
        <v>-8.1786898375006301E-2</v>
      </c>
      <c r="O25" s="448">
        <f t="shared" si="14"/>
        <v>-0.11952163604788923</v>
      </c>
      <c r="P25" s="444">
        <f t="shared" si="15"/>
        <v>-6.8664026411168977E-2</v>
      </c>
      <c r="Q25" s="445">
        <f t="shared" si="16"/>
        <v>-2.0998366839303229E-3</v>
      </c>
      <c r="R25" s="7"/>
      <c r="S25" s="206"/>
      <c r="T25" s="43"/>
      <c r="U25" s="43"/>
      <c r="V25" s="10"/>
      <c r="W25" s="10"/>
      <c r="X25" s="10"/>
      <c r="Y25" s="10"/>
      <c r="Z25" s="10"/>
      <c r="AA25" s="10"/>
      <c r="AB25" s="43"/>
      <c r="AC25" s="10"/>
      <c r="AD25" s="10"/>
      <c r="AE25" s="10"/>
      <c r="AF25" s="10"/>
    </row>
    <row r="26" spans="1:38" x14ac:dyDescent="0.2">
      <c r="A26" s="180">
        <f t="shared" si="7"/>
        <v>2034</v>
      </c>
      <c r="B26" s="128">
        <f t="shared" si="0"/>
        <v>1.2</v>
      </c>
      <c r="C26" s="5">
        <f t="shared" si="8"/>
        <v>5.498993972040374</v>
      </c>
      <c r="D26" s="195">
        <f t="shared" si="1"/>
        <v>4.5824949767003123</v>
      </c>
      <c r="E26" s="5">
        <f t="shared" si="2"/>
        <v>4</v>
      </c>
      <c r="F26" s="5">
        <f t="shared" si="9"/>
        <v>10.624496034444221</v>
      </c>
      <c r="G26" s="4">
        <f t="shared" si="3"/>
        <v>2.6561240086110551</v>
      </c>
      <c r="H26" s="128">
        <f t="shared" si="4"/>
        <v>1.7000000000000004</v>
      </c>
      <c r="I26" s="5">
        <f t="shared" si="10"/>
        <v>1.3391318539776762</v>
      </c>
      <c r="J26" s="4">
        <f t="shared" si="5"/>
        <v>0.78772461998686816</v>
      </c>
      <c r="K26" s="128">
        <f t="shared" si="11"/>
        <v>6.9</v>
      </c>
      <c r="L26" s="19">
        <f t="shared" si="12"/>
        <v>17.462621860462271</v>
      </c>
      <c r="M26" s="195">
        <f t="shared" si="6"/>
        <v>2.5308147623858361</v>
      </c>
      <c r="N26" s="440">
        <f t="shared" si="13"/>
        <v>-8.2956100605039995E-2</v>
      </c>
      <c r="O26" s="448">
        <f t="shared" si="14"/>
        <v>-0.12196095085098457</v>
      </c>
      <c r="P26" s="444">
        <f t="shared" si="15"/>
        <v>-7.0979226931881523E-2</v>
      </c>
      <c r="Q26" s="445">
        <f t="shared" si="16"/>
        <v>-3.0681246336600188E-3</v>
      </c>
      <c r="R26" s="7"/>
      <c r="S26" s="43"/>
      <c r="T26" s="43"/>
      <c r="U26" s="43"/>
      <c r="V26" s="10"/>
      <c r="W26" s="10"/>
      <c r="X26" s="10"/>
      <c r="Y26" s="10"/>
      <c r="Z26" s="10"/>
      <c r="AA26" s="10"/>
      <c r="AB26" s="43"/>
      <c r="AC26" s="10"/>
      <c r="AD26" s="10"/>
      <c r="AE26" s="10"/>
    </row>
    <row r="27" spans="1:38" x14ac:dyDescent="0.2">
      <c r="A27" s="180">
        <f t="shared" si="7"/>
        <v>2035</v>
      </c>
      <c r="B27" s="128">
        <f t="shared" si="0"/>
        <v>1.2</v>
      </c>
      <c r="C27" s="5">
        <f t="shared" si="8"/>
        <v>4.8162591215233483</v>
      </c>
      <c r="D27" s="195">
        <f t="shared" si="1"/>
        <v>4.0135492679361242</v>
      </c>
      <c r="E27" s="5">
        <f t="shared" si="2"/>
        <v>4</v>
      </c>
      <c r="F27" s="5">
        <f t="shared" si="9"/>
        <v>9.8481160268600263</v>
      </c>
      <c r="G27" s="4">
        <f t="shared" si="3"/>
        <v>2.4620290067150066</v>
      </c>
      <c r="H27" s="128">
        <f t="shared" si="4"/>
        <v>1.7000000000000004</v>
      </c>
      <c r="I27" s="5">
        <f t="shared" si="10"/>
        <v>1.3338049073222038</v>
      </c>
      <c r="J27" s="4">
        <f t="shared" si="5"/>
        <v>0.7845911219542373</v>
      </c>
      <c r="K27" s="128">
        <f t="shared" si="11"/>
        <v>6.9</v>
      </c>
      <c r="L27" s="19">
        <f t="shared" si="12"/>
        <v>15.998180055705578</v>
      </c>
      <c r="M27" s="195">
        <f t="shared" si="6"/>
        <v>2.318576819667475</v>
      </c>
      <c r="N27" s="440">
        <f t="shared" si="13"/>
        <v>-8.3861508109065008E-2</v>
      </c>
      <c r="O27" s="448">
        <f t="shared" si="14"/>
        <v>-0.1241563191355346</v>
      </c>
      <c r="P27" s="444">
        <f t="shared" si="15"/>
        <v>-7.3074525612057184E-2</v>
      </c>
      <c r="Q27" s="445">
        <f t="shared" si="16"/>
        <v>-3.9779104945114607E-3</v>
      </c>
      <c r="R27" s="7"/>
    </row>
    <row r="28" spans="1:38" x14ac:dyDescent="0.2">
      <c r="A28" s="180">
        <f t="shared" si="7"/>
        <v>2036</v>
      </c>
      <c r="B28" s="128">
        <f t="shared" si="0"/>
        <v>1.2</v>
      </c>
      <c r="C28" s="5">
        <f t="shared" si="8"/>
        <v>4.2087237100219923</v>
      </c>
      <c r="D28" s="195">
        <f t="shared" si="1"/>
        <v>3.5072697583516605</v>
      </c>
      <c r="E28" s="5">
        <f t="shared" si="2"/>
        <v>4</v>
      </c>
      <c r="F28" s="5">
        <f t="shared" si="9"/>
        <v>9.1097059414665438</v>
      </c>
      <c r="G28" s="4">
        <f t="shared" si="3"/>
        <v>2.2774264853666359</v>
      </c>
      <c r="H28" s="128">
        <f t="shared" si="4"/>
        <v>1.7000000000000004</v>
      </c>
      <c r="I28" s="5">
        <f t="shared" si="10"/>
        <v>1.327356840008278</v>
      </c>
      <c r="J28" s="4">
        <f t="shared" si="5"/>
        <v>0.78079814118133983</v>
      </c>
      <c r="K28" s="128">
        <f t="shared" si="11"/>
        <v>6.9</v>
      </c>
      <c r="L28" s="19">
        <f t="shared" si="12"/>
        <v>14.645786491496814</v>
      </c>
      <c r="M28" s="195">
        <f t="shared" si="6"/>
        <v>2.1225777523908427</v>
      </c>
      <c r="N28" s="440">
        <f t="shared" si="13"/>
        <v>-8.4534213235489153E-2</v>
      </c>
      <c r="O28" s="448">
        <f t="shared" si="14"/>
        <v>-0.12614259245029924</v>
      </c>
      <c r="P28" s="444">
        <f t="shared" si="15"/>
        <v>-7.497983201858327E-2</v>
      </c>
      <c r="Q28" s="445">
        <f t="shared" si="16"/>
        <v>-4.8343406734581151E-3</v>
      </c>
    </row>
    <row r="29" spans="1:38" x14ac:dyDescent="0.2">
      <c r="A29" s="180">
        <f t="shared" si="7"/>
        <v>2037</v>
      </c>
      <c r="B29" s="128">
        <f t="shared" si="0"/>
        <v>1.2</v>
      </c>
      <c r="C29" s="5">
        <f t="shared" si="8"/>
        <v>3.6702247278392086</v>
      </c>
      <c r="D29" s="195">
        <f t="shared" si="1"/>
        <v>3.058520606532674</v>
      </c>
      <c r="E29" s="5">
        <f t="shared" si="2"/>
        <v>4</v>
      </c>
      <c r="F29" s="5">
        <f t="shared" si="9"/>
        <v>8.4108105146853518</v>
      </c>
      <c r="G29" s="4">
        <f t="shared" si="3"/>
        <v>2.1027026286713379</v>
      </c>
      <c r="H29" s="128">
        <f t="shared" si="4"/>
        <v>1.7000000000000004</v>
      </c>
      <c r="I29" s="5">
        <f t="shared" si="10"/>
        <v>1.3198679257189951</v>
      </c>
      <c r="J29" s="4">
        <f t="shared" si="5"/>
        <v>0.77639289748176166</v>
      </c>
      <c r="K29" s="128">
        <f t="shared" si="11"/>
        <v>6.9</v>
      </c>
      <c r="L29" s="19">
        <f t="shared" si="12"/>
        <v>13.400903168243556</v>
      </c>
      <c r="M29" s="195">
        <f t="shared" si="6"/>
        <v>1.9421598794555877</v>
      </c>
      <c r="N29" s="440">
        <f t="shared" si="13"/>
        <v>-8.4999417680711398E-2</v>
      </c>
      <c r="O29" s="448">
        <f t="shared" si="14"/>
        <v>-0.12794828534372238</v>
      </c>
      <c r="P29" s="444">
        <f t="shared" si="15"/>
        <v>-7.6719866840035289E-2</v>
      </c>
      <c r="Q29" s="445">
        <f t="shared" si="16"/>
        <v>-5.6419751370220261E-3</v>
      </c>
      <c r="S29" s="11"/>
      <c r="V29" s="58"/>
      <c r="W29" s="28"/>
      <c r="AC29" s="28"/>
      <c r="AD29" s="28"/>
      <c r="AE29" s="28"/>
    </row>
    <row r="30" spans="1:38" x14ac:dyDescent="0.2">
      <c r="A30" s="180">
        <f t="shared" si="7"/>
        <v>2038</v>
      </c>
      <c r="B30" s="128">
        <f t="shared" si="0"/>
        <v>1.2</v>
      </c>
      <c r="C30" s="5">
        <f t="shared" si="8"/>
        <v>3.1945747861154103</v>
      </c>
      <c r="D30" s="195">
        <f t="shared" si="1"/>
        <v>2.6621456550961753</v>
      </c>
      <c r="E30" s="5">
        <f t="shared" si="2"/>
        <v>4</v>
      </c>
      <c r="F30" s="5">
        <f t="shared" si="9"/>
        <v>7.7521158676361352</v>
      </c>
      <c r="G30" s="4">
        <f t="shared" si="3"/>
        <v>1.9380289669090338</v>
      </c>
      <c r="H30" s="128">
        <f t="shared" si="4"/>
        <v>1.7000000000000004</v>
      </c>
      <c r="I30" s="5">
        <f t="shared" si="10"/>
        <v>1.311414345045975</v>
      </c>
      <c r="J30" s="4">
        <f t="shared" si="5"/>
        <v>0.77142020296822045</v>
      </c>
      <c r="K30" s="128">
        <f t="shared" si="11"/>
        <v>6.9</v>
      </c>
      <c r="L30" s="19">
        <f t="shared" si="12"/>
        <v>12.258104998797521</v>
      </c>
      <c r="M30" s="195">
        <f t="shared" si="6"/>
        <v>1.7765369563474667</v>
      </c>
      <c r="N30" s="440">
        <f t="shared" si="13"/>
        <v>-8.5277697711759526E-2</v>
      </c>
      <c r="O30" s="448">
        <f t="shared" si="14"/>
        <v>-0.12959695304647745</v>
      </c>
      <c r="P30" s="444">
        <f t="shared" si="15"/>
        <v>-7.8315240356340188E-2</v>
      </c>
      <c r="Q30" s="445">
        <f t="shared" si="16"/>
        <v>-6.4048686298783242E-3</v>
      </c>
      <c r="S30" s="7"/>
      <c r="T30" s="7"/>
      <c r="U30" s="7"/>
      <c r="AB30" s="7"/>
    </row>
    <row r="31" spans="1:38" x14ac:dyDescent="0.2">
      <c r="A31" s="180">
        <f t="shared" si="7"/>
        <v>2039</v>
      </c>
      <c r="B31" s="128">
        <f t="shared" si="0"/>
        <v>1.2</v>
      </c>
      <c r="C31" s="5">
        <f t="shared" si="8"/>
        <v>2.7757397571860487</v>
      </c>
      <c r="D31" s="195">
        <f t="shared" si="1"/>
        <v>2.3131164643217073</v>
      </c>
      <c r="E31" s="5">
        <f t="shared" si="2"/>
        <v>4</v>
      </c>
      <c r="F31" s="5">
        <f t="shared" si="9"/>
        <v>7.1336266936670256</v>
      </c>
      <c r="G31" s="4">
        <f t="shared" si="3"/>
        <v>1.7834066734167564</v>
      </c>
      <c r="H31" s="128">
        <f t="shared" si="4"/>
        <v>1.7000000000000004</v>
      </c>
      <c r="I31" s="5">
        <f t="shared" si="10"/>
        <v>1.3020683687454806</v>
      </c>
      <c r="J31" s="4">
        <f t="shared" si="5"/>
        <v>0.76592256985028251</v>
      </c>
      <c r="K31" s="128">
        <f t="shared" si="11"/>
        <v>6.9</v>
      </c>
      <c r="L31" s="19">
        <f t="shared" si="12"/>
        <v>11.211434819598555</v>
      </c>
      <c r="M31" s="195">
        <f t="shared" si="6"/>
        <v>1.624845626028776</v>
      </c>
      <c r="N31" s="440">
        <f t="shared" si="13"/>
        <v>-8.5385969470945233E-2</v>
      </c>
      <c r="O31" s="448">
        <f t="shared" si="14"/>
        <v>-0.13110822471577299</v>
      </c>
      <c r="P31" s="444">
        <f t="shared" si="15"/>
        <v>-7.9783272661236193E-2</v>
      </c>
      <c r="Q31" s="445">
        <f t="shared" si="16"/>
        <v>-7.1266387589856706E-3</v>
      </c>
      <c r="S31" s="7"/>
      <c r="T31" s="7"/>
      <c r="U31" s="7"/>
      <c r="AB31" s="7"/>
    </row>
    <row r="32" spans="1:38" x14ac:dyDescent="0.2">
      <c r="A32" s="180">
        <f t="shared" si="7"/>
        <v>2040</v>
      </c>
      <c r="B32" s="128">
        <f t="shared" si="0"/>
        <v>1.2</v>
      </c>
      <c r="C32" s="5">
        <f t="shared" si="8"/>
        <v>2.4079581567915724</v>
      </c>
      <c r="D32" s="195">
        <f t="shared" si="1"/>
        <v>2.0066317973263104</v>
      </c>
      <c r="E32" s="5">
        <f t="shared" si="2"/>
        <v>4</v>
      </c>
      <c r="F32" s="5">
        <f t="shared" si="9"/>
        <v>6.554814032379312</v>
      </c>
      <c r="G32" s="4">
        <f t="shared" si="3"/>
        <v>1.638703508094828</v>
      </c>
      <c r="H32" s="128">
        <f t="shared" si="4"/>
        <v>1.7000000000000004</v>
      </c>
      <c r="I32" s="5">
        <f t="shared" si="10"/>
        <v>1.2918985333391788</v>
      </c>
      <c r="J32" s="4">
        <f t="shared" si="5"/>
        <v>0.75994031372892856</v>
      </c>
      <c r="K32" s="128">
        <f t="shared" si="11"/>
        <v>6.9</v>
      </c>
      <c r="L32" s="19">
        <f t="shared" si="12"/>
        <v>10.254670722510063</v>
      </c>
      <c r="M32" s="195">
        <f t="shared" si="6"/>
        <v>1.4861841626826178</v>
      </c>
      <c r="N32" s="440">
        <f t="shared" si="13"/>
        <v>-8.533823836856147E-2</v>
      </c>
      <c r="O32" s="448">
        <f t="shared" si="14"/>
        <v>-0.13249858868877562</v>
      </c>
      <c r="P32" s="444">
        <f t="shared" si="15"/>
        <v>-8.1138625014056664E-2</v>
      </c>
      <c r="Q32" s="445">
        <f t="shared" si="16"/>
        <v>-7.8105233568497301E-3</v>
      </c>
      <c r="S32" s="7"/>
      <c r="T32" s="7"/>
      <c r="U32" s="7"/>
      <c r="AB32" s="7"/>
    </row>
    <row r="33" spans="1:38" x14ac:dyDescent="0.2">
      <c r="A33" s="180">
        <f t="shared" si="7"/>
        <v>2041</v>
      </c>
      <c r="B33" s="128">
        <f t="shared" si="0"/>
        <v>1.2</v>
      </c>
      <c r="C33" s="5">
        <f t="shared" si="8"/>
        <v>2.0858167070512064</v>
      </c>
      <c r="D33" s="195">
        <f t="shared" si="1"/>
        <v>1.7381805892093387</v>
      </c>
      <c r="E33" s="5">
        <f t="shared" si="2"/>
        <v>4</v>
      </c>
      <c r="F33" s="5">
        <f t="shared" si="9"/>
        <v>6.0147380537370623</v>
      </c>
      <c r="G33" s="4">
        <f t="shared" si="3"/>
        <v>1.5036845134342656</v>
      </c>
      <c r="H33" s="128">
        <f t="shared" si="4"/>
        <v>1.7000000000000004</v>
      </c>
      <c r="I33" s="5">
        <f t="shared" si="10"/>
        <v>1.2809698093664394</v>
      </c>
      <c r="J33" s="4">
        <f t="shared" si="5"/>
        <v>0.75351165256849362</v>
      </c>
      <c r="K33" s="128">
        <f t="shared" si="11"/>
        <v>6.9</v>
      </c>
      <c r="L33" s="19">
        <f t="shared" si="12"/>
        <v>9.3815245701547081</v>
      </c>
      <c r="M33" s="195">
        <f t="shared" si="6"/>
        <v>1.3596412420514068</v>
      </c>
      <c r="N33" s="440">
        <f t="shared" si="13"/>
        <v>-8.5146191036510666E-2</v>
      </c>
      <c r="O33" s="448">
        <f t="shared" si="14"/>
        <v>-0.13378199651508726</v>
      </c>
      <c r="P33" s="444">
        <f t="shared" si="15"/>
        <v>-8.2393791185287002E-2</v>
      </c>
      <c r="Q33" s="445">
        <f t="shared" si="16"/>
        <v>-8.4594290423813945E-3</v>
      </c>
      <c r="S33" s="7"/>
      <c r="T33" s="7"/>
      <c r="U33" s="7"/>
      <c r="AB33" s="7"/>
    </row>
    <row r="34" spans="1:38" x14ac:dyDescent="0.2">
      <c r="A34" s="180">
        <f t="shared" si="7"/>
        <v>2042</v>
      </c>
      <c r="B34" s="128">
        <f t="shared" si="0"/>
        <v>1.2</v>
      </c>
      <c r="C34" s="5">
        <f t="shared" si="8"/>
        <v>1.804293332037231</v>
      </c>
      <c r="D34" s="195">
        <f t="shared" si="1"/>
        <v>1.5035777766976925</v>
      </c>
      <c r="E34" s="5">
        <f t="shared" si="2"/>
        <v>4</v>
      </c>
      <c r="F34" s="5">
        <f t="shared" si="9"/>
        <v>5.5121496472179459</v>
      </c>
      <c r="G34" s="4">
        <f t="shared" si="3"/>
        <v>1.3780374118044865</v>
      </c>
      <c r="H34" s="128">
        <f t="shared" si="4"/>
        <v>1.7000000000000004</v>
      </c>
      <c r="I34" s="5">
        <f t="shared" si="10"/>
        <v>1.2693437625814283</v>
      </c>
      <c r="J34" s="4">
        <f t="shared" si="5"/>
        <v>0.74667280151848703</v>
      </c>
      <c r="K34" s="128">
        <f t="shared" si="11"/>
        <v>6.9</v>
      </c>
      <c r="L34" s="19">
        <f t="shared" si="12"/>
        <v>8.5857867418366052</v>
      </c>
      <c r="M34" s="195">
        <f t="shared" si="6"/>
        <v>1.2443169191067542</v>
      </c>
      <c r="N34" s="440">
        <f t="shared" si="13"/>
        <v>-8.4819671085184845E-2</v>
      </c>
      <c r="O34" s="448">
        <f t="shared" si="14"/>
        <v>-0.13497033275372272</v>
      </c>
      <c r="P34" s="444">
        <f t="shared" si="15"/>
        <v>-8.3559483726286188E-2</v>
      </c>
      <c r="Q34" s="445">
        <f t="shared" si="16"/>
        <v>-9.0759725170738159E-3</v>
      </c>
      <c r="S34" s="7"/>
      <c r="T34" s="7"/>
      <c r="U34" s="7"/>
      <c r="AB34" s="7"/>
    </row>
    <row r="35" spans="1:38" x14ac:dyDescent="0.2">
      <c r="A35" s="180">
        <f t="shared" si="7"/>
        <v>2043</v>
      </c>
      <c r="B35" s="128">
        <f t="shared" si="0"/>
        <v>1.2</v>
      </c>
      <c r="C35" s="5">
        <f t="shared" si="8"/>
        <v>1.5587763107300248</v>
      </c>
      <c r="D35" s="195">
        <f t="shared" si="1"/>
        <v>1.2989802589416874</v>
      </c>
      <c r="E35" s="5">
        <f t="shared" si="2"/>
        <v>4</v>
      </c>
      <c r="F35" s="5">
        <f t="shared" si="9"/>
        <v>5.0455740684288699</v>
      </c>
      <c r="G35" s="4">
        <f t="shared" si="3"/>
        <v>1.2613935171072175</v>
      </c>
      <c r="H35" s="128">
        <f t="shared" si="4"/>
        <v>1.7000000000000004</v>
      </c>
      <c r="I35" s="5">
        <f t="shared" si="10"/>
        <v>1.2570787083791402</v>
      </c>
      <c r="J35" s="4">
        <f t="shared" si="5"/>
        <v>0.73945806375243517</v>
      </c>
      <c r="K35" s="128">
        <f t="shared" si="11"/>
        <v>6.9</v>
      </c>
      <c r="L35" s="19">
        <f t="shared" si="12"/>
        <v>7.8614290875380348</v>
      </c>
      <c r="M35" s="195">
        <f t="shared" si="6"/>
        <v>1.1393375489185558</v>
      </c>
      <c r="N35" s="440">
        <f t="shared" si="13"/>
        <v>-8.4367068048515459E-2</v>
      </c>
      <c r="O35" s="448">
        <f t="shared" si="14"/>
        <v>-0.13607378409473614</v>
      </c>
      <c r="P35" s="444">
        <f t="shared" si="15"/>
        <v>-8.4644940476999331E-2</v>
      </c>
      <c r="Q35" s="445">
        <f t="shared" si="16"/>
        <v>-9.6625158320745586E-3</v>
      </c>
    </row>
    <row r="36" spans="1:38" x14ac:dyDescent="0.2">
      <c r="A36" s="180">
        <f t="shared" si="7"/>
        <v>2044</v>
      </c>
      <c r="B36" s="128">
        <f t="shared" si="0"/>
        <v>1.2</v>
      </c>
      <c r="C36" s="5">
        <f t="shared" si="8"/>
        <v>1.3450663138261305</v>
      </c>
      <c r="D36" s="195">
        <f t="shared" si="1"/>
        <v>1.1208885948551088</v>
      </c>
      <c r="E36" s="5">
        <f t="shared" si="2"/>
        <v>4</v>
      </c>
      <c r="F36" s="5">
        <f t="shared" si="9"/>
        <v>4.613379427693765</v>
      </c>
      <c r="G36" s="4">
        <f t="shared" si="3"/>
        <v>1.1533448569234412</v>
      </c>
      <c r="H36" s="128">
        <f t="shared" si="4"/>
        <v>1.7000000000000004</v>
      </c>
      <c r="I36" s="5">
        <f t="shared" si="10"/>
        <v>1.2442298597214574</v>
      </c>
      <c r="J36" s="4">
        <f t="shared" si="5"/>
        <v>0.73189991748321004</v>
      </c>
      <c r="K36" s="128">
        <f t="shared" si="11"/>
        <v>6.9</v>
      </c>
      <c r="L36" s="19">
        <f t="shared" si="12"/>
        <v>7.2026756012413529</v>
      </c>
      <c r="M36" s="195">
        <f t="shared" si="6"/>
        <v>1.0438660291654134</v>
      </c>
      <c r="N36" s="440">
        <f t="shared" si="13"/>
        <v>-8.3795640584094389E-2</v>
      </c>
      <c r="O36" s="448">
        <f t="shared" si="14"/>
        <v>-0.13710113210779229</v>
      </c>
      <c r="P36" s="444">
        <f t="shared" si="15"/>
        <v>-8.5658169887829039E-2</v>
      </c>
      <c r="Q36" s="445">
        <f t="shared" si="16"/>
        <v>-1.0221196629962681E-2</v>
      </c>
    </row>
    <row r="37" spans="1:38" x14ac:dyDescent="0.2">
      <c r="A37" s="180">
        <f t="shared" si="7"/>
        <v>2045</v>
      </c>
      <c r="B37" s="128">
        <f t="shared" si="0"/>
        <v>1.2</v>
      </c>
      <c r="C37" s="5">
        <f t="shared" si="8"/>
        <v>1.1593664754354096</v>
      </c>
      <c r="D37" s="195">
        <f t="shared" si="1"/>
        <v>0.96613872952950808</v>
      </c>
      <c r="E37" s="5">
        <f t="shared" si="2"/>
        <v>4</v>
      </c>
      <c r="F37" s="5">
        <f t="shared" si="9"/>
        <v>4.2138324018326188</v>
      </c>
      <c r="G37" s="4">
        <f t="shared" si="3"/>
        <v>1.0534581004581547</v>
      </c>
      <c r="H37" s="128">
        <f t="shared" si="4"/>
        <v>1.7000000000000004</v>
      </c>
      <c r="I37" s="5">
        <f t="shared" si="10"/>
        <v>1.2308494688250704</v>
      </c>
      <c r="J37" s="4">
        <f t="shared" si="5"/>
        <v>0.72402909930886472</v>
      </c>
      <c r="K37" s="128">
        <f t="shared" si="11"/>
        <v>6.9</v>
      </c>
      <c r="L37" s="19">
        <f t="shared" si="12"/>
        <v>6.6040483460930988</v>
      </c>
      <c r="M37" s="195">
        <f t="shared" si="6"/>
        <v>0.95710845595552152</v>
      </c>
      <c r="N37" s="440">
        <f t="shared" si="13"/>
        <v>-8.3111789047542683E-2</v>
      </c>
      <c r="O37" s="448">
        <f t="shared" si="14"/>
        <v>-0.13805998743845227</v>
      </c>
      <c r="P37" s="444">
        <f t="shared" si="15"/>
        <v>-8.6606148946409167E-2</v>
      </c>
      <c r="Q37" s="445">
        <f t="shared" si="16"/>
        <v>-1.0753954176427216E-2</v>
      </c>
    </row>
    <row r="38" spans="1:38" x14ac:dyDescent="0.2">
      <c r="A38" s="180">
        <f t="shared" si="7"/>
        <v>2046</v>
      </c>
      <c r="B38" s="128">
        <f t="shared" si="0"/>
        <v>1.2</v>
      </c>
      <c r="C38" s="5">
        <f t="shared" si="8"/>
        <v>0.99826441283243383</v>
      </c>
      <c r="D38" s="195">
        <f t="shared" si="1"/>
        <v>0.83188701069369486</v>
      </c>
      <c r="E38" s="5">
        <f t="shared" si="2"/>
        <v>4</v>
      </c>
      <c r="F38" s="5">
        <f t="shared" si="9"/>
        <v>3.8451432030082771</v>
      </c>
      <c r="G38" s="4">
        <f t="shared" si="3"/>
        <v>0.96128580075206926</v>
      </c>
      <c r="H38" s="128">
        <f t="shared" si="4"/>
        <v>1.7000000000000004</v>
      </c>
      <c r="I38" s="5">
        <f t="shared" si="10"/>
        <v>1.2169869628617462</v>
      </c>
      <c r="J38" s="4">
        <f t="shared" si="5"/>
        <v>0.71587468403632115</v>
      </c>
      <c r="K38" s="128">
        <f t="shared" si="11"/>
        <v>6.9</v>
      </c>
      <c r="L38" s="19">
        <f t="shared" si="12"/>
        <v>6.0603945787024571</v>
      </c>
      <c r="M38" s="195">
        <f t="shared" si="6"/>
        <v>0.87831805488441406</v>
      </c>
      <c r="N38" s="440">
        <f t="shared" si="13"/>
        <v>-8.2321288231068546E-2</v>
      </c>
      <c r="O38" s="448">
        <f t="shared" si="14"/>
        <v>-0.13895697867447188</v>
      </c>
      <c r="P38" s="444">
        <f t="shared" si="15"/>
        <v>-8.7494984058691272E-2</v>
      </c>
      <c r="Q38" s="445">
        <f t="shared" si="16"/>
        <v>-1.1262551850923619E-2</v>
      </c>
    </row>
    <row r="39" spans="1:38" x14ac:dyDescent="0.2">
      <c r="A39" s="180">
        <f t="shared" si="7"/>
        <v>2047</v>
      </c>
      <c r="B39" s="128">
        <f t="shared" si="0"/>
        <v>1.2</v>
      </c>
      <c r="C39" s="5">
        <f t="shared" si="8"/>
        <v>0.85870913848563735</v>
      </c>
      <c r="D39" s="195">
        <f t="shared" si="1"/>
        <v>0.7155909487380312</v>
      </c>
      <c r="E39" s="5">
        <f t="shared" si="2"/>
        <v>4</v>
      </c>
      <c r="F39" s="5">
        <f t="shared" si="9"/>
        <v>3.5055015395866107</v>
      </c>
      <c r="G39" s="4">
        <f t="shared" si="3"/>
        <v>0.87637538489665268</v>
      </c>
      <c r="H39" s="128">
        <f t="shared" si="4"/>
        <v>1.7000000000000004</v>
      </c>
      <c r="I39" s="5">
        <f t="shared" si="10"/>
        <v>1.2026890739131915</v>
      </c>
      <c r="J39" s="4">
        <f t="shared" si="5"/>
        <v>0.70746416112540655</v>
      </c>
      <c r="K39" s="128">
        <f t="shared" si="11"/>
        <v>6.9</v>
      </c>
      <c r="L39" s="19">
        <f t="shared" si="12"/>
        <v>5.5668997519854395</v>
      </c>
      <c r="M39" s="195">
        <f t="shared" si="6"/>
        <v>0.80679706550513608</v>
      </c>
      <c r="N39" s="440">
        <f t="shared" si="13"/>
        <v>-8.1429487850719462E-2</v>
      </c>
      <c r="O39" s="448">
        <f t="shared" si="14"/>
        <v>-0.13979790579815243</v>
      </c>
      <c r="P39" s="444">
        <f t="shared" si="15"/>
        <v>-8.8330042729213631E-2</v>
      </c>
      <c r="Q39" s="445">
        <f t="shared" si="16"/>
        <v>-1.1748596644727605E-2</v>
      </c>
    </row>
    <row r="40" spans="1:38" x14ac:dyDescent="0.2">
      <c r="A40" s="180">
        <f t="shared" si="7"/>
        <v>2048</v>
      </c>
      <c r="B40" s="128">
        <f t="shared" si="0"/>
        <v>1.2</v>
      </c>
      <c r="C40" s="5">
        <f t="shared" si="8"/>
        <v>0.73798505341671561</v>
      </c>
      <c r="D40" s="195">
        <f t="shared" si="1"/>
        <v>0.61498754451392967</v>
      </c>
      <c r="E40" s="5">
        <f t="shared" si="2"/>
        <v>4</v>
      </c>
      <c r="F40" s="5">
        <f t="shared" si="9"/>
        <v>3.1931050468958873</v>
      </c>
      <c r="G40" s="4">
        <f t="shared" si="3"/>
        <v>0.79827626172397181</v>
      </c>
      <c r="H40" s="128">
        <f t="shared" si="4"/>
        <v>1.7000000000000004</v>
      </c>
      <c r="I40" s="5">
        <f t="shared" si="10"/>
        <v>1.1879999634115563</v>
      </c>
      <c r="J40" s="4">
        <f t="shared" si="5"/>
        <v>0.6988235078891506</v>
      </c>
      <c r="K40" s="128">
        <f t="shared" si="11"/>
        <v>6.9</v>
      </c>
      <c r="L40" s="19">
        <f t="shared" si="12"/>
        <v>5.1190900637241592</v>
      </c>
      <c r="M40" s="195">
        <f t="shared" si="6"/>
        <v>0.74189711068466069</v>
      </c>
      <c r="N40" s="440">
        <f t="shared" si="13"/>
        <v>-8.0441485963811066E-2</v>
      </c>
      <c r="O40" s="448">
        <f t="shared" si="14"/>
        <v>-0.14058786573742854</v>
      </c>
      <c r="P40" s="444">
        <f t="shared" si="15"/>
        <v>-8.9116062042170152E-2</v>
      </c>
      <c r="Q40" s="445">
        <f t="shared" si="16"/>
        <v>-1.2213556122066649E-2</v>
      </c>
    </row>
    <row r="41" spans="1:38" x14ac:dyDescent="0.2">
      <c r="A41" s="180">
        <f t="shared" si="7"/>
        <v>2049</v>
      </c>
      <c r="B41" s="128">
        <f t="shared" si="0"/>
        <v>1.2</v>
      </c>
      <c r="C41" s="5">
        <f t="shared" si="8"/>
        <v>0.63368462528680425</v>
      </c>
      <c r="D41" s="195">
        <f t="shared" si="1"/>
        <v>0.52807052107233687</v>
      </c>
      <c r="E41" s="5">
        <f t="shared" si="2"/>
        <v>4</v>
      </c>
      <c r="F41" s="5">
        <f t="shared" si="9"/>
        <v>2.9061814448990653</v>
      </c>
      <c r="G41" s="4">
        <f t="shared" si="3"/>
        <v>0.72654536122476632</v>
      </c>
      <c r="H41" s="128">
        <f t="shared" si="4"/>
        <v>1.7000000000000004</v>
      </c>
      <c r="I41" s="5">
        <f t="shared" si="10"/>
        <v>1.1729613412889393</v>
      </c>
      <c r="J41" s="4">
        <f t="shared" si="5"/>
        <v>0.68997725958172884</v>
      </c>
      <c r="K41" s="128">
        <f t="shared" si="11"/>
        <v>6.9</v>
      </c>
      <c r="L41" s="19">
        <f t="shared" si="12"/>
        <v>4.7128274114748088</v>
      </c>
      <c r="M41" s="195">
        <f t="shared" si="6"/>
        <v>0.68301846543113165</v>
      </c>
      <c r="N41" s="440">
        <f t="shared" si="13"/>
        <v>-7.9362278684699028E-2</v>
      </c>
      <c r="O41" s="448">
        <f t="shared" si="14"/>
        <v>-0.14133135575987932</v>
      </c>
      <c r="P41" s="444">
        <f t="shared" si="15"/>
        <v>-8.9857238575896226E-2</v>
      </c>
      <c r="Q41" s="445">
        <f t="shared" si="16"/>
        <v>-1.2658773220355135E-2</v>
      </c>
    </row>
    <row r="42" spans="1:38" ht="13.5" thickBot="1" x14ac:dyDescent="0.25">
      <c r="A42" s="189">
        <f>A41+1</f>
        <v>2050</v>
      </c>
      <c r="B42" s="181">
        <f>RF!B40</f>
        <v>1.2</v>
      </c>
      <c r="C42" s="182">
        <f t="shared" si="8"/>
        <v>0.54368090300557981</v>
      </c>
      <c r="D42" s="196">
        <f t="shared" si="1"/>
        <v>0.45306741917131654</v>
      </c>
      <c r="E42" s="190">
        <f>RF!E40</f>
        <v>4</v>
      </c>
      <c r="F42" s="182">
        <f t="shared" si="9"/>
        <v>2.6430054901882443</v>
      </c>
      <c r="G42" s="183">
        <f t="shared" si="3"/>
        <v>0.66075137254706107</v>
      </c>
      <c r="H42" s="184">
        <f>K42-E42-B42</f>
        <v>1.7000000000000004</v>
      </c>
      <c r="I42" s="182">
        <f t="shared" si="10"/>
        <v>1.1576125800499923</v>
      </c>
      <c r="J42" s="183">
        <f t="shared" si="5"/>
        <v>0.6809485764999953</v>
      </c>
      <c r="K42" s="181">
        <f>RF!K40</f>
        <v>6.9</v>
      </c>
      <c r="L42" s="185">
        <f t="shared" si="12"/>
        <v>4.3442989732438164</v>
      </c>
      <c r="M42" s="186">
        <f t="shared" si="6"/>
        <v>0.62960854684692991</v>
      </c>
      <c r="N42" s="441">
        <f t="shared" si="13"/>
        <v>-7.8196888206365833E-2</v>
      </c>
      <c r="O42" s="449">
        <f t="shared" si="14"/>
        <v>-0.14203235914156664</v>
      </c>
      <c r="P42" s="446">
        <f t="shared" si="15"/>
        <v>-9.0557303355145891E-2</v>
      </c>
      <c r="Q42" s="447">
        <f t="shared" si="16"/>
        <v>-1.3085479204353434E-2</v>
      </c>
    </row>
    <row r="43" spans="1:38" s="206" customFormat="1" x14ac:dyDescent="0.2">
      <c r="A43" s="489" t="s">
        <v>1</v>
      </c>
      <c r="B43" s="197"/>
      <c r="C43" s="207">
        <f>SUM(C12:C42)</f>
        <v>228.39056397717752</v>
      </c>
      <c r="D43" s="208"/>
      <c r="E43" s="207"/>
      <c r="F43" s="207">
        <f>SUM(F12:F42)</f>
        <v>332.98106674128212</v>
      </c>
      <c r="G43" s="207"/>
      <c r="H43" s="209"/>
      <c r="I43" s="207">
        <f>SUM(I12:I42)</f>
        <v>39.893856784500301</v>
      </c>
      <c r="J43" s="207"/>
      <c r="K43" s="210"/>
      <c r="L43" s="207">
        <f>SUM(L12:L42)</f>
        <v>601.26548750296001</v>
      </c>
      <c r="M43" s="198"/>
      <c r="N43" s="205"/>
      <c r="P43" s="3"/>
      <c r="Q43" s="3"/>
      <c r="R43" s="3"/>
      <c r="S43" s="3"/>
      <c r="T43" s="3"/>
      <c r="U43" s="3"/>
      <c r="V43" s="1"/>
      <c r="W43" s="1"/>
      <c r="X43" s="1"/>
      <c r="Y43" s="1"/>
      <c r="Z43" s="1"/>
      <c r="AA43" s="1"/>
      <c r="AB43" s="3"/>
      <c r="AC43" s="1"/>
      <c r="AD43" s="1"/>
      <c r="AE43" s="1"/>
      <c r="AF43" s="1"/>
      <c r="AG43" s="1"/>
      <c r="AH43" s="1"/>
      <c r="AI43" s="1"/>
      <c r="AJ43" s="3"/>
      <c r="AK43" s="3"/>
      <c r="AL43" s="3"/>
    </row>
    <row r="44" spans="1:38" ht="13.5" thickBot="1" x14ac:dyDescent="0.25">
      <c r="A44" s="180" t="s">
        <v>52</v>
      </c>
      <c r="B44" s="197"/>
      <c r="C44" s="211">
        <f>C$11*EXP(-C$8*($A42-$A$11))/C$8^2*((C$7*C$8+C$8^2)*($A42-$A$11)+2*C$8+C$7)</f>
        <v>3.1920685627401761</v>
      </c>
      <c r="D44" s="208"/>
      <c r="E44" s="207"/>
      <c r="F44" s="211">
        <f>F$11*EXP(-F$8*($A42-$A$11))/F$8^2*((F$7*F$8+F$8^2)*($A42-$A$11)+2*F$8+F$7)</f>
        <v>25.083938307595592</v>
      </c>
      <c r="G44" s="207"/>
      <c r="H44" s="209"/>
      <c r="I44" s="211">
        <f>I$11*EXP(-I$8*($A42-$A$11))/I$8^2*((I$7*I$8+I$8^2)*($A42-$A$11)+2*I$8+I$7)</f>
        <v>54.424711017346368</v>
      </c>
      <c r="J44" s="207"/>
      <c r="K44" s="212"/>
      <c r="L44" s="213">
        <f t="shared" si="12"/>
        <v>82.700717887682131</v>
      </c>
      <c r="M44" s="204"/>
      <c r="N44" s="152"/>
      <c r="AK44" s="206"/>
      <c r="AL44" s="206"/>
    </row>
    <row r="45" spans="1:38" ht="13.5" thickBot="1" x14ac:dyDescent="0.25">
      <c r="A45" s="143" t="s">
        <v>1</v>
      </c>
      <c r="B45" s="199"/>
      <c r="C45" s="145">
        <f>SUM(C43:C44)</f>
        <v>231.58263253991771</v>
      </c>
      <c r="D45" s="200"/>
      <c r="E45" s="145"/>
      <c r="F45" s="145">
        <f>SUM(F43:F44)</f>
        <v>358.06500504887771</v>
      </c>
      <c r="G45" s="146"/>
      <c r="H45" s="144"/>
      <c r="I45" s="145">
        <f>SUM(I43:I44)</f>
        <v>94.318567801846669</v>
      </c>
      <c r="J45" s="146"/>
      <c r="K45" s="144"/>
      <c r="L45" s="147">
        <f>SUM(L43:L44)</f>
        <v>683.96620539064213</v>
      </c>
      <c r="M45" s="148"/>
      <c r="N45" s="138"/>
    </row>
    <row r="46" spans="1:38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8" x14ac:dyDescent="0.2">
      <c r="A47" s="7"/>
      <c r="B47" s="7"/>
      <c r="C47" s="7"/>
      <c r="D47" s="7"/>
      <c r="E47" s="7"/>
      <c r="F47" s="7" t="s">
        <v>58</v>
      </c>
      <c r="K47" s="114"/>
      <c r="L47" s="113">
        <f>'global path'!C88</f>
        <v>683.96620539064213</v>
      </c>
      <c r="M47" s="7"/>
      <c r="N47" s="7"/>
      <c r="AI47" s="2"/>
      <c r="AJ47" s="206"/>
    </row>
    <row r="48" spans="1:3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113">
        <f>L45-L47</f>
        <v>0</v>
      </c>
      <c r="M48" s="7"/>
      <c r="N48" s="7"/>
    </row>
    <row r="49" spans="1:34" x14ac:dyDescent="0.2">
      <c r="AG49" s="2"/>
      <c r="AH49" s="2"/>
    </row>
    <row r="50" spans="1:34" ht="13.5" thickBot="1" x14ac:dyDescent="0.25">
      <c r="O50" s="35"/>
      <c r="P50" s="35"/>
      <c r="Q50" s="35"/>
    </row>
    <row r="51" spans="1:34" x14ac:dyDescent="0.2">
      <c r="A51" s="491">
        <f>A42+1</f>
        <v>2051</v>
      </c>
      <c r="B51" s="568">
        <f>B42</f>
        <v>1.2</v>
      </c>
      <c r="C51" s="493">
        <f>-C$11*EXP(-C$8*($A51-$A$11))/C$8^2*((C$7*C$8+C$8^2)*($A51-$A$11)+2*C$8+C$7)
  +C$11*EXP(-C$8*($A42-$A$11))/C$8^2*((C$7*C$8+C$8^2)*($A42-$A$11)+2*C$8+C$7)</f>
        <v>0.46610067375795383</v>
      </c>
      <c r="D51" s="494">
        <f t="shared" ref="D51:D100" si="17">C51/B51</f>
        <v>0.38841722813162821</v>
      </c>
      <c r="E51" s="658">
        <f>E42</f>
        <v>4</v>
      </c>
      <c r="F51" s="493">
        <f>-F$11*EXP(-F$8*($A51-$A$11))/F$8^2*((F$7*F$8+F$8^2)*($A51-$A$11)+2*F$8+F$7)
  +F$11*EXP(-F$8*($A42-$A$11))/F$8^2*((F$7*F$8+F$8^2)*($A42-$A$11)+2*F$8+F$7)</f>
        <v>2.4019116270992562</v>
      </c>
      <c r="G51" s="495">
        <f t="shared" ref="G51:G100" si="18">F51/E51</f>
        <v>0.60047790677481405</v>
      </c>
      <c r="H51" s="568">
        <f>H42</f>
        <v>1.7000000000000004</v>
      </c>
      <c r="I51" s="493">
        <f>-I$11*EXP(-I$8*($A51-$A$11))/I$8^2*((I$7*I$8+I$8^2)*($A51-$A$11)+2*I$8+I$7)
  +I$11*EXP(-I$8*($A42-$A$11))/I$8^2*((I$7*I$8+I$8^2)*($A42-$A$11)+2*I$8+I$7)</f>
        <v>1.1419908239730034</v>
      </c>
      <c r="J51" s="495">
        <f t="shared" ref="J51:J100" si="19">I51/H51</f>
        <v>0.67175930821941365</v>
      </c>
      <c r="K51" s="492">
        <f t="shared" ref="K51:K100" si="20">B51+E51+H51</f>
        <v>6.9</v>
      </c>
      <c r="L51" s="496">
        <f t="shared" ref="L51:L100" si="21">I51+F51+C51</f>
        <v>4.010003124830213</v>
      </c>
      <c r="M51" s="494">
        <f t="shared" ref="M51:M100" si="22">L51/K51</f>
        <v>0.58115987316379891</v>
      </c>
      <c r="N51" s="497">
        <f>L51/L42-1</f>
        <v>-7.6950470138566485E-2</v>
      </c>
      <c r="O51" s="448">
        <f>C51/C42-1</f>
        <v>-0.14269441655711379</v>
      </c>
      <c r="P51" s="444">
        <f>F51/F42-1</f>
        <v>-9.1219584667535658E-2</v>
      </c>
      <c r="Q51" s="445">
        <f>I51/I42-1</f>
        <v>-1.3494805037721935E-2</v>
      </c>
      <c r="R51" s="206"/>
    </row>
    <row r="52" spans="1:34" x14ac:dyDescent="0.2">
      <c r="A52" s="180">
        <f>A51+1</f>
        <v>2052</v>
      </c>
      <c r="B52" s="128">
        <f>B51</f>
        <v>1.2</v>
      </c>
      <c r="C52" s="5">
        <f t="shared" ref="C52:C100" si="23">-C$11*EXP(-C$8*($A52-$A$11))/C$8^2*((C$7*C$8+C$8^2)*($A52-$A$11)+2*C$8+C$7)
  +C$11*EXP(-C$8*($A51-$A$11))/C$8^2*((C$7*C$8+C$8^2)*($A51-$A$11)+2*C$8+C$7)</f>
        <v>0.39929880549986274</v>
      </c>
      <c r="D52" s="195">
        <f t="shared" si="17"/>
        <v>0.33274900458321899</v>
      </c>
      <c r="E52" s="5">
        <f>E51</f>
        <v>4</v>
      </c>
      <c r="F52" s="5">
        <f t="shared" ref="F52:F100" si="24">-F$11*EXP(-F$8*($A52-$A$11))/F$8^2*((F$7*F$8+F$8^2)*($A52-$A$11)+2*F$8+F$7)
  +F$11*EXP(-F$8*($A51-$A$11))/F$8^2*((F$7*F$8+F$8^2)*($A51-$A$11)+2*F$8+F$7)</f>
        <v>2.1813031034254138</v>
      </c>
      <c r="G52" s="4">
        <f t="shared" si="18"/>
        <v>0.54532577585635345</v>
      </c>
      <c r="H52" s="128">
        <f>H51</f>
        <v>1.7000000000000004</v>
      </c>
      <c r="I52" s="5">
        <f t="shared" ref="I52:I100" si="25">-I$11*EXP(-I$8*($A52-$A$11))/I$8^2*((I$7*I$8+I$8^2)*($A52-$A$11)+2*I$8+I$7)
  +I$11*EXP(-I$8*($A51-$A$11))/I$8^2*((I$7*I$8+I$8^2)*($A51-$A$11)+2*I$8+I$7)</f>
        <v>1.1261310936377242</v>
      </c>
      <c r="J52" s="4">
        <f t="shared" si="19"/>
        <v>0.66243005508101405</v>
      </c>
      <c r="K52" s="128">
        <f t="shared" si="20"/>
        <v>6.9</v>
      </c>
      <c r="L52" s="19">
        <f t="shared" si="21"/>
        <v>3.7067330025630008</v>
      </c>
      <c r="M52" s="195">
        <f t="shared" si="22"/>
        <v>0.53720768153086962</v>
      </c>
      <c r="N52" s="440">
        <f t="shared" ref="N52:N100" si="26">L52/L51-1</f>
        <v>-7.5628400484115121E-2</v>
      </c>
      <c r="O52" s="448">
        <f t="shared" ref="O52:O100" si="27">C52/C51-1</f>
        <v>-0.14332068589281055</v>
      </c>
      <c r="P52" s="444">
        <f t="shared" ref="P52:P100" si="28">F52/F51-1</f>
        <v>-9.1847060976288808E-2</v>
      </c>
      <c r="Q52" s="445">
        <f t="shared" ref="Q52:Q100" si="29">I52/I51-1</f>
        <v>-1.388779139231866E-2</v>
      </c>
    </row>
    <row r="53" spans="1:34" x14ac:dyDescent="0.2">
      <c r="A53" s="180">
        <f t="shared" ref="A53:A100" si="30">A52+1</f>
        <v>2053</v>
      </c>
      <c r="B53" s="128">
        <f t="shared" ref="B53:B100" si="31">B52</f>
        <v>1.2</v>
      </c>
      <c r="C53" s="5">
        <f t="shared" si="23"/>
        <v>0.34183412015395831</v>
      </c>
      <c r="D53" s="195">
        <f t="shared" si="17"/>
        <v>0.28486176679496528</v>
      </c>
      <c r="E53" s="5">
        <f t="shared" ref="E53:E100" si="32">E52</f>
        <v>4</v>
      </c>
      <c r="F53" s="5">
        <f t="shared" si="24"/>
        <v>1.9796581969740181</v>
      </c>
      <c r="G53" s="4">
        <f t="shared" si="18"/>
        <v>0.49491454924350453</v>
      </c>
      <c r="H53" s="128">
        <f t="shared" ref="H53:H100" si="33">H52</f>
        <v>1.7000000000000004</v>
      </c>
      <c r="I53" s="5">
        <f t="shared" si="25"/>
        <v>1.1100663859692332</v>
      </c>
      <c r="J53" s="4">
        <f t="shared" si="19"/>
        <v>0.65298022704072523</v>
      </c>
      <c r="K53" s="128">
        <f t="shared" si="20"/>
        <v>6.9</v>
      </c>
      <c r="L53" s="19">
        <f t="shared" si="21"/>
        <v>3.4315587030972097</v>
      </c>
      <c r="M53" s="195">
        <f t="shared" si="22"/>
        <v>0.49732734827495789</v>
      </c>
      <c r="N53" s="440">
        <f t="shared" si="26"/>
        <v>-7.4236342157776969E-2</v>
      </c>
      <c r="O53" s="448">
        <f t="shared" si="27"/>
        <v>-0.14391399261504723</v>
      </c>
      <c r="P53" s="444">
        <f t="shared" si="28"/>
        <v>-9.2442405704526887E-2</v>
      </c>
      <c r="Q53" s="445">
        <f t="shared" si="29"/>
        <v>-1.426539748280764E-2</v>
      </c>
    </row>
    <row r="54" spans="1:34" x14ac:dyDescent="0.2">
      <c r="A54" s="180">
        <f t="shared" si="30"/>
        <v>2054</v>
      </c>
      <c r="B54" s="128">
        <f t="shared" si="31"/>
        <v>1.2</v>
      </c>
      <c r="C54" s="5">
        <f t="shared" si="23"/>
        <v>0.29244699559805376</v>
      </c>
      <c r="D54" s="195">
        <f t="shared" si="17"/>
        <v>0.24370582966504481</v>
      </c>
      <c r="E54" s="5">
        <f t="shared" si="32"/>
        <v>4</v>
      </c>
      <c r="F54" s="5">
        <f t="shared" si="24"/>
        <v>1.7955340972821503</v>
      </c>
      <c r="G54" s="4">
        <f t="shared" si="18"/>
        <v>0.44888352432053757</v>
      </c>
      <c r="H54" s="128">
        <f t="shared" si="33"/>
        <v>1.7000000000000004</v>
      </c>
      <c r="I54" s="5">
        <f t="shared" si="25"/>
        <v>1.0938277699808907</v>
      </c>
      <c r="J54" s="4">
        <f t="shared" si="19"/>
        <v>0.64342809998875905</v>
      </c>
      <c r="K54" s="128">
        <f t="shared" si="20"/>
        <v>6.9</v>
      </c>
      <c r="L54" s="19">
        <f t="shared" si="21"/>
        <v>3.1818088628610948</v>
      </c>
      <c r="M54" s="195">
        <f t="shared" si="22"/>
        <v>0.46113171925523111</v>
      </c>
      <c r="N54" s="440">
        <f t="shared" si="26"/>
        <v>-7.2780290778851953E-2</v>
      </c>
      <c r="O54" s="448">
        <f t="shared" si="27"/>
        <v>-0.14447687238962903</v>
      </c>
      <c r="P54" s="444">
        <f t="shared" si="28"/>
        <v>-9.3008025311292819E-2</v>
      </c>
      <c r="Q54" s="445">
        <f t="shared" si="29"/>
        <v>-1.4628508883425151E-2</v>
      </c>
    </row>
    <row r="55" spans="1:34" x14ac:dyDescent="0.2">
      <c r="A55" s="180">
        <f t="shared" si="30"/>
        <v>2055</v>
      </c>
      <c r="B55" s="128">
        <f t="shared" si="31"/>
        <v>1.2</v>
      </c>
      <c r="C55" s="5">
        <f t="shared" si="23"/>
        <v>0.25003878671398505</v>
      </c>
      <c r="D55" s="195">
        <f t="shared" si="17"/>
        <v>0.20836565559498754</v>
      </c>
      <c r="E55" s="5">
        <f t="shared" si="32"/>
        <v>4</v>
      </c>
      <c r="F55" s="5">
        <f t="shared" si="24"/>
        <v>1.6275688997819984</v>
      </c>
      <c r="G55" s="4">
        <f t="shared" si="18"/>
        <v>0.40689222494549959</v>
      </c>
      <c r="H55" s="128">
        <f t="shared" si="33"/>
        <v>1.7000000000000004</v>
      </c>
      <c r="I55" s="5">
        <f t="shared" si="25"/>
        <v>1.07744447839125</v>
      </c>
      <c r="J55" s="4">
        <f t="shared" si="19"/>
        <v>0.63379086964191167</v>
      </c>
      <c r="K55" s="128">
        <f t="shared" si="20"/>
        <v>6.9</v>
      </c>
      <c r="L55" s="19">
        <f t="shared" si="21"/>
        <v>2.9550521648872334</v>
      </c>
      <c r="M55" s="195">
        <f t="shared" si="22"/>
        <v>0.42826842969380191</v>
      </c>
      <c r="N55" s="440">
        <f t="shared" si="26"/>
        <v>-7.1266599518476692E-2</v>
      </c>
      <c r="O55" s="448">
        <f t="shared" si="27"/>
        <v>-0.14501160730799767</v>
      </c>
      <c r="P55" s="444">
        <f t="shared" si="28"/>
        <v>-9.3546091803211162E-2</v>
      </c>
      <c r="Q55" s="445">
        <f t="shared" si="29"/>
        <v>-1.4977944461884496E-2</v>
      </c>
    </row>
    <row r="56" spans="1:34" x14ac:dyDescent="0.2">
      <c r="A56" s="180">
        <f t="shared" si="30"/>
        <v>2056</v>
      </c>
      <c r="B56" s="128">
        <f t="shared" si="31"/>
        <v>1.2</v>
      </c>
      <c r="C56" s="5">
        <f t="shared" si="23"/>
        <v>0.21365307825846402</v>
      </c>
      <c r="D56" s="195">
        <f t="shared" si="17"/>
        <v>0.17804423188205337</v>
      </c>
      <c r="E56" s="5">
        <f t="shared" si="32"/>
        <v>4</v>
      </c>
      <c r="F56" s="5">
        <f t="shared" si="24"/>
        <v>1.4744820955027436</v>
      </c>
      <c r="G56" s="4">
        <f t="shared" si="18"/>
        <v>0.36862052387568589</v>
      </c>
      <c r="H56" s="128">
        <f t="shared" si="33"/>
        <v>1.7000000000000004</v>
      </c>
      <c r="I56" s="5">
        <f t="shared" si="25"/>
        <v>1.0609439952835658</v>
      </c>
      <c r="J56" s="4">
        <f t="shared" si="19"/>
        <v>0.6240847031079797</v>
      </c>
      <c r="K56" s="128">
        <f t="shared" si="20"/>
        <v>6.9</v>
      </c>
      <c r="L56" s="19">
        <f t="shared" si="21"/>
        <v>2.7490791690447733</v>
      </c>
      <c r="M56" s="195">
        <f t="shared" si="22"/>
        <v>0.39841727087605411</v>
      </c>
      <c r="N56" s="440">
        <f t="shared" si="26"/>
        <v>-6.9701983027538272E-2</v>
      </c>
      <c r="O56" s="448">
        <f t="shared" si="27"/>
        <v>-0.14552025681176417</v>
      </c>
      <c r="P56" s="444">
        <f t="shared" si="28"/>
        <v>-9.405857060783096E-2</v>
      </c>
      <c r="Q56" s="445">
        <f t="shared" si="29"/>
        <v>-1.5314462544113061E-2</v>
      </c>
    </row>
    <row r="57" spans="1:34" x14ac:dyDescent="0.2">
      <c r="A57" s="180">
        <f t="shared" si="30"/>
        <v>2057</v>
      </c>
      <c r="B57" s="128">
        <f t="shared" si="31"/>
        <v>1.2</v>
      </c>
      <c r="C57" s="5">
        <f t="shared" si="23"/>
        <v>0.18245872803907415</v>
      </c>
      <c r="D57" s="195">
        <f t="shared" si="17"/>
        <v>0.15204894003256181</v>
      </c>
      <c r="E57" s="5">
        <f t="shared" si="32"/>
        <v>4</v>
      </c>
      <c r="F57" s="5">
        <f t="shared" si="24"/>
        <v>1.3350738762155192</v>
      </c>
      <c r="G57" s="4">
        <f t="shared" si="18"/>
        <v>0.3337684690538798</v>
      </c>
      <c r="H57" s="128">
        <f t="shared" si="33"/>
        <v>1.7000000000000004</v>
      </c>
      <c r="I57" s="5">
        <f t="shared" si="25"/>
        <v>1.0443521399693907</v>
      </c>
      <c r="J57" s="4">
        <f t="shared" si="19"/>
        <v>0.61432478821728853</v>
      </c>
      <c r="K57" s="128">
        <f t="shared" si="20"/>
        <v>6.9</v>
      </c>
      <c r="L57" s="19">
        <f t="shared" si="21"/>
        <v>2.5618847442239838</v>
      </c>
      <c r="M57" s="195">
        <f t="shared" si="22"/>
        <v>0.37128764409043241</v>
      </c>
      <c r="N57" s="440">
        <f t="shared" si="26"/>
        <v>-6.8093500881545865E-2</v>
      </c>
      <c r="O57" s="448">
        <f t="shared" si="27"/>
        <v>-0.14600468419955515</v>
      </c>
      <c r="P57" s="444">
        <f t="shared" si="28"/>
        <v>-9.4547244562974031E-2</v>
      </c>
      <c r="Q57" s="445">
        <f t="shared" si="29"/>
        <v>-1.5638766407967131E-2</v>
      </c>
      <c r="AF57" s="2"/>
    </row>
    <row r="58" spans="1:34" x14ac:dyDescent="0.2">
      <c r="A58" s="180">
        <f t="shared" si="30"/>
        <v>2058</v>
      </c>
      <c r="B58" s="128">
        <f t="shared" si="31"/>
        <v>1.2</v>
      </c>
      <c r="C58" s="5">
        <f t="shared" si="23"/>
        <v>0.15573462225515122</v>
      </c>
      <c r="D58" s="195">
        <f t="shared" si="17"/>
        <v>0.12977885187929269</v>
      </c>
      <c r="E58" s="5">
        <f t="shared" si="32"/>
        <v>4</v>
      </c>
      <c r="F58" s="5">
        <f t="shared" si="24"/>
        <v>1.2082235212177022</v>
      </c>
      <c r="G58" s="4">
        <f t="shared" si="18"/>
        <v>0.30205588030442554</v>
      </c>
      <c r="H58" s="128">
        <f t="shared" si="33"/>
        <v>1.7000000000000004</v>
      </c>
      <c r="I58" s="5">
        <f t="shared" si="25"/>
        <v>1.0276931472122612</v>
      </c>
      <c r="J58" s="4">
        <f t="shared" si="19"/>
        <v>0.6045253807130947</v>
      </c>
      <c r="K58" s="128">
        <f t="shared" si="20"/>
        <v>6.9</v>
      </c>
      <c r="L58" s="19">
        <f t="shared" si="21"/>
        <v>2.3916512906851146</v>
      </c>
      <c r="M58" s="195">
        <f t="shared" si="22"/>
        <v>0.34661612908479922</v>
      </c>
      <c r="N58" s="440">
        <f t="shared" si="26"/>
        <v>-6.6448521512404879E-2</v>
      </c>
      <c r="O58" s="448">
        <f t="shared" si="27"/>
        <v>-0.14646657943488384</v>
      </c>
      <c r="P58" s="444">
        <f t="shared" si="28"/>
        <v>-9.5013734638711322E-2</v>
      </c>
      <c r="Q58" s="445">
        <f t="shared" si="29"/>
        <v>-1.5951509188862012E-2</v>
      </c>
      <c r="S58" s="206"/>
      <c r="T58" s="206"/>
      <c r="U58" s="206"/>
      <c r="V58" s="2"/>
      <c r="W58" s="2"/>
      <c r="X58" s="2"/>
      <c r="Y58" s="2"/>
      <c r="Z58" s="2"/>
      <c r="AA58" s="2"/>
      <c r="AB58" s="206"/>
      <c r="AC58" s="2"/>
      <c r="AD58" s="2"/>
      <c r="AE58" s="2"/>
    </row>
    <row r="59" spans="1:34" x14ac:dyDescent="0.2">
      <c r="A59" s="180">
        <f t="shared" si="30"/>
        <v>2059</v>
      </c>
      <c r="B59" s="128">
        <f t="shared" si="31"/>
        <v>1.2</v>
      </c>
      <c r="C59" s="5">
        <f t="shared" si="23"/>
        <v>0.13285604153093511</v>
      </c>
      <c r="D59" s="195">
        <f t="shared" si="17"/>
        <v>0.11071336794244593</v>
      </c>
      <c r="E59" s="5">
        <f t="shared" si="32"/>
        <v>4</v>
      </c>
      <c r="F59" s="5">
        <f t="shared" si="24"/>
        <v>1.092887086366698</v>
      </c>
      <c r="G59" s="4">
        <f t="shared" si="18"/>
        <v>0.27322177159167449</v>
      </c>
      <c r="H59" s="128">
        <f t="shared" si="33"/>
        <v>1.7000000000000004</v>
      </c>
      <c r="I59" s="5">
        <f t="shared" si="25"/>
        <v>1.0109897439596978</v>
      </c>
      <c r="J59" s="4">
        <f t="shared" si="19"/>
        <v>0.59469984938805742</v>
      </c>
      <c r="K59" s="128">
        <f t="shared" si="20"/>
        <v>6.9</v>
      </c>
      <c r="L59" s="19">
        <f t="shared" si="21"/>
        <v>2.2367328718573307</v>
      </c>
      <c r="M59" s="195">
        <f t="shared" si="22"/>
        <v>0.32416418432714939</v>
      </c>
      <c r="N59" s="440">
        <f t="shared" si="26"/>
        <v>-6.4774668209848341E-2</v>
      </c>
      <c r="O59" s="448">
        <f t="shared" si="27"/>
        <v>-0.14690747884393041</v>
      </c>
      <c r="P59" s="444">
        <f t="shared" si="28"/>
        <v>-9.5459517900100876E-2</v>
      </c>
      <c r="Q59" s="445">
        <f t="shared" si="29"/>
        <v>-1.6253298270863636E-2</v>
      </c>
    </row>
    <row r="60" spans="1:34" x14ac:dyDescent="0.2">
      <c r="A60" s="180">
        <f t="shared" si="30"/>
        <v>2060</v>
      </c>
      <c r="B60" s="128">
        <f t="shared" si="31"/>
        <v>1.2</v>
      </c>
      <c r="C60" s="5">
        <f t="shared" si="23"/>
        <v>0.11328252272602557</v>
      </c>
      <c r="D60" s="195">
        <f t="shared" si="17"/>
        <v>9.4402102271687979E-2</v>
      </c>
      <c r="E60" s="5">
        <f t="shared" si="32"/>
        <v>4</v>
      </c>
      <c r="F60" s="5">
        <f t="shared" si="24"/>
        <v>0.98809457735593575</v>
      </c>
      <c r="G60" s="4">
        <f t="shared" si="18"/>
        <v>0.24702364433898394</v>
      </c>
      <c r="H60" s="128">
        <f t="shared" si="33"/>
        <v>1.7000000000000004</v>
      </c>
      <c r="I60" s="5">
        <f t="shared" si="25"/>
        <v>0.99426322272811518</v>
      </c>
      <c r="J60" s="4">
        <f t="shared" si="19"/>
        <v>0.58486071925183236</v>
      </c>
      <c r="K60" s="128">
        <f t="shared" si="20"/>
        <v>6.9</v>
      </c>
      <c r="L60" s="19">
        <f t="shared" si="21"/>
        <v>2.0956403228100764</v>
      </c>
      <c r="M60" s="195">
        <f t="shared" si="22"/>
        <v>0.30371598881305456</v>
      </c>
      <c r="N60" s="440">
        <f t="shared" si="26"/>
        <v>-6.3079749407042196E-2</v>
      </c>
      <c r="O60" s="448">
        <f t="shared" si="27"/>
        <v>-0.14732878218678458</v>
      </c>
      <c r="P60" s="444">
        <f t="shared" si="28"/>
        <v>-9.5885943129902618E-2</v>
      </c>
      <c r="Q60" s="445">
        <f t="shared" si="29"/>
        <v>-1.6544699223229098E-2</v>
      </c>
    </row>
    <row r="61" spans="1:34" x14ac:dyDescent="0.2">
      <c r="A61" s="180">
        <f t="shared" si="30"/>
        <v>2061</v>
      </c>
      <c r="B61" s="128">
        <f t="shared" si="31"/>
        <v>1.2</v>
      </c>
      <c r="C61" s="5">
        <f t="shared" si="23"/>
        <v>9.6547095416621431E-2</v>
      </c>
      <c r="D61" s="195">
        <f t="shared" si="17"/>
        <v>8.0455912847184535E-2</v>
      </c>
      <c r="E61" s="5">
        <f t="shared" si="32"/>
        <v>4</v>
      </c>
      <c r="F61" s="5">
        <f t="shared" si="24"/>
        <v>0.89294675657540523</v>
      </c>
      <c r="G61" s="4">
        <f t="shared" si="18"/>
        <v>0.22323668914385131</v>
      </c>
      <c r="H61" s="128">
        <f t="shared" si="33"/>
        <v>1.7000000000000004</v>
      </c>
      <c r="I61" s="5">
        <f t="shared" si="25"/>
        <v>0.97753351177717462</v>
      </c>
      <c r="J61" s="4">
        <f t="shared" si="19"/>
        <v>0.57501971281010256</v>
      </c>
      <c r="K61" s="128">
        <f t="shared" si="20"/>
        <v>6.9</v>
      </c>
      <c r="L61" s="19">
        <f t="shared" si="21"/>
        <v>1.9670273637692013</v>
      </c>
      <c r="M61" s="195">
        <f t="shared" si="22"/>
        <v>0.28507642953176826</v>
      </c>
      <c r="N61" s="440">
        <f t="shared" si="26"/>
        <v>-6.1371676065297365E-2</v>
      </c>
      <c r="O61" s="448">
        <f t="shared" si="27"/>
        <v>-0.14773176750202555</v>
      </c>
      <c r="P61" s="444">
        <f t="shared" si="28"/>
        <v>-9.6294244459005807E-2</v>
      </c>
      <c r="Q61" s="445">
        <f t="shared" si="29"/>
        <v>-1.6826239338348037E-2</v>
      </c>
    </row>
    <row r="62" spans="1:34" x14ac:dyDescent="0.2">
      <c r="A62" s="180">
        <f t="shared" si="30"/>
        <v>2062</v>
      </c>
      <c r="B62" s="128">
        <f t="shared" si="31"/>
        <v>1.2</v>
      </c>
      <c r="C62" s="5">
        <f t="shared" si="23"/>
        <v>8.2246770964932825E-2</v>
      </c>
      <c r="D62" s="195">
        <f t="shared" si="17"/>
        <v>6.8538975804110697E-2</v>
      </c>
      <c r="E62" s="5">
        <f t="shared" si="32"/>
        <v>4</v>
      </c>
      <c r="F62" s="5">
        <f t="shared" si="24"/>
        <v>0.80661170535261384</v>
      </c>
      <c r="G62" s="4">
        <f t="shared" si="18"/>
        <v>0.20165292633815346</v>
      </c>
      <c r="H62" s="128">
        <f t="shared" si="33"/>
        <v>1.7000000000000004</v>
      </c>
      <c r="I62" s="5">
        <f t="shared" si="25"/>
        <v>0.96081924220661818</v>
      </c>
      <c r="J62" s="4">
        <f t="shared" si="19"/>
        <v>0.56518778953330473</v>
      </c>
      <c r="K62" s="128">
        <f t="shared" si="20"/>
        <v>6.9</v>
      </c>
      <c r="L62" s="19">
        <f t="shared" si="21"/>
        <v>1.8496777185241648</v>
      </c>
      <c r="M62" s="195">
        <f t="shared" si="22"/>
        <v>0.26806923456871951</v>
      </c>
      <c r="N62" s="440">
        <f t="shared" si="26"/>
        <v>-5.9658369480011686E-2</v>
      </c>
      <c r="O62" s="448">
        <f t="shared" si="27"/>
        <v>-0.14811760405613072</v>
      </c>
      <c r="P62" s="444">
        <f t="shared" si="28"/>
        <v>-9.6685553295361326E-2</v>
      </c>
      <c r="Q62" s="445">
        <f t="shared" si="29"/>
        <v>-1.709841081577812E-2</v>
      </c>
    </row>
    <row r="63" spans="1:34" x14ac:dyDescent="0.2">
      <c r="A63" s="180">
        <f t="shared" si="30"/>
        <v>2063</v>
      </c>
      <c r="B63" s="128">
        <f t="shared" si="31"/>
        <v>1.2</v>
      </c>
      <c r="C63" s="5">
        <f t="shared" si="23"/>
        <v>7.0034164773634777E-2</v>
      </c>
      <c r="D63" s="195">
        <f t="shared" si="17"/>
        <v>5.8361803978028981E-2</v>
      </c>
      <c r="E63" s="5">
        <f t="shared" si="32"/>
        <v>4</v>
      </c>
      <c r="F63" s="5">
        <f t="shared" si="24"/>
        <v>0.72832124018733779</v>
      </c>
      <c r="G63" s="4">
        <f t="shared" si="18"/>
        <v>0.18208031004683445</v>
      </c>
      <c r="H63" s="128">
        <f t="shared" si="33"/>
        <v>1.7000000000000004</v>
      </c>
      <c r="I63" s="5">
        <f t="shared" si="25"/>
        <v>0.94413781210234049</v>
      </c>
      <c r="J63" s="4">
        <f t="shared" si="19"/>
        <v>0.55537518358961191</v>
      </c>
      <c r="K63" s="128">
        <f t="shared" si="20"/>
        <v>6.9</v>
      </c>
      <c r="L63" s="19">
        <f t="shared" si="21"/>
        <v>1.7424932170633132</v>
      </c>
      <c r="M63" s="195">
        <f t="shared" si="22"/>
        <v>0.25253524884975553</v>
      </c>
      <c r="N63" s="440">
        <f t="shared" si="26"/>
        <v>-5.794766319960476E-2</v>
      </c>
      <c r="O63" s="448">
        <f t="shared" si="27"/>
        <v>-0.14848736367419313</v>
      </c>
      <c r="P63" s="444">
        <f t="shared" si="28"/>
        <v>-9.7060908793842771E-2</v>
      </c>
      <c r="Q63" s="445">
        <f t="shared" si="29"/>
        <v>-1.7361673633811803E-2</v>
      </c>
    </row>
    <row r="64" spans="1:34" x14ac:dyDescent="0.2">
      <c r="A64" s="180">
        <f t="shared" si="30"/>
        <v>2064</v>
      </c>
      <c r="B64" s="128">
        <f t="shared" si="31"/>
        <v>1.2</v>
      </c>
      <c r="C64" s="5">
        <f t="shared" si="23"/>
        <v>5.9610137471524105E-2</v>
      </c>
      <c r="D64" s="195">
        <f t="shared" si="17"/>
        <v>4.9675114559603425E-2</v>
      </c>
      <c r="E64" s="5">
        <f t="shared" si="32"/>
        <v>4</v>
      </c>
      <c r="F64" s="5">
        <f t="shared" si="24"/>
        <v>0.65736726213357066</v>
      </c>
      <c r="G64" s="4">
        <f t="shared" si="18"/>
        <v>0.16434181553339267</v>
      </c>
      <c r="H64" s="128">
        <f t="shared" si="33"/>
        <v>1.7000000000000004</v>
      </c>
      <c r="I64" s="5">
        <f t="shared" si="25"/>
        <v>0.92750544785316436</v>
      </c>
      <c r="J64" s="4">
        <f t="shared" si="19"/>
        <v>0.54559143991362591</v>
      </c>
      <c r="K64" s="128">
        <f t="shared" si="20"/>
        <v>6.9</v>
      </c>
      <c r="L64" s="19">
        <f t="shared" si="21"/>
        <v>1.6444828474582591</v>
      </c>
      <c r="M64" s="195">
        <f t="shared" si="22"/>
        <v>0.23833084745771871</v>
      </c>
      <c r="N64" s="440">
        <f t="shared" si="26"/>
        <v>-5.624720294190555E-2</v>
      </c>
      <c r="O64" s="448">
        <f t="shared" si="27"/>
        <v>-0.14884203068321489</v>
      </c>
      <c r="P64" s="444">
        <f t="shared" si="28"/>
        <v>-9.7421267070992523E-2</v>
      </c>
      <c r="Q64" s="445">
        <f t="shared" si="29"/>
        <v>-1.7616458144113833E-2</v>
      </c>
    </row>
    <row r="65" spans="1:17" x14ac:dyDescent="0.2">
      <c r="A65" s="180">
        <f t="shared" si="30"/>
        <v>2065</v>
      </c>
      <c r="B65" s="128">
        <f t="shared" si="31"/>
        <v>1.2</v>
      </c>
      <c r="C65" s="5">
        <f t="shared" si="23"/>
        <v>5.071734750261353E-2</v>
      </c>
      <c r="D65" s="195">
        <f t="shared" si="17"/>
        <v>4.2264456252177944E-2</v>
      </c>
      <c r="E65" s="5">
        <f t="shared" si="32"/>
        <v>4</v>
      </c>
      <c r="F65" s="5">
        <f t="shared" si="24"/>
        <v>0.59309810219505987</v>
      </c>
      <c r="G65" s="4">
        <f t="shared" si="18"/>
        <v>0.14827452554876497</v>
      </c>
      <c r="H65" s="128">
        <f t="shared" si="33"/>
        <v>1.7000000000000004</v>
      </c>
      <c r="I65" s="5">
        <f t="shared" si="25"/>
        <v>0.91093726275667564</v>
      </c>
      <c r="J65" s="4">
        <f t="shared" si="19"/>
        <v>0.5358454486803973</v>
      </c>
      <c r="K65" s="128">
        <f t="shared" si="20"/>
        <v>6.9</v>
      </c>
      <c r="L65" s="19">
        <f t="shared" si="21"/>
        <v>1.554752712454349</v>
      </c>
      <c r="M65" s="195">
        <f t="shared" si="22"/>
        <v>0.22532648006584766</v>
      </c>
      <c r="N65" s="440">
        <f t="shared" si="26"/>
        <v>-5.4564348386241024E-2</v>
      </c>
      <c r="O65" s="448">
        <f t="shared" si="27"/>
        <v>-0.14918251066202759</v>
      </c>
      <c r="P65" s="444">
        <f t="shared" si="28"/>
        <v>-9.7767509337043812E-2</v>
      </c>
      <c r="Q65" s="445">
        <f t="shared" si="29"/>
        <v>-1.786316741841032E-2</v>
      </c>
    </row>
    <row r="66" spans="1:17" x14ac:dyDescent="0.2">
      <c r="A66" s="180">
        <f t="shared" si="30"/>
        <v>2066</v>
      </c>
      <c r="B66" s="128">
        <f t="shared" si="31"/>
        <v>1.2</v>
      </c>
      <c r="C66" s="5">
        <f t="shared" si="23"/>
        <v>4.3134615228960199E-2</v>
      </c>
      <c r="D66" s="195">
        <f t="shared" si="17"/>
        <v>3.5945512690800166E-2</v>
      </c>
      <c r="E66" s="5">
        <f t="shared" si="32"/>
        <v>4</v>
      </c>
      <c r="F66" s="5">
        <f t="shared" si="24"/>
        <v>0.53491491201487218</v>
      </c>
      <c r="G66" s="4">
        <f t="shared" si="18"/>
        <v>0.13372872800371804</v>
      </c>
      <c r="H66" s="128">
        <f t="shared" si="33"/>
        <v>1.7000000000000004</v>
      </c>
      <c r="I66" s="5">
        <f t="shared" si="25"/>
        <v>0.89444731302475589</v>
      </c>
      <c r="J66" s="4">
        <f t="shared" si="19"/>
        <v>0.52614547824985625</v>
      </c>
      <c r="K66" s="128">
        <f t="shared" si="20"/>
        <v>6.9</v>
      </c>
      <c r="L66" s="19">
        <f t="shared" si="21"/>
        <v>1.4724968402685883</v>
      </c>
      <c r="M66" s="195">
        <f t="shared" si="22"/>
        <v>0.21340533916936061</v>
      </c>
      <c r="N66" s="440">
        <f t="shared" si="26"/>
        <v>-5.2906080514830367E-2</v>
      </c>
      <c r="O66" s="448">
        <f t="shared" si="27"/>
        <v>-0.14950963816202301</v>
      </c>
      <c r="P66" s="444">
        <f t="shared" si="28"/>
        <v>-9.8100449090717579E-2</v>
      </c>
      <c r="Q66" s="445">
        <f t="shared" si="29"/>
        <v>-1.8102179377334826E-2</v>
      </c>
    </row>
    <row r="67" spans="1:17" x14ac:dyDescent="0.2">
      <c r="A67" s="180">
        <f t="shared" si="30"/>
        <v>2067</v>
      </c>
      <c r="B67" s="128">
        <f t="shared" si="31"/>
        <v>1.2</v>
      </c>
      <c r="C67" s="5">
        <f t="shared" si="23"/>
        <v>3.6672006720108424E-2</v>
      </c>
      <c r="D67" s="195">
        <f t="shared" si="17"/>
        <v>3.0560005600090354E-2</v>
      </c>
      <c r="E67" s="5">
        <f t="shared" si="32"/>
        <v>4</v>
      </c>
      <c r="F67" s="5">
        <f t="shared" si="24"/>
        <v>0.48226813784816791</v>
      </c>
      <c r="G67" s="4">
        <f t="shared" si="18"/>
        <v>0.12056703446204198</v>
      </c>
      <c r="H67" s="128">
        <f t="shared" si="33"/>
        <v>1.7000000000000004</v>
      </c>
      <c r="I67" s="5">
        <f t="shared" si="25"/>
        <v>0.87804865129878351</v>
      </c>
      <c r="J67" s="4">
        <f t="shared" si="19"/>
        <v>0.51649920664634308</v>
      </c>
      <c r="K67" s="128">
        <f t="shared" si="20"/>
        <v>6.9</v>
      </c>
      <c r="L67" s="19">
        <f t="shared" si="21"/>
        <v>1.3969887958670599</v>
      </c>
      <c r="M67" s="195">
        <f t="shared" si="22"/>
        <v>0.20246214432855941</v>
      </c>
      <c r="N67" s="440">
        <f t="shared" si="26"/>
        <v>-5.1278917778699862E-2</v>
      </c>
      <c r="O67" s="448">
        <f t="shared" si="27"/>
        <v>-0.14982418353677207</v>
      </c>
      <c r="P67" s="444">
        <f t="shared" si="28"/>
        <v>-9.8420838500087537E-2</v>
      </c>
      <c r="Q67" s="445">
        <f t="shared" si="29"/>
        <v>-1.8333848721080015E-2</v>
      </c>
    </row>
    <row r="68" spans="1:17" x14ac:dyDescent="0.2">
      <c r="A68" s="180">
        <f t="shared" si="30"/>
        <v>2068</v>
      </c>
      <c r="B68" s="128">
        <f t="shared" si="31"/>
        <v>1.2</v>
      </c>
      <c r="C68" s="5">
        <f t="shared" si="23"/>
        <v>3.1166553538042346E-2</v>
      </c>
      <c r="D68" s="195">
        <f t="shared" si="17"/>
        <v>2.5972127948368624E-2</v>
      </c>
      <c r="E68" s="5">
        <f t="shared" si="32"/>
        <v>4</v>
      </c>
      <c r="F68" s="5">
        <f t="shared" si="24"/>
        <v>0.43465410646185809</v>
      </c>
      <c r="G68" s="4">
        <f t="shared" si="18"/>
        <v>0.10866352661546452</v>
      </c>
      <c r="H68" s="128">
        <f t="shared" si="33"/>
        <v>1.7000000000000004</v>
      </c>
      <c r="I68" s="5">
        <f t="shared" si="25"/>
        <v>0.86175337777645922</v>
      </c>
      <c r="J68" s="4">
        <f t="shared" si="19"/>
        <v>0.50691375163321117</v>
      </c>
      <c r="K68" s="128">
        <f t="shared" si="20"/>
        <v>6.9</v>
      </c>
      <c r="L68" s="19">
        <f t="shared" si="21"/>
        <v>1.3275740377763596</v>
      </c>
      <c r="M68" s="195">
        <f t="shared" si="22"/>
        <v>0.19240203446034196</v>
      </c>
      <c r="N68" s="440">
        <f t="shared" si="26"/>
        <v>-4.9688843816114603E-2</v>
      </c>
      <c r="O68" s="448">
        <f t="shared" si="27"/>
        <v>-0.15012685899861766</v>
      </c>
      <c r="P68" s="444">
        <f t="shared" si="28"/>
        <v>-9.8729374075506748E-2</v>
      </c>
      <c r="Q68" s="445">
        <f t="shared" si="29"/>
        <v>-1.8558508686529862E-2</v>
      </c>
    </row>
    <row r="69" spans="1:17" x14ac:dyDescent="0.2">
      <c r="A69" s="180">
        <f t="shared" si="30"/>
        <v>2069</v>
      </c>
      <c r="B69" s="128">
        <f t="shared" si="31"/>
        <v>1.2</v>
      </c>
      <c r="C69" s="5">
        <f t="shared" si="23"/>
        <v>2.6478532789924736E-2</v>
      </c>
      <c r="D69" s="195">
        <f t="shared" si="17"/>
        <v>2.2065443991603949E-2</v>
      </c>
      <c r="E69" s="5">
        <f t="shared" si="32"/>
        <v>4</v>
      </c>
      <c r="F69" s="5">
        <f t="shared" si="24"/>
        <v>0.39161174390804465</v>
      </c>
      <c r="G69" s="4">
        <f t="shared" si="18"/>
        <v>9.7902935977011163E-2</v>
      </c>
      <c r="H69" s="128">
        <f t="shared" si="33"/>
        <v>1.7000000000000004</v>
      </c>
      <c r="I69" s="5">
        <f t="shared" si="25"/>
        <v>0.84557268905084015</v>
      </c>
      <c r="J69" s="4">
        <f t="shared" si="19"/>
        <v>0.49739569944167056</v>
      </c>
      <c r="K69" s="128">
        <f t="shared" si="20"/>
        <v>6.9</v>
      </c>
      <c r="L69" s="19">
        <f t="shared" si="21"/>
        <v>1.2636629657488094</v>
      </c>
      <c r="M69" s="195">
        <f t="shared" si="22"/>
        <v>0.18313956025345063</v>
      </c>
      <c r="N69" s="440">
        <f t="shared" si="26"/>
        <v>-4.81412487808206E-2</v>
      </c>
      <c r="O69" s="448">
        <f t="shared" si="27"/>
        <v>-0.15041832400221422</v>
      </c>
      <c r="P69" s="444">
        <f t="shared" si="28"/>
        <v>-9.9026701724237665E-2</v>
      </c>
      <c r="Q69" s="445">
        <f t="shared" si="29"/>
        <v>-1.8776472646233611E-2</v>
      </c>
    </row>
    <row r="70" spans="1:17" x14ac:dyDescent="0.2">
      <c r="A70" s="180">
        <f t="shared" si="30"/>
        <v>2070</v>
      </c>
      <c r="B70" s="128">
        <f t="shared" si="31"/>
        <v>1.2</v>
      </c>
      <c r="C70" s="5">
        <f t="shared" si="23"/>
        <v>2.2488239345014011E-2</v>
      </c>
      <c r="D70" s="195">
        <f t="shared" si="17"/>
        <v>1.8740199454178343E-2</v>
      </c>
      <c r="E70" s="5">
        <f t="shared" si="32"/>
        <v>4</v>
      </c>
      <c r="F70" s="5">
        <f t="shared" si="24"/>
        <v>0.35271944181342718</v>
      </c>
      <c r="G70" s="4">
        <f t="shared" si="18"/>
        <v>8.8179860453356795E-2</v>
      </c>
      <c r="H70" s="128">
        <f t="shared" si="33"/>
        <v>1.7000000000000004</v>
      </c>
      <c r="I70" s="5">
        <f t="shared" si="25"/>
        <v>0.82951692475690209</v>
      </c>
      <c r="J70" s="4">
        <f t="shared" si="19"/>
        <v>0.4879511322099423</v>
      </c>
      <c r="K70" s="128">
        <f t="shared" si="20"/>
        <v>6.9</v>
      </c>
      <c r="L70" s="19">
        <f t="shared" si="21"/>
        <v>1.2047246059153434</v>
      </c>
      <c r="M70" s="195">
        <f t="shared" si="22"/>
        <v>0.17459776897323817</v>
      </c>
      <c r="N70" s="440">
        <f t="shared" si="26"/>
        <v>-4.664088560872004E-2</v>
      </c>
      <c r="O70" s="448">
        <f t="shared" si="27"/>
        <v>-0.15069919004081145</v>
      </c>
      <c r="P70" s="444">
        <f t="shared" si="28"/>
        <v>-9.9313421263867552E-2</v>
      </c>
      <c r="Q70" s="445">
        <f t="shared" si="29"/>
        <v>-1.8988035566712469E-2</v>
      </c>
    </row>
    <row r="71" spans="1:17" x14ac:dyDescent="0.2">
      <c r="A71" s="180">
        <f t="shared" si="30"/>
        <v>2071</v>
      </c>
      <c r="B71" s="128">
        <f t="shared" si="31"/>
        <v>1.2</v>
      </c>
      <c r="C71" s="5">
        <f t="shared" si="23"/>
        <v>1.9093189290496262E-2</v>
      </c>
      <c r="D71" s="195">
        <f t="shared" si="17"/>
        <v>1.5910991075413553E-2</v>
      </c>
      <c r="E71" s="5">
        <f t="shared" si="32"/>
        <v>4</v>
      </c>
      <c r="F71" s="5">
        <f t="shared" si="24"/>
        <v>0.31759208069575129</v>
      </c>
      <c r="G71" s="4">
        <f t="shared" si="18"/>
        <v>7.9398020173937822E-2</v>
      </c>
      <c r="H71" s="128">
        <f t="shared" si="33"/>
        <v>1.7000000000000004</v>
      </c>
      <c r="I71" s="5">
        <f t="shared" si="25"/>
        <v>0.81359561211699827</v>
      </c>
      <c r="J71" s="4">
        <f t="shared" si="19"/>
        <v>0.47858565418646948</v>
      </c>
      <c r="K71" s="128">
        <f t="shared" si="20"/>
        <v>6.9</v>
      </c>
      <c r="L71" s="19">
        <f t="shared" si="21"/>
        <v>1.1502808821032457</v>
      </c>
      <c r="M71" s="195">
        <f t="shared" si="22"/>
        <v>0.16670737421786169</v>
      </c>
      <c r="N71" s="440">
        <f t="shared" si="26"/>
        <v>-4.5191841807473931E-2</v>
      </c>
      <c r="O71" s="448">
        <f t="shared" si="27"/>
        <v>-0.15097002492862932</v>
      </c>
      <c r="P71" s="444">
        <f t="shared" si="28"/>
        <v>-9.9590090461349479E-2</v>
      </c>
      <c r="Q71" s="445">
        <f t="shared" si="29"/>
        <v>-1.9193475340566035E-2</v>
      </c>
    </row>
    <row r="72" spans="1:17" x14ac:dyDescent="0.2">
      <c r="A72" s="180">
        <f t="shared" si="30"/>
        <v>2072</v>
      </c>
      <c r="B72" s="128">
        <f t="shared" si="31"/>
        <v>1.2</v>
      </c>
      <c r="C72" s="5">
        <f t="shared" si="23"/>
        <v>1.6205700371656195E-2</v>
      </c>
      <c r="D72" s="195">
        <f t="shared" si="17"/>
        <v>1.3504750309713497E-2</v>
      </c>
      <c r="E72" s="5">
        <f t="shared" si="32"/>
        <v>4</v>
      </c>
      <c r="F72" s="5">
        <f t="shared" si="24"/>
        <v>0.28587821567483607</v>
      </c>
      <c r="G72" s="4">
        <f t="shared" si="18"/>
        <v>7.1469553918709017E-2</v>
      </c>
      <c r="H72" s="128">
        <f t="shared" si="33"/>
        <v>1.7000000000000004</v>
      </c>
      <c r="I72" s="5">
        <f t="shared" si="25"/>
        <v>0.79781750847383393</v>
      </c>
      <c r="J72" s="4">
        <f t="shared" si="19"/>
        <v>0.46930441674931395</v>
      </c>
      <c r="K72" s="128">
        <f t="shared" si="20"/>
        <v>6.9</v>
      </c>
      <c r="L72" s="19">
        <f t="shared" si="21"/>
        <v>1.0999014245203262</v>
      </c>
      <c r="M72" s="195">
        <f t="shared" si="22"/>
        <v>0.15940600355367046</v>
      </c>
      <c r="N72" s="440">
        <f t="shared" si="26"/>
        <v>-4.3797526644798745E-2</v>
      </c>
      <c r="O72" s="448">
        <f t="shared" si="27"/>
        <v>-0.15123135663235321</v>
      </c>
      <c r="P72" s="444">
        <f t="shared" si="28"/>
        <v>-9.9857228654566699E-2</v>
      </c>
      <c r="Q72" s="445">
        <f t="shared" si="29"/>
        <v>-1.9393054003953192E-2</v>
      </c>
    </row>
    <row r="73" spans="1:17" x14ac:dyDescent="0.2">
      <c r="A73" s="180">
        <f t="shared" si="30"/>
        <v>2073</v>
      </c>
      <c r="B73" s="128">
        <f t="shared" si="31"/>
        <v>1.2</v>
      </c>
      <c r="C73" s="5">
        <f t="shared" si="23"/>
        <v>1.3750801295754511E-2</v>
      </c>
      <c r="D73" s="195">
        <f t="shared" si="17"/>
        <v>1.1459001079795427E-2</v>
      </c>
      <c r="E73" s="5">
        <f t="shared" si="32"/>
        <v>4</v>
      </c>
      <c r="F73" s="5">
        <f t="shared" si="24"/>
        <v>0.25725742662987328</v>
      </c>
      <c r="G73" s="4">
        <f t="shared" si="18"/>
        <v>6.4314356657468319E-2</v>
      </c>
      <c r="H73" s="128">
        <f t="shared" si="33"/>
        <v>1.7000000000000004</v>
      </c>
      <c r="I73" s="5">
        <f t="shared" si="25"/>
        <v>0.78219064189504905</v>
      </c>
      <c r="J73" s="4">
        <f t="shared" si="19"/>
        <v>0.46011214229120523</v>
      </c>
      <c r="K73" s="128">
        <f t="shared" si="20"/>
        <v>6.9</v>
      </c>
      <c r="L73" s="19">
        <f t="shared" si="21"/>
        <v>1.0531988698206769</v>
      </c>
      <c r="M73" s="195">
        <f t="shared" si="22"/>
        <v>0.15263751736531547</v>
      </c>
      <c r="N73" s="440">
        <f t="shared" si="26"/>
        <v>-4.2460672982596259E-2</v>
      </c>
      <c r="O73" s="448">
        <f t="shared" si="27"/>
        <v>-0.15148367670645746</v>
      </c>
      <c r="P73" s="444">
        <f t="shared" si="28"/>
        <v>-0.10011532000576318</v>
      </c>
      <c r="Q73" s="445">
        <f t="shared" si="29"/>
        <v>-1.9587018851814797E-2</v>
      </c>
    </row>
    <row r="74" spans="1:17" x14ac:dyDescent="0.2">
      <c r="A74" s="180">
        <f t="shared" si="30"/>
        <v>2074</v>
      </c>
      <c r="B74" s="128">
        <f t="shared" si="31"/>
        <v>1.2</v>
      </c>
      <c r="C74" s="5">
        <f t="shared" si="23"/>
        <v>1.1664427370737362E-2</v>
      </c>
      <c r="D74" s="195">
        <f t="shared" si="17"/>
        <v>9.720356142281136E-3</v>
      </c>
      <c r="E74" s="5">
        <f t="shared" si="32"/>
        <v>4</v>
      </c>
      <c r="F74" s="5">
        <f t="shared" si="24"/>
        <v>0.23143783223086967</v>
      </c>
      <c r="G74" s="4">
        <f t="shared" si="18"/>
        <v>5.7859458057717417E-2</v>
      </c>
      <c r="H74" s="128">
        <f t="shared" si="33"/>
        <v>1.7000000000000004</v>
      </c>
      <c r="I74" s="5">
        <f t="shared" si="25"/>
        <v>0.76672234993079869</v>
      </c>
      <c r="J74" s="4">
        <f t="shared" si="19"/>
        <v>0.45101314701811679</v>
      </c>
      <c r="K74" s="128">
        <f t="shared" si="20"/>
        <v>6.9</v>
      </c>
      <c r="L74" s="19">
        <f t="shared" si="21"/>
        <v>1.0098246095324057</v>
      </c>
      <c r="M74" s="195">
        <f t="shared" si="22"/>
        <v>0.1463513926858559</v>
      </c>
      <c r="N74" s="440">
        <f t="shared" si="26"/>
        <v>-4.1183352480862689E-2</v>
      </c>
      <c r="O74" s="448">
        <f t="shared" si="27"/>
        <v>-0.15172744337897648</v>
      </c>
      <c r="P74" s="444">
        <f t="shared" si="28"/>
        <v>-0.10036481643016393</v>
      </c>
      <c r="Q74" s="445">
        <f t="shared" si="29"/>
        <v>-1.9775603460014057E-2</v>
      </c>
    </row>
    <row r="75" spans="1:17" x14ac:dyDescent="0.2">
      <c r="A75" s="180">
        <f t="shared" si="30"/>
        <v>2075</v>
      </c>
      <c r="B75" s="128">
        <f t="shared" si="31"/>
        <v>1.2</v>
      </c>
      <c r="C75" s="5">
        <f t="shared" si="23"/>
        <v>9.891865010551143E-3</v>
      </c>
      <c r="D75" s="195">
        <f t="shared" si="17"/>
        <v>8.2432208421259531E-3</v>
      </c>
      <c r="E75" s="5">
        <f t="shared" si="32"/>
        <v>4</v>
      </c>
      <c r="F75" s="5">
        <f t="shared" si="24"/>
        <v>0.20815376522535378</v>
      </c>
      <c r="G75" s="4">
        <f t="shared" si="18"/>
        <v>5.2038441306338445E-2</v>
      </c>
      <c r="H75" s="128">
        <f t="shared" si="33"/>
        <v>1.7000000000000004</v>
      </c>
      <c r="I75" s="5">
        <f t="shared" si="25"/>
        <v>0.75141931660207106</v>
      </c>
      <c r="J75" s="4">
        <f t="shared" si="19"/>
        <v>0.44201136270710051</v>
      </c>
      <c r="K75" s="128">
        <f t="shared" si="20"/>
        <v>6.9</v>
      </c>
      <c r="L75" s="19">
        <f t="shared" si="21"/>
        <v>0.96946494683797602</v>
      </c>
      <c r="M75" s="195">
        <f t="shared" si="22"/>
        <v>0.14050216620840231</v>
      </c>
      <c r="N75" s="440">
        <f t="shared" si="26"/>
        <v>-3.996700250067986E-2</v>
      </c>
      <c r="O75" s="448">
        <f t="shared" si="27"/>
        <v>-0.15196308432877381</v>
      </c>
      <c r="P75" s="444">
        <f t="shared" si="28"/>
        <v>-0.10060614023678283</v>
      </c>
      <c r="Q75" s="445">
        <f t="shared" si="29"/>
        <v>-1.9959028623736885E-2</v>
      </c>
    </row>
    <row r="76" spans="1:17" x14ac:dyDescent="0.2">
      <c r="A76" s="180">
        <f t="shared" si="30"/>
        <v>2076</v>
      </c>
      <c r="B76" s="128">
        <f t="shared" si="31"/>
        <v>1.2</v>
      </c>
      <c r="C76" s="5">
        <f t="shared" si="23"/>
        <v>8.3864121907464353E-3</v>
      </c>
      <c r="D76" s="195">
        <f t="shared" si="17"/>
        <v>6.98867682562203E-3</v>
      </c>
      <c r="E76" s="5">
        <f t="shared" si="32"/>
        <v>4</v>
      </c>
      <c r="F76" s="5">
        <f t="shared" si="24"/>
        <v>0.18716360479338001</v>
      </c>
      <c r="G76" s="4">
        <f t="shared" si="18"/>
        <v>4.6790901198345003E-2</v>
      </c>
      <c r="H76" s="128">
        <f t="shared" si="33"/>
        <v>1.7000000000000004</v>
      </c>
      <c r="I76" s="5">
        <f t="shared" si="25"/>
        <v>0.73628760769457813</v>
      </c>
      <c r="J76" s="4">
        <f t="shared" si="19"/>
        <v>0.43311035746739879</v>
      </c>
      <c r="K76" s="128">
        <f t="shared" si="20"/>
        <v>6.9</v>
      </c>
      <c r="L76" s="19">
        <f t="shared" si="21"/>
        <v>0.93183762467870457</v>
      </c>
      <c r="M76" s="195">
        <f t="shared" si="22"/>
        <v>0.13504893111285574</v>
      </c>
      <c r="N76" s="440">
        <f t="shared" si="26"/>
        <v>-3.8812462773406442E-2</v>
      </c>
      <c r="O76" s="448">
        <f t="shared" si="27"/>
        <v>-0.15219099918962886</v>
      </c>
      <c r="P76" s="444">
        <f t="shared" si="28"/>
        <v>-0.10083968651371333</v>
      </c>
      <c r="Q76" s="445">
        <f t="shared" si="29"/>
        <v>-2.0137503219798458E-2</v>
      </c>
    </row>
    <row r="77" spans="1:17" x14ac:dyDescent="0.2">
      <c r="A77" s="180">
        <f t="shared" si="30"/>
        <v>2077</v>
      </c>
      <c r="B77" s="128">
        <f t="shared" si="31"/>
        <v>1.2</v>
      </c>
      <c r="C77" s="5">
        <f t="shared" si="23"/>
        <v>7.1082260107555861E-3</v>
      </c>
      <c r="D77" s="195">
        <f t="shared" si="17"/>
        <v>5.9235216756296557E-3</v>
      </c>
      <c r="E77" s="5">
        <f t="shared" si="32"/>
        <v>4</v>
      </c>
      <c r="F77" s="5">
        <f t="shared" si="24"/>
        <v>0.16824776061131996</v>
      </c>
      <c r="G77" s="4">
        <f t="shared" si="18"/>
        <v>4.2061940152829991E-2</v>
      </c>
      <c r="H77" s="128">
        <f t="shared" si="33"/>
        <v>1.7000000000000004</v>
      </c>
      <c r="I77" s="5">
        <f t="shared" si="25"/>
        <v>0.72133270442980546</v>
      </c>
      <c r="J77" s="4">
        <f t="shared" si="19"/>
        <v>0.42431335554694427</v>
      </c>
      <c r="K77" s="128">
        <f t="shared" si="20"/>
        <v>6.9</v>
      </c>
      <c r="L77" s="19">
        <f t="shared" si="21"/>
        <v>0.89668869105188098</v>
      </c>
      <c r="M77" s="195">
        <f t="shared" si="22"/>
        <v>0.12995488276114217</v>
      </c>
      <c r="N77" s="440">
        <f t="shared" si="26"/>
        <v>-3.7720019771623647E-2</v>
      </c>
      <c r="O77" s="448">
        <f t="shared" si="27"/>
        <v>-0.15241156181199866</v>
      </c>
      <c r="P77" s="444">
        <f t="shared" si="28"/>
        <v>-0.10106582528661101</v>
      </c>
      <c r="Q77" s="445">
        <f t="shared" si="29"/>
        <v>-2.0311225000239519E-2</v>
      </c>
    </row>
    <row r="78" spans="1:17" x14ac:dyDescent="0.2">
      <c r="A78" s="180">
        <f t="shared" si="30"/>
        <v>2078</v>
      </c>
      <c r="B78" s="128">
        <f t="shared" si="31"/>
        <v>1.2</v>
      </c>
      <c r="C78" s="5">
        <f t="shared" si="23"/>
        <v>6.023332146461724E-3</v>
      </c>
      <c r="D78" s="195">
        <f t="shared" si="17"/>
        <v>5.01944345538477E-3</v>
      </c>
      <c r="E78" s="5">
        <f t="shared" si="32"/>
        <v>4</v>
      </c>
      <c r="F78" s="5">
        <f t="shared" si="24"/>
        <v>0.15120680241790185</v>
      </c>
      <c r="G78" s="4">
        <f t="shared" si="18"/>
        <v>3.7801700604475463E-2</v>
      </c>
      <c r="H78" s="128">
        <f t="shared" si="33"/>
        <v>1.7000000000000004</v>
      </c>
      <c r="I78" s="5">
        <f t="shared" si="25"/>
        <v>0.70655953558236462</v>
      </c>
      <c r="J78" s="4">
        <f t="shared" si="19"/>
        <v>0.41562325622492025</v>
      </c>
      <c r="K78" s="128">
        <f t="shared" si="20"/>
        <v>6.9</v>
      </c>
      <c r="L78" s="19">
        <f t="shared" si="21"/>
        <v>0.86378967014672825</v>
      </c>
      <c r="M78" s="195">
        <f t="shared" si="22"/>
        <v>0.12518690871691712</v>
      </c>
      <c r="N78" s="440">
        <f t="shared" si="26"/>
        <v>-3.6689456701589296E-2</v>
      </c>
      <c r="O78" s="448">
        <f t="shared" si="27"/>
        <v>-0.15262512230932013</v>
      </c>
      <c r="P78" s="444">
        <f t="shared" si="28"/>
        <v>-0.10128490347509311</v>
      </c>
      <c r="Q78" s="445">
        <f t="shared" si="29"/>
        <v>-2.0480381322955044E-2</v>
      </c>
    </row>
    <row r="79" spans="1:17" x14ac:dyDescent="0.2">
      <c r="A79" s="180">
        <f t="shared" si="30"/>
        <v>2079</v>
      </c>
      <c r="B79" s="128">
        <f t="shared" si="31"/>
        <v>1.2</v>
      </c>
      <c r="C79" s="5">
        <f t="shared" si="23"/>
        <v>5.1027741941705521E-3</v>
      </c>
      <c r="D79" s="195">
        <f t="shared" si="17"/>
        <v>4.25231182847546E-3</v>
      </c>
      <c r="E79" s="5">
        <f t="shared" si="32"/>
        <v>4</v>
      </c>
      <c r="F79" s="5">
        <f t="shared" si="24"/>
        <v>0.13585972829495674</v>
      </c>
      <c r="G79" s="4">
        <f t="shared" si="18"/>
        <v>3.3964932073739185E-2</v>
      </c>
      <c r="H79" s="128">
        <f t="shared" si="33"/>
        <v>1.7000000000000004</v>
      </c>
      <c r="I79" s="5">
        <f t="shared" si="25"/>
        <v>0.69197250810915989</v>
      </c>
      <c r="J79" s="4">
        <f t="shared" si="19"/>
        <v>0.40704265182891747</v>
      </c>
      <c r="K79" s="128">
        <f t="shared" si="20"/>
        <v>6.9</v>
      </c>
      <c r="L79" s="19">
        <f t="shared" si="21"/>
        <v>0.83293501059828723</v>
      </c>
      <c r="M79" s="195">
        <f t="shared" si="22"/>
        <v>0.120715218927288</v>
      </c>
      <c r="N79" s="440">
        <f t="shared" si="26"/>
        <v>-3.5720107121910649E-2</v>
      </c>
      <c r="O79" s="448">
        <f t="shared" si="27"/>
        <v>-0.1528320089125309</v>
      </c>
      <c r="P79" s="444">
        <f t="shared" si="28"/>
        <v>-0.10149724666836901</v>
      </c>
      <c r="Q79" s="445">
        <f t="shared" si="29"/>
        <v>-2.064514982616672E-2</v>
      </c>
    </row>
    <row r="80" spans="1:17" x14ac:dyDescent="0.2">
      <c r="A80" s="180">
        <f t="shared" si="30"/>
        <v>2080</v>
      </c>
      <c r="B80" s="128">
        <f t="shared" si="31"/>
        <v>1.2</v>
      </c>
      <c r="C80" s="5">
        <f t="shared" si="23"/>
        <v>4.3218837509866673E-3</v>
      </c>
      <c r="D80" s="195">
        <f t="shared" si="17"/>
        <v>3.6015697924888894E-3</v>
      </c>
      <c r="E80" s="5">
        <f t="shared" si="32"/>
        <v>4</v>
      </c>
      <c r="F80" s="5">
        <f t="shared" si="24"/>
        <v>0.12204236451009098</v>
      </c>
      <c r="G80" s="4">
        <f t="shared" si="18"/>
        <v>3.0510591127522746E-2</v>
      </c>
      <c r="H80" s="128">
        <f t="shared" si="33"/>
        <v>1.7000000000000004</v>
      </c>
      <c r="I80" s="5">
        <f t="shared" si="25"/>
        <v>0.67757553635441781</v>
      </c>
      <c r="J80" s="4">
        <f t="shared" si="19"/>
        <v>0.39857384491436332</v>
      </c>
      <c r="K80" s="128">
        <f t="shared" si="20"/>
        <v>6.9</v>
      </c>
      <c r="L80" s="19">
        <f t="shared" si="21"/>
        <v>0.80393978461549542</v>
      </c>
      <c r="M80" s="195">
        <f t="shared" si="22"/>
        <v>0.11651301226311528</v>
      </c>
      <c r="N80" s="440">
        <f t="shared" si="26"/>
        <v>-3.4810910351775082E-2</v>
      </c>
      <c r="O80" s="448">
        <f t="shared" si="27"/>
        <v>-0.15303252965337555</v>
      </c>
      <c r="P80" s="444">
        <f t="shared" si="28"/>
        <v>-0.10170316073993413</v>
      </c>
      <c r="Q80" s="445">
        <f t="shared" si="29"/>
        <v>-2.0805699050215676E-2</v>
      </c>
    </row>
    <row r="81" spans="1:17" x14ac:dyDescent="0.2">
      <c r="A81" s="180">
        <f t="shared" si="30"/>
        <v>2081</v>
      </c>
      <c r="B81" s="128">
        <f t="shared" si="31"/>
        <v>1.2</v>
      </c>
      <c r="C81" s="5">
        <f t="shared" si="23"/>
        <v>3.6596545822987388E-3</v>
      </c>
      <c r="D81" s="195">
        <f t="shared" si="17"/>
        <v>3.0497121519156159E-3</v>
      </c>
      <c r="E81" s="5">
        <f t="shared" si="32"/>
        <v>4</v>
      </c>
      <c r="F81" s="5">
        <f t="shared" si="24"/>
        <v>0.10960588957749162</v>
      </c>
      <c r="G81" s="4">
        <f t="shared" si="18"/>
        <v>2.7401472394372905E-2</v>
      </c>
      <c r="H81" s="128">
        <f t="shared" si="33"/>
        <v>1.7000000000000004</v>
      </c>
      <c r="I81" s="5">
        <f t="shared" si="25"/>
        <v>0.66337206989081565</v>
      </c>
      <c r="J81" s="4">
        <f t="shared" si="19"/>
        <v>0.39021886464165617</v>
      </c>
      <c r="K81" s="128">
        <f t="shared" si="20"/>
        <v>6.9</v>
      </c>
      <c r="L81" s="19">
        <f t="shared" si="21"/>
        <v>0.77663761405060605</v>
      </c>
      <c r="M81" s="195">
        <f t="shared" si="22"/>
        <v>0.11255617594936319</v>
      </c>
      <c r="N81" s="440">
        <f t="shared" si="26"/>
        <v>-3.3960467049092946E-2</v>
      </c>
      <c r="O81" s="448">
        <f t="shared" si="27"/>
        <v>-0.15322697389459961</v>
      </c>
      <c r="P81" s="444">
        <f t="shared" si="28"/>
        <v>-0.10190293331764366</v>
      </c>
      <c r="Q81" s="445">
        <f t="shared" si="29"/>
        <v>-2.0962189012935006E-2</v>
      </c>
    </row>
    <row r="82" spans="1:17" x14ac:dyDescent="0.2">
      <c r="A82" s="180">
        <f t="shared" si="30"/>
        <v>2082</v>
      </c>
      <c r="B82" s="128">
        <f t="shared" si="31"/>
        <v>1.2</v>
      </c>
      <c r="C82" s="5">
        <f t="shared" si="23"/>
        <v>3.0982064285400499E-3</v>
      </c>
      <c r="D82" s="195">
        <f t="shared" si="17"/>
        <v>2.5818386904500417E-3</v>
      </c>
      <c r="E82" s="5">
        <f t="shared" si="32"/>
        <v>4</v>
      </c>
      <c r="F82" s="5">
        <f t="shared" si="24"/>
        <v>9.8415475140666175E-2</v>
      </c>
      <c r="G82" s="4">
        <f t="shared" si="18"/>
        <v>2.4603868785166544E-2</v>
      </c>
      <c r="H82" s="128">
        <f t="shared" si="33"/>
        <v>1.7000000000000004</v>
      </c>
      <c r="I82" s="5">
        <f t="shared" si="25"/>
        <v>0.64936512005538916</v>
      </c>
      <c r="J82" s="4">
        <f t="shared" si="19"/>
        <v>0.38197948238552293</v>
      </c>
      <c r="K82" s="128">
        <f t="shared" si="20"/>
        <v>6.9</v>
      </c>
      <c r="L82" s="19">
        <f t="shared" si="21"/>
        <v>0.75087880162459542</v>
      </c>
      <c r="M82" s="195">
        <f t="shared" si="22"/>
        <v>0.10882301472820223</v>
      </c>
      <c r="N82" s="440">
        <f t="shared" si="26"/>
        <v>-3.3167093583922336E-2</v>
      </c>
      <c r="O82" s="448">
        <f t="shared" si="27"/>
        <v>-0.15341561372331114</v>
      </c>
      <c r="P82" s="444">
        <f t="shared" si="28"/>
        <v>-0.10209683512411805</v>
      </c>
      <c r="Q82" s="445">
        <f t="shared" si="29"/>
        <v>-2.1114771741493232E-2</v>
      </c>
    </row>
    <row r="83" spans="1:17" x14ac:dyDescent="0.2">
      <c r="A83" s="180">
        <f t="shared" si="30"/>
        <v>2083</v>
      </c>
      <c r="B83" s="128">
        <f t="shared" si="31"/>
        <v>1.2</v>
      </c>
      <c r="C83" s="5">
        <f t="shared" si="23"/>
        <v>2.6223259326083811E-3</v>
      </c>
      <c r="D83" s="195">
        <f t="shared" si="17"/>
        <v>2.1852716105069843E-3</v>
      </c>
      <c r="E83" s="5">
        <f t="shared" si="32"/>
        <v>4</v>
      </c>
      <c r="F83" s="5">
        <f t="shared" si="24"/>
        <v>8.8349036337870168E-2</v>
      </c>
      <c r="G83" s="4">
        <f t="shared" si="18"/>
        <v>2.2087259084467542E-2</v>
      </c>
      <c r="H83" s="128">
        <f t="shared" si="33"/>
        <v>1.7000000000000004</v>
      </c>
      <c r="I83" s="5">
        <f t="shared" si="25"/>
        <v>0.63555728523604316</v>
      </c>
      <c r="J83" s="4">
        <f t="shared" si="19"/>
        <v>0.37385722660943704</v>
      </c>
      <c r="K83" s="128">
        <f t="shared" si="20"/>
        <v>6.9</v>
      </c>
      <c r="L83" s="19">
        <f t="shared" si="21"/>
        <v>0.72652864750652169</v>
      </c>
      <c r="M83" s="195">
        <f t="shared" si="22"/>
        <v>0.10529400688500314</v>
      </c>
      <c r="N83" s="440">
        <f t="shared" si="26"/>
        <v>-3.2428874094447613E-2</v>
      </c>
      <c r="O83" s="448">
        <f t="shared" si="27"/>
        <v>-0.1535987052211738</v>
      </c>
      <c r="P83" s="444">
        <f t="shared" si="28"/>
        <v>-0.10228512120078626</v>
      </c>
      <c r="Q83" s="445">
        <f t="shared" si="29"/>
        <v>-2.1263591765089296E-2</v>
      </c>
    </row>
    <row r="84" spans="1:17" x14ac:dyDescent="0.2">
      <c r="A84" s="180">
        <f t="shared" si="30"/>
        <v>2084</v>
      </c>
      <c r="B84" s="128">
        <f t="shared" si="31"/>
        <v>1.2</v>
      </c>
      <c r="C84" s="5">
        <f t="shared" si="23"/>
        <v>2.2190738560411895E-3</v>
      </c>
      <c r="D84" s="195">
        <f t="shared" si="17"/>
        <v>1.849228213367658E-3</v>
      </c>
      <c r="E84" s="5">
        <f t="shared" si="32"/>
        <v>4</v>
      </c>
      <c r="F84" s="5">
        <f t="shared" si="24"/>
        <v>7.9296084452835647E-2</v>
      </c>
      <c r="G84" s="4">
        <f t="shared" si="18"/>
        <v>1.9824021113208912E-2</v>
      </c>
      <c r="H84" s="128">
        <f t="shared" si="33"/>
        <v>1.7000000000000004</v>
      </c>
      <c r="I84" s="5">
        <f t="shared" si="25"/>
        <v>0.62195077496250306</v>
      </c>
      <c r="J84" s="4">
        <f t="shared" si="19"/>
        <v>0.36585339703676645</v>
      </c>
      <c r="K84" s="128">
        <f t="shared" si="20"/>
        <v>6.9</v>
      </c>
      <c r="L84" s="19">
        <f t="shared" si="21"/>
        <v>0.70346593327137985</v>
      </c>
      <c r="M84" s="195">
        <f t="shared" si="22"/>
        <v>0.10195158453208403</v>
      </c>
      <c r="N84" s="440">
        <f t="shared" si="26"/>
        <v>-3.1743709369608575E-2</v>
      </c>
      <c r="O84" s="448">
        <f t="shared" si="27"/>
        <v>-0.15377648962426416</v>
      </c>
      <c r="P84" s="444">
        <f t="shared" si="28"/>
        <v>-0.10246803202712507</v>
      </c>
      <c r="Q84" s="445">
        <f t="shared" si="29"/>
        <v>-2.1408786571436633E-2</v>
      </c>
    </row>
    <row r="85" spans="1:17" x14ac:dyDescent="0.2">
      <c r="A85" s="180">
        <f t="shared" si="30"/>
        <v>2085</v>
      </c>
      <c r="B85" s="128">
        <f t="shared" si="31"/>
        <v>1.2</v>
      </c>
      <c r="C85" s="5">
        <f t="shared" si="23"/>
        <v>1.8774492236261296E-3</v>
      </c>
      <c r="D85" s="195">
        <f t="shared" si="17"/>
        <v>1.5645410196884414E-3</v>
      </c>
      <c r="E85" s="5">
        <f t="shared" si="32"/>
        <v>4</v>
      </c>
      <c r="F85" s="5">
        <f t="shared" si="24"/>
        <v>7.1156674859849112E-2</v>
      </c>
      <c r="G85" s="4">
        <f t="shared" si="18"/>
        <v>1.7789168714962278E-2</v>
      </c>
      <c r="H85" s="128">
        <f t="shared" si="33"/>
        <v>1.7000000000000004</v>
      </c>
      <c r="I85" s="5">
        <f t="shared" si="25"/>
        <v>0.60854743285300472</v>
      </c>
      <c r="J85" s="4">
        <f t="shared" si="19"/>
        <v>0.35796907814882623</v>
      </c>
      <c r="K85" s="128">
        <f t="shared" si="20"/>
        <v>6.9</v>
      </c>
      <c r="L85" s="19">
        <f t="shared" si="21"/>
        <v>0.68158155693647993</v>
      </c>
      <c r="M85" s="195">
        <f t="shared" si="22"/>
        <v>9.8779935787895637E-2</v>
      </c>
      <c r="N85" s="440">
        <f t="shared" si="26"/>
        <v>-3.1109361946113578E-2</v>
      </c>
      <c r="O85" s="448">
        <f t="shared" si="27"/>
        <v>-0.1539491943835144</v>
      </c>
      <c r="P85" s="444">
        <f t="shared" si="28"/>
        <v>-0.10264579454522449</v>
      </c>
      <c r="Q85" s="445">
        <f t="shared" si="29"/>
        <v>-2.15504870305957E-2</v>
      </c>
    </row>
    <row r="86" spans="1:17" x14ac:dyDescent="0.2">
      <c r="A86" s="180">
        <f t="shared" si="30"/>
        <v>2086</v>
      </c>
      <c r="B86" s="128">
        <f t="shared" si="31"/>
        <v>1.2</v>
      </c>
      <c r="C86" s="5">
        <f t="shared" si="23"/>
        <v>1.5881023175408956E-3</v>
      </c>
      <c r="D86" s="195">
        <f t="shared" si="17"/>
        <v>1.3234185979507465E-3</v>
      </c>
      <c r="E86" s="5">
        <f t="shared" si="32"/>
        <v>4</v>
      </c>
      <c r="F86" s="5">
        <f t="shared" si="24"/>
        <v>6.3840443526442692E-2</v>
      </c>
      <c r="G86" s="4">
        <f t="shared" si="18"/>
        <v>1.5960110881610673E-2</v>
      </c>
      <c r="H86" s="128">
        <f t="shared" si="33"/>
        <v>1.7000000000000004</v>
      </c>
      <c r="I86" s="5">
        <f t="shared" si="25"/>
        <v>0.59534875846624402</v>
      </c>
      <c r="J86" s="4">
        <f t="shared" si="19"/>
        <v>0.35020515203896702</v>
      </c>
      <c r="K86" s="128">
        <f t="shared" si="20"/>
        <v>6.9</v>
      </c>
      <c r="L86" s="19">
        <f t="shared" si="21"/>
        <v>0.66077730431022763</v>
      </c>
      <c r="M86" s="195">
        <f t="shared" si="22"/>
        <v>9.5764826711627185E-2</v>
      </c>
      <c r="N86" s="440">
        <f t="shared" si="26"/>
        <v>-3.0523497026183732E-2</v>
      </c>
      <c r="O86" s="448">
        <f t="shared" si="27"/>
        <v>-0.15411703413548816</v>
      </c>
      <c r="P86" s="444">
        <f t="shared" si="28"/>
        <v>-0.10281862309918977</v>
      </c>
      <c r="Q86" s="445">
        <f t="shared" si="29"/>
        <v>-2.1688817788421799E-2</v>
      </c>
    </row>
    <row r="87" spans="1:17" x14ac:dyDescent="0.2">
      <c r="A87" s="180">
        <f t="shared" si="30"/>
        <v>2087</v>
      </c>
      <c r="B87" s="128">
        <f t="shared" si="31"/>
        <v>1.2</v>
      </c>
      <c r="C87" s="5">
        <f t="shared" si="23"/>
        <v>1.3430895559604717E-3</v>
      </c>
      <c r="D87" s="195">
        <f t="shared" si="17"/>
        <v>1.1192412966337265E-3</v>
      </c>
      <c r="E87" s="5">
        <f t="shared" si="32"/>
        <v>4</v>
      </c>
      <c r="F87" s="5">
        <f t="shared" si="24"/>
        <v>5.7265725625321617E-2</v>
      </c>
      <c r="G87" s="4">
        <f t="shared" si="18"/>
        <v>1.4316431406330404E-2</v>
      </c>
      <c r="H87" s="128">
        <f t="shared" si="33"/>
        <v>1.7000000000000004</v>
      </c>
      <c r="I87" s="5">
        <f t="shared" si="25"/>
        <v>0.58235592810621029</v>
      </c>
      <c r="J87" s="4">
        <f t="shared" si="19"/>
        <v>0.34256231065071185</v>
      </c>
      <c r="K87" s="128">
        <f t="shared" si="20"/>
        <v>6.9</v>
      </c>
      <c r="L87" s="19">
        <f t="shared" si="21"/>
        <v>0.64096474328749242</v>
      </c>
      <c r="M87" s="195">
        <f t="shared" si="22"/>
        <v>9.2893441056158321E-2</v>
      </c>
      <c r="N87" s="440">
        <f t="shared" si="26"/>
        <v>-2.9983719013196408E-2</v>
      </c>
      <c r="O87" s="448">
        <f t="shared" si="27"/>
        <v>-0.15428021159229532</v>
      </c>
      <c r="P87" s="444">
        <f t="shared" si="28"/>
        <v>-0.10298672029742129</v>
      </c>
      <c r="Q87" s="445">
        <f t="shared" si="29"/>
        <v>-2.1823897631879308E-2</v>
      </c>
    </row>
    <row r="88" spans="1:17" x14ac:dyDescent="0.2">
      <c r="A88" s="180">
        <f t="shared" si="30"/>
        <v>2088</v>
      </c>
      <c r="B88" s="128">
        <f t="shared" si="31"/>
        <v>1.2</v>
      </c>
      <c r="C88" s="5">
        <f t="shared" si="23"/>
        <v>1.1356642576795676E-3</v>
      </c>
      <c r="D88" s="195">
        <f t="shared" si="17"/>
        <v>9.463868813996397E-4</v>
      </c>
      <c r="E88" s="5">
        <f t="shared" si="32"/>
        <v>4</v>
      </c>
      <c r="F88" s="5">
        <f t="shared" si="24"/>
        <v>5.135875011837493E-2</v>
      </c>
      <c r="G88" s="4">
        <f t="shared" si="18"/>
        <v>1.2839687529593732E-2</v>
      </c>
      <c r="H88" s="128">
        <f t="shared" si="33"/>
        <v>1.7000000000000004</v>
      </c>
      <c r="I88" s="5">
        <f t="shared" si="25"/>
        <v>0.569569814624721</v>
      </c>
      <c r="J88" s="4">
        <f t="shared" si="19"/>
        <v>0.3350410674263064</v>
      </c>
      <c r="K88" s="128">
        <f t="shared" si="20"/>
        <v>6.9</v>
      </c>
      <c r="L88" s="19">
        <f t="shared" si="21"/>
        <v>0.62206422900077551</v>
      </c>
      <c r="M88" s="195">
        <f t="shared" si="22"/>
        <v>9.0154236087068906E-2</v>
      </c>
      <c r="N88" s="440">
        <f t="shared" si="26"/>
        <v>-2.9487603623526315E-2</v>
      </c>
      <c r="O88" s="448">
        <f t="shared" si="27"/>
        <v>-0.15443891835832935</v>
      </c>
      <c r="P88" s="444">
        <f t="shared" si="28"/>
        <v>-0.10315027780482289</v>
      </c>
      <c r="Q88" s="445">
        <f t="shared" si="29"/>
        <v>-2.195583982989413E-2</v>
      </c>
    </row>
    <row r="89" spans="1:17" x14ac:dyDescent="0.2">
      <c r="A89" s="180">
        <f t="shared" si="30"/>
        <v>2089</v>
      </c>
      <c r="B89" s="128">
        <f t="shared" si="31"/>
        <v>1.2</v>
      </c>
      <c r="C89" s="5">
        <f t="shared" si="23"/>
        <v>9.6009813187134495E-4</v>
      </c>
      <c r="D89" s="195">
        <f t="shared" si="17"/>
        <v>8.0008177655945412E-4</v>
      </c>
      <c r="E89" s="5">
        <f t="shared" si="32"/>
        <v>4</v>
      </c>
      <c r="F89" s="5">
        <f t="shared" si="24"/>
        <v>4.6052904500577529E-2</v>
      </c>
      <c r="G89" s="4">
        <f t="shared" si="18"/>
        <v>1.1513226125144382E-2</v>
      </c>
      <c r="H89" s="128">
        <f t="shared" si="33"/>
        <v>1.7000000000000004</v>
      </c>
      <c r="I89" s="5">
        <f t="shared" si="25"/>
        <v>0.55699100626605969</v>
      </c>
      <c r="J89" s="4">
        <f t="shared" si="19"/>
        <v>0.32764176839179976</v>
      </c>
      <c r="K89" s="128">
        <f t="shared" si="20"/>
        <v>6.9</v>
      </c>
      <c r="L89" s="19">
        <f t="shared" si="21"/>
        <v>0.60400400889850858</v>
      </c>
      <c r="M89" s="195">
        <f t="shared" si="22"/>
        <v>8.7536812883841825E-2</v>
      </c>
      <c r="N89" s="440">
        <f t="shared" si="26"/>
        <v>-2.9032725658051706E-2</v>
      </c>
      <c r="O89" s="448">
        <f t="shared" si="27"/>
        <v>-0.1545933356808693</v>
      </c>
      <c r="P89" s="444">
        <f t="shared" si="28"/>
        <v>-0.10330947707193316</v>
      </c>
      <c r="Q89" s="445">
        <f t="shared" si="29"/>
        <v>-2.2084752449441636E-2</v>
      </c>
    </row>
    <row r="90" spans="1:17" x14ac:dyDescent="0.2">
      <c r="A90" s="180">
        <f t="shared" si="30"/>
        <v>2090</v>
      </c>
      <c r="B90" s="128">
        <f t="shared" si="31"/>
        <v>1.2</v>
      </c>
      <c r="C90" s="5">
        <f t="shared" si="23"/>
        <v>8.1152905685404758E-4</v>
      </c>
      <c r="D90" s="195">
        <f t="shared" si="17"/>
        <v>6.7627421404503965E-4</v>
      </c>
      <c r="E90" s="5">
        <f t="shared" si="32"/>
        <v>4</v>
      </c>
      <c r="F90" s="5">
        <f t="shared" si="24"/>
        <v>4.1288064223113707E-2</v>
      </c>
      <c r="G90" s="4">
        <f t="shared" si="18"/>
        <v>1.0322016055778427E-2</v>
      </c>
      <c r="H90" s="128">
        <f t="shared" si="33"/>
        <v>1.7000000000000004</v>
      </c>
      <c r="I90" s="5">
        <f t="shared" si="25"/>
        <v>0.54461982459470804</v>
      </c>
      <c r="J90" s="4">
        <f t="shared" si="19"/>
        <v>0.32036460270276934</v>
      </c>
      <c r="K90" s="128">
        <f t="shared" si="20"/>
        <v>6.9</v>
      </c>
      <c r="L90" s="19">
        <f t="shared" si="21"/>
        <v>0.58671941787467574</v>
      </c>
      <c r="M90" s="195">
        <f t="shared" si="22"/>
        <v>8.5031799691981991E-2</v>
      </c>
      <c r="N90" s="440">
        <f t="shared" si="26"/>
        <v>-2.8616682619961198E-2</v>
      </c>
      <c r="O90" s="448">
        <f t="shared" si="27"/>
        <v>-0.15474363514041911</v>
      </c>
      <c r="P90" s="444">
        <f t="shared" si="28"/>
        <v>-0.10346449000635927</v>
      </c>
      <c r="Q90" s="445">
        <f t="shared" si="29"/>
        <v>-2.221073865139267E-2</v>
      </c>
    </row>
    <row r="91" spans="1:17" x14ac:dyDescent="0.2">
      <c r="A91" s="180">
        <f t="shared" si="30"/>
        <v>2091</v>
      </c>
      <c r="B91" s="128">
        <f t="shared" si="31"/>
        <v>1.2</v>
      </c>
      <c r="C91" s="5">
        <f t="shared" si="23"/>
        <v>6.8583133804721958E-4</v>
      </c>
      <c r="D91" s="195">
        <f t="shared" si="17"/>
        <v>5.7152611503934973E-4</v>
      </c>
      <c r="E91" s="5">
        <f t="shared" si="32"/>
        <v>4</v>
      </c>
      <c r="F91" s="5">
        <f t="shared" si="24"/>
        <v>3.700998164721131E-2</v>
      </c>
      <c r="G91" s="4">
        <f t="shared" si="18"/>
        <v>9.2524954118028274E-3</v>
      </c>
      <c r="H91" s="128">
        <f t="shared" si="33"/>
        <v>1.7000000000000004</v>
      </c>
      <c r="I91" s="5">
        <f t="shared" si="25"/>
        <v>0.53245634154702159</v>
      </c>
      <c r="J91" s="4">
        <f t="shared" si="19"/>
        <v>0.31320961267471853</v>
      </c>
      <c r="K91" s="128">
        <f t="shared" si="20"/>
        <v>6.9</v>
      </c>
      <c r="L91" s="19">
        <f t="shared" si="21"/>
        <v>0.57015215453228019</v>
      </c>
      <c r="M91" s="195">
        <f t="shared" si="22"/>
        <v>8.2630747033663784E-2</v>
      </c>
      <c r="N91" s="440">
        <f t="shared" si="26"/>
        <v>-2.8237114432667965E-2</v>
      </c>
      <c r="O91" s="448">
        <f t="shared" si="27"/>
        <v>-0.15488997928688408</v>
      </c>
      <c r="P91" s="444">
        <f t="shared" si="28"/>
        <v>-0.10361547959198003</v>
      </c>
      <c r="Q91" s="445">
        <f t="shared" si="29"/>
        <v>-2.2333896965168631E-2</v>
      </c>
    </row>
    <row r="92" spans="1:17" x14ac:dyDescent="0.2">
      <c r="A92" s="180">
        <f t="shared" si="30"/>
        <v>2092</v>
      </c>
      <c r="B92" s="128">
        <f t="shared" si="31"/>
        <v>1.2</v>
      </c>
      <c r="C92" s="5">
        <f t="shared" si="23"/>
        <v>5.7950517588825157E-4</v>
      </c>
      <c r="D92" s="195">
        <f t="shared" si="17"/>
        <v>4.8292097990687631E-4</v>
      </c>
      <c r="E92" s="5">
        <f t="shared" si="32"/>
        <v>4</v>
      </c>
      <c r="F92" s="5">
        <f t="shared" si="24"/>
        <v>3.3169729708494022E-2</v>
      </c>
      <c r="G92" s="4">
        <f t="shared" si="18"/>
        <v>8.2924324271235056E-3</v>
      </c>
      <c r="H92" s="128">
        <f t="shared" si="33"/>
        <v>1.7000000000000004</v>
      </c>
      <c r="I92" s="5">
        <f t="shared" si="25"/>
        <v>0.52050039564444717</v>
      </c>
      <c r="J92" s="4">
        <f t="shared" si="19"/>
        <v>0.30617670332026298</v>
      </c>
      <c r="K92" s="128">
        <f t="shared" si="20"/>
        <v>6.9</v>
      </c>
      <c r="L92" s="19">
        <f t="shared" si="21"/>
        <v>0.55424963052882947</v>
      </c>
      <c r="M92" s="195">
        <f t="shared" si="22"/>
        <v>8.0326033409975281E-2</v>
      </c>
      <c r="N92" s="440">
        <f t="shared" si="26"/>
        <v>-2.7891719564747119E-2</v>
      </c>
      <c r="O92" s="448">
        <f t="shared" si="27"/>
        <v>-0.15503252222581787</v>
      </c>
      <c r="P92" s="444">
        <f t="shared" si="28"/>
        <v>-0.10376260046069619</v>
      </c>
      <c r="Q92" s="445">
        <f t="shared" si="29"/>
        <v>-2.2454321546508615E-2</v>
      </c>
    </row>
    <row r="93" spans="1:17" x14ac:dyDescent="0.2">
      <c r="A93" s="180">
        <f t="shared" si="30"/>
        <v>2093</v>
      </c>
      <c r="B93" s="128">
        <f t="shared" si="31"/>
        <v>1.2</v>
      </c>
      <c r="C93" s="5">
        <f t="shared" si="23"/>
        <v>4.8958254055075446E-4</v>
      </c>
      <c r="D93" s="195">
        <f t="shared" si="17"/>
        <v>4.0798545045896205E-4</v>
      </c>
      <c r="E93" s="5">
        <f t="shared" si="32"/>
        <v>4</v>
      </c>
      <c r="F93" s="5">
        <f t="shared" si="24"/>
        <v>2.9723195792626833E-2</v>
      </c>
      <c r="G93" s="4">
        <f t="shared" si="18"/>
        <v>7.4307989481567083E-3</v>
      </c>
      <c r="H93" s="128">
        <f t="shared" si="33"/>
        <v>1.7000000000000004</v>
      </c>
      <c r="I93" s="5">
        <f t="shared" si="25"/>
        <v>0.5087516074060261</v>
      </c>
      <c r="J93" s="4">
        <f t="shared" si="19"/>
        <v>0.29926565141530942</v>
      </c>
      <c r="K93" s="128">
        <f t="shared" si="20"/>
        <v>6.9</v>
      </c>
      <c r="L93" s="19">
        <f t="shared" si="21"/>
        <v>0.53896438573920369</v>
      </c>
      <c r="M93" s="195">
        <f t="shared" si="22"/>
        <v>7.8110780541913574E-2</v>
      </c>
      <c r="N93" s="440">
        <f t="shared" si="26"/>
        <v>-2.7578267891746888E-2</v>
      </c>
      <c r="O93" s="448">
        <f t="shared" si="27"/>
        <v>-0.1551714101598245</v>
      </c>
      <c r="P93" s="444">
        <f t="shared" si="28"/>
        <v>-0.10390599942044776</v>
      </c>
      <c r="Q93" s="445">
        <f t="shared" si="29"/>
        <v>-2.2572102416703377E-2</v>
      </c>
    </row>
    <row r="94" spans="1:17" x14ac:dyDescent="0.2">
      <c r="A94" s="180">
        <f t="shared" si="30"/>
        <v>2094</v>
      </c>
      <c r="B94" s="128">
        <f t="shared" si="31"/>
        <v>1.2</v>
      </c>
      <c r="C94" s="5">
        <f t="shared" si="23"/>
        <v>4.1354705170890647E-4</v>
      </c>
      <c r="D94" s="195">
        <f t="shared" si="17"/>
        <v>3.4462254309075541E-4</v>
      </c>
      <c r="E94" s="5">
        <f t="shared" si="32"/>
        <v>4</v>
      </c>
      <c r="F94" s="5">
        <f t="shared" si="24"/>
        <v>2.6630621633919077E-2</v>
      </c>
      <c r="G94" s="4">
        <f t="shared" si="18"/>
        <v>6.6576554084797693E-3</v>
      </c>
      <c r="H94" s="128">
        <f t="shared" si="33"/>
        <v>1.7000000000000004</v>
      </c>
      <c r="I94" s="5">
        <f t="shared" si="25"/>
        <v>0.49720939399465536</v>
      </c>
      <c r="J94" s="4">
        <f t="shared" si="19"/>
        <v>0.29247611411450308</v>
      </c>
      <c r="K94" s="128">
        <f t="shared" si="20"/>
        <v>6.9</v>
      </c>
      <c r="L94" s="19">
        <f t="shared" si="21"/>
        <v>0.52425356268028334</v>
      </c>
      <c r="M94" s="195">
        <f t="shared" si="22"/>
        <v>7.5978777200041064E-2</v>
      </c>
      <c r="N94" s="440">
        <f t="shared" si="26"/>
        <v>-2.7294610642489947E-2</v>
      </c>
      <c r="O94" s="448">
        <f t="shared" si="27"/>
        <v>-0.15530678188873337</v>
      </c>
      <c r="P94" s="444">
        <f t="shared" si="28"/>
        <v>-0.10404581594402118</v>
      </c>
      <c r="Q94" s="445">
        <f t="shared" si="29"/>
        <v>-2.2687325687718363E-2</v>
      </c>
    </row>
    <row r="95" spans="1:17" x14ac:dyDescent="0.2">
      <c r="A95" s="180">
        <f t="shared" si="30"/>
        <v>2095</v>
      </c>
      <c r="B95" s="128">
        <f t="shared" si="31"/>
        <v>1.2</v>
      </c>
      <c r="C95" s="5">
        <f t="shared" si="23"/>
        <v>3.4926580695510329E-4</v>
      </c>
      <c r="D95" s="195">
        <f t="shared" si="17"/>
        <v>2.9105483912925275E-4</v>
      </c>
      <c r="E95" s="5">
        <f t="shared" si="32"/>
        <v>4</v>
      </c>
      <c r="F95" s="5">
        <f t="shared" si="24"/>
        <v>2.385618534753059E-2</v>
      </c>
      <c r="G95" s="4">
        <f t="shared" si="18"/>
        <v>5.9640463368826474E-3</v>
      </c>
      <c r="H95" s="128">
        <f t="shared" si="33"/>
        <v>1.7000000000000004</v>
      </c>
      <c r="I95" s="5">
        <f t="shared" si="25"/>
        <v>0.48587298313158556</v>
      </c>
      <c r="J95" s="4">
        <f t="shared" si="19"/>
        <v>0.28580763713622676</v>
      </c>
      <c r="K95" s="128">
        <f t="shared" si="20"/>
        <v>6.9</v>
      </c>
      <c r="L95" s="19">
        <f t="shared" si="21"/>
        <v>0.51007843428607125</v>
      </c>
      <c r="M95" s="195">
        <f t="shared" si="22"/>
        <v>7.3924410766097279E-2</v>
      </c>
      <c r="N95" s="440">
        <f t="shared" si="26"/>
        <v>-2.7038687771124947E-2</v>
      </c>
      <c r="O95" s="448">
        <f t="shared" si="27"/>
        <v>-0.15543876927225775</v>
      </c>
      <c r="P95" s="444">
        <f t="shared" si="28"/>
        <v>-0.10418218262147982</v>
      </c>
      <c r="Q95" s="445">
        <f t="shared" si="29"/>
        <v>-2.2800073771718887E-2</v>
      </c>
    </row>
    <row r="96" spans="1:17" x14ac:dyDescent="0.2">
      <c r="A96" s="180">
        <f t="shared" si="30"/>
        <v>2096</v>
      </c>
      <c r="B96" s="128">
        <f t="shared" si="31"/>
        <v>1.2</v>
      </c>
      <c r="C96" s="5">
        <f t="shared" si="23"/>
        <v>2.9493139934944285E-4</v>
      </c>
      <c r="D96" s="195">
        <f t="shared" si="17"/>
        <v>2.4577616612453574E-4</v>
      </c>
      <c r="E96" s="5">
        <f t="shared" si="32"/>
        <v>4</v>
      </c>
      <c r="F96" s="5">
        <f t="shared" si="24"/>
        <v>2.1367621991535607E-2</v>
      </c>
      <c r="G96" s="4">
        <f t="shared" si="18"/>
        <v>5.3419054978839017E-3</v>
      </c>
      <c r="H96" s="128">
        <f t="shared" si="33"/>
        <v>1.7000000000000004</v>
      </c>
      <c r="I96" s="5">
        <f t="shared" si="25"/>
        <v>0.47474142631124749</v>
      </c>
      <c r="J96" s="4">
        <f t="shared" si="19"/>
        <v>0.27925966253602785</v>
      </c>
      <c r="K96" s="128">
        <f t="shared" si="20"/>
        <v>6.9</v>
      </c>
      <c r="L96" s="19">
        <f t="shared" si="21"/>
        <v>0.49640397970213257</v>
      </c>
      <c r="M96" s="195">
        <f t="shared" si="22"/>
        <v>7.1942605753932257E-2</v>
      </c>
      <c r="N96" s="440">
        <f t="shared" si="26"/>
        <v>-2.6808533089774822E-2</v>
      </c>
      <c r="O96" s="448">
        <f t="shared" si="27"/>
        <v>-0.15556749765843791</v>
      </c>
      <c r="P96" s="444">
        <f t="shared" si="28"/>
        <v>-0.10431522557954054</v>
      </c>
      <c r="Q96" s="445">
        <f t="shared" si="29"/>
        <v>-2.291042557787859E-2</v>
      </c>
    </row>
    <row r="97" spans="1:17" x14ac:dyDescent="0.2">
      <c r="A97" s="180">
        <f t="shared" si="30"/>
        <v>2097</v>
      </c>
      <c r="B97" s="128">
        <f t="shared" si="31"/>
        <v>1.2</v>
      </c>
      <c r="C97" s="5">
        <f t="shared" si="23"/>
        <v>2.4901261954365407E-4</v>
      </c>
      <c r="D97" s="195">
        <f t="shared" si="17"/>
        <v>2.0751051628637839E-4</v>
      </c>
      <c r="E97" s="5">
        <f t="shared" si="32"/>
        <v>4</v>
      </c>
      <c r="F97" s="5">
        <f t="shared" si="24"/>
        <v>1.9135879326498711E-2</v>
      </c>
      <c r="G97" s="4">
        <f t="shared" si="18"/>
        <v>4.7839698316246779E-3</v>
      </c>
      <c r="H97" s="128">
        <f t="shared" si="33"/>
        <v>1.7000000000000004</v>
      </c>
      <c r="I97" s="5">
        <f t="shared" si="25"/>
        <v>0.46381361134773513</v>
      </c>
      <c r="J97" s="4">
        <f t="shared" si="19"/>
        <v>0.27283153608690297</v>
      </c>
      <c r="K97" s="128">
        <f t="shared" si="20"/>
        <v>6.9</v>
      </c>
      <c r="L97" s="19">
        <f t="shared" si="21"/>
        <v>0.4831985032937775</v>
      </c>
      <c r="M97" s="195">
        <f t="shared" si="22"/>
        <v>7.002876859330108E-2</v>
      </c>
      <c r="N97" s="440">
        <f t="shared" si="26"/>
        <v>-2.6602277476258429E-2</v>
      </c>
      <c r="O97" s="448">
        <f t="shared" si="27"/>
        <v>-0.15569308628066059</v>
      </c>
      <c r="P97" s="444">
        <f t="shared" si="28"/>
        <v>-0.10444506487062344</v>
      </c>
      <c r="Q97" s="445">
        <f t="shared" si="29"/>
        <v>-2.301845669635727E-2</v>
      </c>
    </row>
    <row r="98" spans="1:17" x14ac:dyDescent="0.2">
      <c r="A98" s="180">
        <f t="shared" si="30"/>
        <v>2098</v>
      </c>
      <c r="B98" s="128">
        <f t="shared" si="31"/>
        <v>1.2</v>
      </c>
      <c r="C98" s="5">
        <f t="shared" si="23"/>
        <v>2.1021255671337482E-4</v>
      </c>
      <c r="D98" s="195">
        <f t="shared" si="17"/>
        <v>1.7517713059447902E-4</v>
      </c>
      <c r="E98" s="5">
        <f t="shared" si="32"/>
        <v>4</v>
      </c>
      <c r="F98" s="5">
        <f t="shared" si="24"/>
        <v>1.7134805696876032E-2</v>
      </c>
      <c r="G98" s="4">
        <f t="shared" si="18"/>
        <v>4.283701424219008E-3</v>
      </c>
      <c r="H98" s="128">
        <f t="shared" si="33"/>
        <v>1.7000000000000004</v>
      </c>
      <c r="I98" s="5">
        <f t="shared" si="25"/>
        <v>0.45308827428251419</v>
      </c>
      <c r="J98" s="4">
        <f t="shared" si="19"/>
        <v>0.26652251428383184</v>
      </c>
      <c r="K98" s="128">
        <f t="shared" si="20"/>
        <v>6.9</v>
      </c>
      <c r="L98" s="19">
        <f t="shared" si="21"/>
        <v>0.47043329253610361</v>
      </c>
      <c r="M98" s="195">
        <f t="shared" si="22"/>
        <v>6.8178738048710663E-2</v>
      </c>
      <c r="N98" s="440">
        <f t="shared" si="26"/>
        <v>-2.6418150450918998E-2</v>
      </c>
      <c r="O98" s="448">
        <f t="shared" si="27"/>
        <v>-0.15581564862610209</v>
      </c>
      <c r="P98" s="444">
        <f t="shared" si="28"/>
        <v>-0.10457181483432854</v>
      </c>
      <c r="Q98" s="445">
        <f t="shared" si="29"/>
        <v>-2.3124239571269967E-2</v>
      </c>
    </row>
    <row r="99" spans="1:17" x14ac:dyDescent="0.2">
      <c r="A99" s="180">
        <f t="shared" si="30"/>
        <v>2099</v>
      </c>
      <c r="B99" s="128">
        <f t="shared" si="31"/>
        <v>1.2</v>
      </c>
      <c r="C99" s="5">
        <f t="shared" si="23"/>
        <v>1.7743300013674799E-4</v>
      </c>
      <c r="D99" s="195">
        <f t="shared" si="17"/>
        <v>1.4786083344729001E-4</v>
      </c>
      <c r="E99" s="5">
        <f t="shared" si="32"/>
        <v>4</v>
      </c>
      <c r="F99" s="5">
        <f t="shared" si="24"/>
        <v>1.5340867200294594E-2</v>
      </c>
      <c r="G99" s="4">
        <f t="shared" si="18"/>
        <v>3.8352168000736486E-3</v>
      </c>
      <c r="H99" s="128">
        <f t="shared" si="33"/>
        <v>1.7000000000000004</v>
      </c>
      <c r="I99" s="5">
        <f t="shared" si="25"/>
        <v>0.44256401068226836</v>
      </c>
      <c r="J99" s="4">
        <f t="shared" si="19"/>
        <v>0.26033177098956956</v>
      </c>
      <c r="K99" s="128">
        <f t="shared" si="20"/>
        <v>6.9</v>
      </c>
      <c r="L99" s="19">
        <f t="shared" si="21"/>
        <v>0.45808231088269968</v>
      </c>
      <c r="M99" s="195">
        <f t="shared" si="22"/>
        <v>6.6388740707637631E-2</v>
      </c>
      <c r="N99" s="440">
        <f t="shared" si="26"/>
        <v>-2.6254480389387047E-2</v>
      </c>
      <c r="O99" s="448">
        <f t="shared" si="27"/>
        <v>-0.15593529277759466</v>
      </c>
      <c r="P99" s="444">
        <f t="shared" si="28"/>
        <v>-0.10469558443306437</v>
      </c>
      <c r="Q99" s="445">
        <f t="shared" si="29"/>
        <v>-2.3227843662278591E-2</v>
      </c>
    </row>
    <row r="100" spans="1:17" ht="13.5" thickBot="1" x14ac:dyDescent="0.25">
      <c r="A100" s="498">
        <f t="shared" si="30"/>
        <v>2100</v>
      </c>
      <c r="B100" s="499">
        <f t="shared" si="31"/>
        <v>1.2</v>
      </c>
      <c r="C100" s="500">
        <f t="shared" si="23"/>
        <v>1.4974420400017585E-4</v>
      </c>
      <c r="D100" s="204">
        <f t="shared" si="17"/>
        <v>1.2478683666681322E-4</v>
      </c>
      <c r="E100" s="500">
        <f t="shared" si="32"/>
        <v>4</v>
      </c>
      <c r="F100" s="500">
        <f t="shared" si="24"/>
        <v>1.3732891537573899E-2</v>
      </c>
      <c r="G100" s="501">
        <f t="shared" si="18"/>
        <v>3.4332228843934748E-3</v>
      </c>
      <c r="H100" s="499">
        <f t="shared" si="33"/>
        <v>1.7000000000000004</v>
      </c>
      <c r="I100" s="500">
        <f t="shared" si="25"/>
        <v>0.43223928635384468</v>
      </c>
      <c r="J100" s="501">
        <f t="shared" si="19"/>
        <v>0.25425840373755565</v>
      </c>
      <c r="K100" s="499">
        <f t="shared" si="20"/>
        <v>6.9</v>
      </c>
      <c r="L100" s="268">
        <f t="shared" si="21"/>
        <v>0.44612192209541873</v>
      </c>
      <c r="M100" s="204">
        <f t="shared" si="22"/>
        <v>6.4655351028321553E-2</v>
      </c>
      <c r="N100" s="441">
        <f t="shared" si="26"/>
        <v>-2.6109693614306817E-2</v>
      </c>
      <c r="O100" s="449">
        <f t="shared" si="27"/>
        <v>-0.15605212173176541</v>
      </c>
      <c r="P100" s="446">
        <f t="shared" si="28"/>
        <v>-0.10481647756456802</v>
      </c>
      <c r="Q100" s="447">
        <f t="shared" si="29"/>
        <v>-2.3329335597141787E-2</v>
      </c>
    </row>
    <row r="101" spans="1:17" x14ac:dyDescent="0.2">
      <c r="A101" s="659" t="s">
        <v>1</v>
      </c>
      <c r="B101" s="197"/>
      <c r="C101" s="207">
        <f>SUM(C51:C100)</f>
        <v>3.191262708953071</v>
      </c>
      <c r="D101" s="208"/>
      <c r="E101" s="207"/>
      <c r="F101" s="207">
        <f>SUM(F51:F100)</f>
        <v>24.967820899041229</v>
      </c>
      <c r="G101" s="207"/>
      <c r="H101" s="209"/>
      <c r="I101" s="207">
        <f>SUM(I51:I100)</f>
        <v>38.002363700654968</v>
      </c>
      <c r="J101" s="207"/>
      <c r="K101" s="210"/>
      <c r="L101" s="207">
        <f>SUM(L51:L100)</f>
        <v>66.161447308649272</v>
      </c>
      <c r="M101" s="198"/>
    </row>
    <row r="102" spans="1:17" ht="13.5" thickBot="1" x14ac:dyDescent="0.25">
      <c r="A102" s="180" t="s">
        <v>52</v>
      </c>
      <c r="B102" s="197"/>
      <c r="C102" s="211">
        <f>C$11*EXP(-C$8*($A100-$A$11))/C$8^2*((C$7*C$8+C$8^2)*($A100-$A$11)+2*C$8+C$7)</f>
        <v>8.058537871051027E-4</v>
      </c>
      <c r="D102" s="208"/>
      <c r="E102" s="207"/>
      <c r="F102" s="211">
        <f>F$11*EXP(-F$8*($A100-$A$11))/F$8^2*((F$7*F$8+F$8^2)*($A100-$A$11)+2*F$8+F$7)</f>
        <v>0.11611740855436117</v>
      </c>
      <c r="G102" s="207"/>
      <c r="H102" s="209"/>
      <c r="I102" s="211">
        <f>I$11*EXP(-I$8*($A100-$A$11))/I$8^2*((I$7*I$8+I$8^2)*($A100-$A$11)+2*I$8+I$7)</f>
        <v>16.4223473166914</v>
      </c>
      <c r="J102" s="207"/>
      <c r="K102" s="212"/>
      <c r="L102" s="213">
        <f>I102+F102+C102</f>
        <v>16.53927057903287</v>
      </c>
      <c r="M102" s="204"/>
    </row>
    <row r="103" spans="1:17" ht="13.5" thickBot="1" x14ac:dyDescent="0.25">
      <c r="A103" s="143" t="s">
        <v>1</v>
      </c>
      <c r="B103" s="199"/>
      <c r="C103" s="145">
        <f>SUM(C101:C102)</f>
        <v>3.1920685627401761</v>
      </c>
      <c r="D103" s="200"/>
      <c r="E103" s="145"/>
      <c r="F103" s="145">
        <f>SUM(F101:F102)</f>
        <v>25.083938307595592</v>
      </c>
      <c r="G103" s="146"/>
      <c r="H103" s="144"/>
      <c r="I103" s="145">
        <f>SUM(I101:I102)</f>
        <v>54.424711017346368</v>
      </c>
      <c r="J103" s="146"/>
      <c r="K103" s="144"/>
      <c r="L103" s="147">
        <f>SUM(L101:L102)</f>
        <v>82.700717887682146</v>
      </c>
      <c r="M103" s="148"/>
    </row>
    <row r="104" spans="1:17" ht="13.5" thickBot="1" x14ac:dyDescent="0.25"/>
    <row r="105" spans="1:17" s="1" customFormat="1" ht="13.5" thickBot="1" x14ac:dyDescent="0.25">
      <c r="A105" s="143" t="s">
        <v>1</v>
      </c>
      <c r="B105" s="562"/>
      <c r="C105" s="572">
        <f>C103+C43</f>
        <v>231.58263253991771</v>
      </c>
      <c r="D105" s="563"/>
      <c r="E105" s="456"/>
      <c r="F105" s="572">
        <f>F103+F43</f>
        <v>358.06500504887771</v>
      </c>
      <c r="G105" s="456"/>
      <c r="H105" s="562"/>
      <c r="I105" s="572">
        <f>I103+I43</f>
        <v>94.318567801846669</v>
      </c>
      <c r="J105" s="563"/>
      <c r="K105" s="456"/>
      <c r="L105" s="572">
        <f>SUM(C105:I105)</f>
        <v>683.96620539064213</v>
      </c>
      <c r="M105" s="563"/>
    </row>
    <row r="106" spans="1:17" s="1" customFormat="1" x14ac:dyDescent="0.2"/>
    <row r="107" spans="1:17" s="1" customFormat="1" x14ac:dyDescent="0.2">
      <c r="J107" s="1" t="s">
        <v>41</v>
      </c>
      <c r="K107" s="114"/>
      <c r="L107" s="573">
        <f>'global path'!C88</f>
        <v>683.96620539064213</v>
      </c>
    </row>
    <row r="108" spans="1:17" s="1" customFormat="1" x14ac:dyDescent="0.2">
      <c r="L108" s="573">
        <f>L105-L107</f>
        <v>0</v>
      </c>
    </row>
  </sheetData>
  <sheetProtection selectLockedCells="1"/>
  <mergeCells count="8">
    <mergeCell ref="N11:Q11"/>
    <mergeCell ref="W4:X4"/>
    <mergeCell ref="B4:D4"/>
    <mergeCell ref="E4:G4"/>
    <mergeCell ref="H4:J4"/>
    <mergeCell ref="K4:N4"/>
    <mergeCell ref="S5:AE7"/>
    <mergeCell ref="K6:N8"/>
  </mergeCells>
  <conditionalFormatting sqref="L48">
    <cfRule type="cellIs" dxfId="33" priority="6" stopIfTrue="1" operator="equal">
      <formula>0</formula>
    </cfRule>
  </conditionalFormatting>
  <conditionalFormatting sqref="N11:N42">
    <cfRule type="expression" dxfId="32" priority="7" stopIfTrue="1">
      <formula>AND(N11=-100,N12=-100)</formula>
    </cfRule>
  </conditionalFormatting>
  <conditionalFormatting sqref="N44">
    <cfRule type="expression" dxfId="31" priority="8" stopIfTrue="1">
      <formula>AND(N44=-100,N46=-100)</formula>
    </cfRule>
  </conditionalFormatting>
  <conditionalFormatting sqref="N43">
    <cfRule type="expression" dxfId="30" priority="9" stopIfTrue="1">
      <formula>AND(N43=-100,N46=-100)</formula>
    </cfRule>
  </conditionalFormatting>
  <conditionalFormatting sqref="N53">
    <cfRule type="expression" dxfId="29" priority="5" stopIfTrue="1">
      <formula>AND(N53=-100,N54=-100)</formula>
    </cfRule>
  </conditionalFormatting>
  <conditionalFormatting sqref="N54:N100">
    <cfRule type="expression" dxfId="28" priority="4" stopIfTrue="1">
      <formula>AND(N54=-100,N55=-100)</formula>
    </cfRule>
  </conditionalFormatting>
  <conditionalFormatting sqref="N51">
    <cfRule type="expression" dxfId="27" priority="3" stopIfTrue="1">
      <formula>AND(N51=-100,N52=-100)</formula>
    </cfRule>
  </conditionalFormatting>
  <conditionalFormatting sqref="N52">
    <cfRule type="expression" dxfId="26" priority="2" stopIfTrue="1">
      <formula>AND(N52=-100,N53=-100)</formula>
    </cfRule>
  </conditionalFormatting>
  <conditionalFormatting sqref="L108">
    <cfRule type="cellIs" dxfId="25" priority="1" stopIfTrue="1" operator="equal">
      <formula>0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00B0F0"/>
  </sheetPr>
  <dimension ref="B1:AP119"/>
  <sheetViews>
    <sheetView zoomScaleNormal="100" workbookViewId="0"/>
  </sheetViews>
  <sheetFormatPr baseColWidth="10" defaultColWidth="11.42578125" defaultRowHeight="15" x14ac:dyDescent="0.25"/>
  <cols>
    <col min="1" max="1" width="4.28515625" style="216" customWidth="1"/>
    <col min="2" max="7" width="11.42578125" style="216"/>
    <col min="8" max="8" width="3.5703125" style="216" customWidth="1"/>
    <col min="9" max="14" width="11.42578125" style="216"/>
    <col min="15" max="15" width="3.5703125" style="216" customWidth="1"/>
    <col min="16" max="17" width="11.42578125" style="216"/>
    <col min="18" max="18" width="13.42578125" style="216" customWidth="1"/>
    <col min="19" max="21" width="11.42578125" style="216"/>
    <col min="22" max="22" width="3.5703125" style="216" customWidth="1"/>
    <col min="23" max="39" width="11.42578125" style="216"/>
    <col min="40" max="40" width="12.7109375" style="216" customWidth="1"/>
    <col min="41" max="41" width="3.28515625" style="216" customWidth="1"/>
    <col min="42" max="16384" width="11.42578125" style="216"/>
  </cols>
  <sheetData>
    <row r="1" spans="2:39" ht="15.75" thickBot="1" x14ac:dyDescent="0.3"/>
    <row r="2" spans="2:39" ht="15.75" thickBot="1" x14ac:dyDescent="0.3">
      <c r="B2" s="215" t="s">
        <v>83</v>
      </c>
      <c r="D2" s="789" t="s">
        <v>40</v>
      </c>
      <c r="E2" s="790"/>
      <c r="G2" s="505" t="s">
        <v>170</v>
      </c>
      <c r="I2" s="215"/>
      <c r="J2" s="600" t="s">
        <v>193</v>
      </c>
      <c r="K2" s="601"/>
      <c r="L2" s="601"/>
      <c r="M2" s="602">
        <v>3</v>
      </c>
      <c r="O2" s="600" t="s">
        <v>194</v>
      </c>
      <c r="P2" s="606"/>
      <c r="Q2" s="601"/>
      <c r="R2" s="607">
        <f>'global path'!C2</f>
        <v>3</v>
      </c>
      <c r="X2" s="289"/>
      <c r="Y2" s="289"/>
      <c r="Z2" s="289"/>
      <c r="AA2" s="289"/>
      <c r="AB2" s="289"/>
      <c r="AC2" s="289"/>
    </row>
    <row r="3" spans="2:39" ht="15" customHeight="1" x14ac:dyDescent="0.25">
      <c r="B3" s="285" t="s">
        <v>79</v>
      </c>
      <c r="C3" s="507" t="s">
        <v>171</v>
      </c>
      <c r="D3" s="506"/>
      <c r="E3" s="506"/>
      <c r="F3" s="506"/>
      <c r="G3" s="506"/>
      <c r="H3" s="506"/>
      <c r="I3" s="506"/>
      <c r="J3" s="506"/>
      <c r="K3" s="506"/>
      <c r="L3" s="506"/>
      <c r="M3" s="506"/>
      <c r="N3" s="506"/>
      <c r="O3" s="506"/>
      <c r="P3" s="506"/>
      <c r="Q3" s="506"/>
      <c r="R3" s="506"/>
      <c r="T3" s="16" t="s">
        <v>88</v>
      </c>
      <c r="X3" s="293" t="s">
        <v>61</v>
      </c>
      <c r="Y3" s="289"/>
      <c r="Z3" s="289"/>
      <c r="AA3" s="289"/>
      <c r="AB3" s="289"/>
      <c r="AC3" s="289"/>
      <c r="AH3" s="12"/>
    </row>
    <row r="4" spans="2:39" x14ac:dyDescent="0.25">
      <c r="B4" s="285" t="s">
        <v>86</v>
      </c>
      <c r="C4" s="16" t="s">
        <v>87</v>
      </c>
      <c r="I4" s="215"/>
      <c r="P4" s="215"/>
      <c r="X4" s="791" t="s">
        <v>128</v>
      </c>
      <c r="Y4" s="792"/>
      <c r="Z4" s="792"/>
      <c r="AA4" s="792"/>
      <c r="AB4" s="792"/>
      <c r="AC4" s="792"/>
      <c r="AD4" s="792"/>
      <c r="AE4" s="792"/>
      <c r="AF4" s="792"/>
      <c r="AH4" s="1"/>
    </row>
    <row r="5" spans="2:39" ht="15.75" thickBot="1" x14ac:dyDescent="0.3">
      <c r="B5" s="215"/>
      <c r="I5" s="215"/>
      <c r="P5" s="215"/>
      <c r="X5" s="792"/>
      <c r="Y5" s="792"/>
      <c r="Z5" s="792"/>
      <c r="AA5" s="792"/>
      <c r="AB5" s="792"/>
      <c r="AC5" s="792"/>
      <c r="AD5" s="792"/>
      <c r="AE5" s="792"/>
      <c r="AF5" s="792"/>
    </row>
    <row r="6" spans="2:39" ht="16.5" thickBot="1" x14ac:dyDescent="0.3">
      <c r="B6" s="217" t="s">
        <v>7</v>
      </c>
      <c r="C6" s="218"/>
      <c r="D6" s="218"/>
      <c r="E6" s="218"/>
      <c r="F6" s="218"/>
      <c r="G6" s="265"/>
      <c r="I6" s="219" t="s">
        <v>8</v>
      </c>
      <c r="J6" s="220"/>
      <c r="K6" s="220"/>
      <c r="L6" s="220"/>
      <c r="M6" s="220"/>
      <c r="N6" s="266"/>
      <c r="P6" s="221" t="s">
        <v>9</v>
      </c>
      <c r="Q6" s="222"/>
      <c r="R6" s="222"/>
      <c r="S6" s="222"/>
      <c r="T6" s="222"/>
      <c r="U6" s="267"/>
      <c r="X6" s="792"/>
      <c r="Y6" s="792"/>
      <c r="Z6" s="792"/>
      <c r="AA6" s="792"/>
      <c r="AB6" s="792"/>
      <c r="AC6" s="792"/>
      <c r="AD6" s="792"/>
      <c r="AE6" s="792"/>
      <c r="AF6" s="792"/>
    </row>
    <row r="7" spans="2:39" x14ac:dyDescent="0.25">
      <c r="B7" s="215" t="s">
        <v>62</v>
      </c>
      <c r="I7" s="215" t="s">
        <v>62</v>
      </c>
      <c r="P7" s="215" t="s">
        <v>62</v>
      </c>
      <c r="Y7" s="289"/>
      <c r="Z7" s="289"/>
      <c r="AA7" s="289"/>
      <c r="AB7" s="289"/>
      <c r="AC7" s="289"/>
    </row>
    <row r="8" spans="2:39" x14ac:dyDescent="0.25">
      <c r="B8" s="215"/>
      <c r="I8" s="215"/>
      <c r="P8" s="215"/>
      <c r="X8" s="216" t="s">
        <v>94</v>
      </c>
    </row>
    <row r="9" spans="2:39" x14ac:dyDescent="0.25">
      <c r="C9" s="223" t="s">
        <v>63</v>
      </c>
      <c r="D9" s="216" t="s">
        <v>64</v>
      </c>
      <c r="J9" s="223" t="s">
        <v>63</v>
      </c>
      <c r="K9" s="216" t="s">
        <v>64</v>
      </c>
      <c r="Q9" s="223" t="s">
        <v>63</v>
      </c>
      <c r="R9" s="216" t="s">
        <v>64</v>
      </c>
      <c r="X9" s="290" t="s">
        <v>95</v>
      </c>
    </row>
    <row r="10" spans="2:39" x14ac:dyDescent="0.25">
      <c r="B10" s="216" t="s">
        <v>2</v>
      </c>
      <c r="C10" s="676">
        <v>1.5667140078250585</v>
      </c>
      <c r="D10" s="224">
        <f>C10</f>
        <v>1.5667140078250585</v>
      </c>
      <c r="I10" s="216" t="s">
        <v>2</v>
      </c>
      <c r="J10" s="676">
        <v>0.78102068816147474</v>
      </c>
      <c r="K10" s="224">
        <f>J10</f>
        <v>0.78102068816147474</v>
      </c>
      <c r="P10" s="216" t="s">
        <v>2</v>
      </c>
      <c r="Q10" s="676">
        <v>2.7860406584318342</v>
      </c>
      <c r="R10" s="224">
        <f>Q10</f>
        <v>2.7860406584318342</v>
      </c>
      <c r="X10" s="290" t="s">
        <v>93</v>
      </c>
      <c r="Y10" s="56"/>
    </row>
    <row r="11" spans="2:39" x14ac:dyDescent="0.25">
      <c r="B11" s="216" t="s">
        <v>3</v>
      </c>
      <c r="C11" s="225">
        <f>C12/C10</f>
        <v>34866.142836442385</v>
      </c>
      <c r="D11" s="224">
        <f>D12/D10</f>
        <v>11.169875237340747</v>
      </c>
      <c r="I11" s="216" t="s">
        <v>3</v>
      </c>
      <c r="J11" s="225">
        <f>J12/J10</f>
        <v>15014.718634345252</v>
      </c>
      <c r="K11" s="224">
        <f>K12/K10</f>
        <v>6.2418320972723089</v>
      </c>
      <c r="P11" s="216" t="s">
        <v>3</v>
      </c>
      <c r="Q11" s="225">
        <f>Q12/Q10</f>
        <v>153.42798802110258</v>
      </c>
      <c r="R11" s="224">
        <f>R12/R10</f>
        <v>0.25921607712145089</v>
      </c>
      <c r="Y11" s="292"/>
    </row>
    <row r="12" spans="2:39" x14ac:dyDescent="0.25">
      <c r="B12" s="216" t="s">
        <v>65</v>
      </c>
      <c r="C12" s="303">
        <f>17420000/318.9</f>
        <v>54625.274380683601</v>
      </c>
      <c r="D12" s="225">
        <f>AC19</f>
        <v>17.5</v>
      </c>
      <c r="I12" s="216" t="s">
        <v>65</v>
      </c>
      <c r="J12" s="303">
        <f>2416635506076/206077898</f>
        <v>11726.805880347247</v>
      </c>
      <c r="K12" s="225">
        <f>AF19</f>
        <v>4.875</v>
      </c>
      <c r="P12" s="216" t="s">
        <v>65</v>
      </c>
      <c r="Q12" s="303">
        <f>8168695870/19110000</f>
        <v>427.45661276818419</v>
      </c>
      <c r="R12" s="225">
        <f>AI19</f>
        <v>0.72218653017956425</v>
      </c>
      <c r="X12" s="293" t="s">
        <v>59</v>
      </c>
    </row>
    <row r="13" spans="2:39" x14ac:dyDescent="0.25">
      <c r="C13" s="224"/>
      <c r="D13" s="224"/>
      <c r="J13" s="224"/>
      <c r="K13" s="224"/>
      <c r="Q13" s="224"/>
      <c r="R13" s="224"/>
      <c r="X13" s="291" t="s">
        <v>108</v>
      </c>
    </row>
    <row r="14" spans="2:39" ht="15.75" thickBot="1" x14ac:dyDescent="0.3">
      <c r="B14" s="215" t="s">
        <v>66</v>
      </c>
      <c r="C14" s="224"/>
      <c r="D14" s="224"/>
      <c r="I14" s="215" t="s">
        <v>66</v>
      </c>
      <c r="J14" s="224"/>
      <c r="K14" s="224"/>
      <c r="P14" s="215" t="s">
        <v>66</v>
      </c>
      <c r="Q14" s="224"/>
      <c r="X14" s="306" t="s">
        <v>109</v>
      </c>
    </row>
    <row r="15" spans="2:39" ht="16.5" thickBot="1" x14ac:dyDescent="0.3">
      <c r="B15" s="215"/>
      <c r="D15" s="287" t="s">
        <v>84</v>
      </c>
      <c r="I15" s="215"/>
      <c r="K15" s="287" t="s">
        <v>85</v>
      </c>
      <c r="P15" s="215"/>
      <c r="Q15" s="299"/>
      <c r="R15" s="302" t="s">
        <v>104</v>
      </c>
      <c r="X15" s="6"/>
      <c r="Y15" s="751" t="s">
        <v>5</v>
      </c>
      <c r="Z15" s="752"/>
      <c r="AA15" s="753"/>
      <c r="AB15" s="214"/>
      <c r="AC15" s="754" t="s">
        <v>7</v>
      </c>
      <c r="AD15" s="755"/>
      <c r="AE15" s="755"/>
      <c r="AF15" s="756" t="s">
        <v>8</v>
      </c>
      <c r="AG15" s="757"/>
      <c r="AH15" s="793"/>
      <c r="AI15" s="759" t="s">
        <v>9</v>
      </c>
      <c r="AJ15" s="759"/>
      <c r="AK15" s="759"/>
      <c r="AL15" s="751" t="s">
        <v>5</v>
      </c>
      <c r="AM15" s="753"/>
    </row>
    <row r="16" spans="2:39" ht="30.75" thickBot="1" x14ac:dyDescent="0.3">
      <c r="B16" s="226" t="s">
        <v>67</v>
      </c>
      <c r="C16" s="227" t="s">
        <v>68</v>
      </c>
      <c r="D16" s="228" t="s">
        <v>69</v>
      </c>
      <c r="E16" s="229" t="s">
        <v>70</v>
      </c>
      <c r="F16" s="226" t="s">
        <v>67</v>
      </c>
      <c r="G16" s="227" t="s">
        <v>71</v>
      </c>
      <c r="I16" s="226" t="s">
        <v>67</v>
      </c>
      <c r="J16" s="227" t="s">
        <v>68</v>
      </c>
      <c r="K16" s="228" t="s">
        <v>69</v>
      </c>
      <c r="L16" s="229" t="s">
        <v>70</v>
      </c>
      <c r="M16" s="226" t="s">
        <v>67</v>
      </c>
      <c r="N16" s="227" t="s">
        <v>71</v>
      </c>
      <c r="P16" s="226" t="s">
        <v>67</v>
      </c>
      <c r="Q16" s="227" t="s">
        <v>68</v>
      </c>
      <c r="R16" s="228" t="s">
        <v>69</v>
      </c>
      <c r="S16" s="229" t="s">
        <v>70</v>
      </c>
      <c r="T16" s="226" t="s">
        <v>67</v>
      </c>
      <c r="U16" s="227" t="s">
        <v>71</v>
      </c>
      <c r="X16" s="44"/>
      <c r="Y16" s="269"/>
      <c r="Z16" s="270"/>
      <c r="AA16" s="271"/>
      <c r="AB16" s="90"/>
      <c r="AC16" s="87"/>
      <c r="AD16" s="88"/>
      <c r="AE16" s="88"/>
      <c r="AF16" s="88"/>
      <c r="AG16" s="88"/>
      <c r="AH16" s="90"/>
      <c r="AI16" s="88"/>
      <c r="AJ16" s="88"/>
      <c r="AK16" s="90"/>
      <c r="AL16" s="282"/>
      <c r="AM16" s="271"/>
    </row>
    <row r="17" spans="2:39" ht="24" x14ac:dyDescent="0.25">
      <c r="B17" s="230">
        <v>0</v>
      </c>
      <c r="C17" s="252">
        <v>0</v>
      </c>
      <c r="D17" s="231"/>
      <c r="E17" s="232"/>
      <c r="F17" s="233">
        <f>B17</f>
        <v>0</v>
      </c>
      <c r="G17" s="255">
        <v>0</v>
      </c>
      <c r="I17" s="230">
        <v>0</v>
      </c>
      <c r="J17" s="252">
        <v>0</v>
      </c>
      <c r="K17" s="231"/>
      <c r="L17" s="232"/>
      <c r="M17" s="233">
        <f>I17</f>
        <v>0</v>
      </c>
      <c r="N17" s="255">
        <v>0</v>
      </c>
      <c r="P17" s="230">
        <v>0</v>
      </c>
      <c r="Q17" s="252">
        <v>0</v>
      </c>
      <c r="R17" s="231"/>
      <c r="S17" s="232"/>
      <c r="T17" s="233">
        <f>P17</f>
        <v>0</v>
      </c>
      <c r="U17" s="255">
        <v>0</v>
      </c>
      <c r="X17" s="46" t="s">
        <v>10</v>
      </c>
      <c r="Y17" s="191" t="s">
        <v>22</v>
      </c>
      <c r="Z17" s="20" t="s">
        <v>23</v>
      </c>
      <c r="AA17" s="192" t="s">
        <v>11</v>
      </c>
      <c r="AB17" s="46" t="s">
        <v>77</v>
      </c>
      <c r="AC17" s="191" t="s">
        <v>11</v>
      </c>
      <c r="AD17" s="14" t="s">
        <v>13</v>
      </c>
      <c r="AE17" s="20" t="s">
        <v>12</v>
      </c>
      <c r="AF17" s="191" t="s">
        <v>11</v>
      </c>
      <c r="AG17" s="14" t="s">
        <v>13</v>
      </c>
      <c r="AH17" s="20" t="s">
        <v>12</v>
      </c>
      <c r="AI17" s="191" t="s">
        <v>11</v>
      </c>
      <c r="AJ17" s="14" t="s">
        <v>13</v>
      </c>
      <c r="AK17" s="20" t="s">
        <v>12</v>
      </c>
      <c r="AL17" s="191" t="s">
        <v>23</v>
      </c>
      <c r="AM17" s="192" t="s">
        <v>78</v>
      </c>
    </row>
    <row r="18" spans="2:39" x14ac:dyDescent="0.25">
      <c r="B18" s="234">
        <f>B17+0.05</f>
        <v>0.05</v>
      </c>
      <c r="C18" s="253">
        <f>_xlfn.GAMMA.DIST(_xlfn.GAMMA.INV(B18,C$10,C$11),C$10+1,C$11,1)</f>
        <v>3.757031201743821E-3</v>
      </c>
      <c r="D18" s="235"/>
      <c r="E18" s="236"/>
      <c r="F18" s="237">
        <f t="shared" ref="F18:F37" si="0">B18</f>
        <v>0.05</v>
      </c>
      <c r="G18" s="253">
        <f>_xlfn.GAMMA.DIST(_xlfn.GAMMA.INV(F18,D$10,D$11),D$10+1,D$11,1)</f>
        <v>3.757031201743821E-3</v>
      </c>
      <c r="I18" s="234">
        <f>I17+0.05</f>
        <v>0.05</v>
      </c>
      <c r="J18" s="253">
        <f>_xlfn.GAMMA.DIST(_xlfn.GAMMA.INV(I18,J$10,J$11),J$10+1,J$11,1)</f>
        <v>5.5349342750397195E-4</v>
      </c>
      <c r="K18" s="235"/>
      <c r="L18" s="236"/>
      <c r="M18" s="237">
        <f t="shared" ref="M18:M37" si="1">I18</f>
        <v>0.05</v>
      </c>
      <c r="N18" s="253">
        <f>_xlfn.GAMMA.DIST(_xlfn.GAMMA.INV(M18,K$10,K$11),K$10+1,K$11,1)</f>
        <v>5.5349342750397195E-4</v>
      </c>
      <c r="P18" s="234">
        <f>P17+0.05</f>
        <v>0.05</v>
      </c>
      <c r="Q18" s="253">
        <f>_xlfn.GAMMA.DIST(_xlfn.GAMMA.INV(P18,Q$10,Q$11),Q$10+1,Q$11,1)</f>
        <v>8.9878078562249195E-3</v>
      </c>
      <c r="R18" s="235"/>
      <c r="S18" s="236"/>
      <c r="T18" s="237">
        <f t="shared" ref="T18:T37" si="2">P18</f>
        <v>0.05</v>
      </c>
      <c r="U18" s="253">
        <f>_xlfn.GAMMA.DIST(_xlfn.GAMMA.INV(T18,R$10,R$11),R$10+1,R$11,1)</f>
        <v>8.9878078562249195E-3</v>
      </c>
      <c r="X18" s="47"/>
      <c r="Y18" s="202" t="s">
        <v>6</v>
      </c>
      <c r="Z18" s="108" t="s">
        <v>21</v>
      </c>
      <c r="AA18" s="193" t="s">
        <v>0</v>
      </c>
      <c r="AB18" s="33"/>
      <c r="AC18" s="202" t="s">
        <v>0</v>
      </c>
      <c r="AD18" s="108" t="s">
        <v>6</v>
      </c>
      <c r="AE18" s="108" t="s">
        <v>21</v>
      </c>
      <c r="AF18" s="202" t="s">
        <v>0</v>
      </c>
      <c r="AG18" s="108" t="s">
        <v>6</v>
      </c>
      <c r="AH18" s="108" t="s">
        <v>21</v>
      </c>
      <c r="AI18" s="202" t="s">
        <v>0</v>
      </c>
      <c r="AJ18" s="108" t="s">
        <v>6</v>
      </c>
      <c r="AK18" s="108" t="s">
        <v>21</v>
      </c>
      <c r="AL18" s="127" t="s">
        <v>21</v>
      </c>
      <c r="AM18" s="193"/>
    </row>
    <row r="19" spans="2:39" x14ac:dyDescent="0.25">
      <c r="B19" s="234">
        <f t="shared" ref="B19:B36" si="3">B18+0.05</f>
        <v>0.1</v>
      </c>
      <c r="C19" s="253">
        <f t="shared" ref="C19:C36" si="4">_xlfn.GAMMA.DIST(_xlfn.GAMMA.INV(B19,C$10,C$11),C$10+1,C$11,1)</f>
        <v>1.2085336278052859E-2</v>
      </c>
      <c r="D19" s="286">
        <v>1.7000000000000001E-2</v>
      </c>
      <c r="E19" s="238">
        <f>(C19-D19)^2</f>
        <v>2.4153919499823339E-5</v>
      </c>
      <c r="F19" s="237">
        <f t="shared" si="0"/>
        <v>0.1</v>
      </c>
      <c r="G19" s="253">
        <f t="shared" ref="G19:G36" si="5">_xlfn.GAMMA.DIST(_xlfn.GAMMA.INV(F19,D$10,D$11),D$10+1,D$11,1)</f>
        <v>1.2085336278052859E-2</v>
      </c>
      <c r="I19" s="234">
        <f t="shared" ref="I19:I36" si="6">I18+0.05</f>
        <v>0.1</v>
      </c>
      <c r="J19" s="253">
        <f t="shared" ref="J19:J36" si="7">_xlfn.GAMMA.DIST(_xlfn.GAMMA.INV(I19,J$10,J$11),J$10+1,J$11,1)</f>
        <v>2.7167718397660421E-3</v>
      </c>
      <c r="K19" s="286">
        <v>0.01</v>
      </c>
      <c r="L19" s="238">
        <f>(J19-K19)^2</f>
        <v>5.3045412434024925E-5</v>
      </c>
      <c r="M19" s="237">
        <f t="shared" si="1"/>
        <v>0.1</v>
      </c>
      <c r="N19" s="253">
        <f t="shared" ref="N19:N36" si="8">_xlfn.GAMMA.DIST(_xlfn.GAMMA.INV(M19,K$10,K$11),K$10+1,K$11,1)</f>
        <v>2.7167718397660421E-3</v>
      </c>
      <c r="P19" s="234">
        <f t="shared" ref="P19:P36" si="9">P18+0.05</f>
        <v>0.1</v>
      </c>
      <c r="Q19" s="253">
        <f t="shared" ref="Q19:Q36" si="10">_xlfn.GAMMA.DIST(_xlfn.GAMMA.INV(P19,Q$10,Q$11),Q$10+1,Q$11,1)</f>
        <v>2.4201918927490636E-2</v>
      </c>
      <c r="R19" s="300">
        <v>3.7999999999999999E-2</v>
      </c>
      <c r="S19" s="238">
        <f>(Q19-R19)^2</f>
        <v>1.9038704128354115E-4</v>
      </c>
      <c r="T19" s="237">
        <f t="shared" si="2"/>
        <v>0.1</v>
      </c>
      <c r="U19" s="253">
        <f t="shared" ref="U19:U36" si="11">_xlfn.GAMMA.DIST(_xlfn.GAMMA.INV(T19,R$10,R$11),R$10+1,R$11,1)</f>
        <v>2.4201918927490625E-2</v>
      </c>
      <c r="X19" s="48">
        <v>2019</v>
      </c>
      <c r="Y19" s="272">
        <f t="shared" ref="Y19:Y49" si="12">AD19+AG19+AJ19</f>
        <v>6.9</v>
      </c>
      <c r="Z19" s="32">
        <f>'global path'!C6</f>
        <v>41.727717101305259</v>
      </c>
      <c r="AA19" s="194">
        <f>Z19/Y19</f>
        <v>6.047495232073226</v>
      </c>
      <c r="AB19" s="277"/>
      <c r="AC19" s="279">
        <f>AE19/AD19</f>
        <v>17.5</v>
      </c>
      <c r="AD19" s="132">
        <f>RF!B9</f>
        <v>1.2</v>
      </c>
      <c r="AE19" s="132">
        <f>RF!C9</f>
        <v>21</v>
      </c>
      <c r="AF19" s="279">
        <f>AH19/AG19</f>
        <v>4.875</v>
      </c>
      <c r="AG19" s="132">
        <f>RF!E9</f>
        <v>4</v>
      </c>
      <c r="AH19" s="132">
        <f>RF!F9</f>
        <v>19.5</v>
      </c>
      <c r="AI19" s="279">
        <f>AK19/AJ19</f>
        <v>0.72218653017956425</v>
      </c>
      <c r="AJ19" s="132">
        <f>RF!H9</f>
        <v>1.7000000000000004</v>
      </c>
      <c r="AK19" s="132">
        <f>RF!I9</f>
        <v>1.2277171013052595</v>
      </c>
      <c r="AL19" s="283">
        <f t="shared" ref="AL19:AL49" si="13">AK19+AH19+AE19</f>
        <v>41.727717101305259</v>
      </c>
      <c r="AM19" s="194"/>
    </row>
    <row r="20" spans="2:39" x14ac:dyDescent="0.25">
      <c r="B20" s="234">
        <f t="shared" si="3"/>
        <v>0.15000000000000002</v>
      </c>
      <c r="C20" s="253">
        <f t="shared" si="4"/>
        <v>2.417031140756196E-2</v>
      </c>
      <c r="D20" s="239"/>
      <c r="E20" s="238"/>
      <c r="F20" s="237">
        <f t="shared" si="0"/>
        <v>0.15000000000000002</v>
      </c>
      <c r="G20" s="253">
        <f t="shared" si="5"/>
        <v>2.4170311407561949E-2</v>
      </c>
      <c r="I20" s="234">
        <f t="shared" si="6"/>
        <v>0.15000000000000002</v>
      </c>
      <c r="J20" s="253">
        <f t="shared" si="7"/>
        <v>6.9328299034333582E-3</v>
      </c>
      <c r="K20" s="239"/>
      <c r="L20" s="238"/>
      <c r="M20" s="237">
        <f t="shared" si="1"/>
        <v>0.15000000000000002</v>
      </c>
      <c r="N20" s="253">
        <f t="shared" si="8"/>
        <v>6.9328299034333582E-3</v>
      </c>
      <c r="P20" s="234">
        <f t="shared" si="9"/>
        <v>0.15000000000000002</v>
      </c>
      <c r="Q20" s="253">
        <f t="shared" si="10"/>
        <v>4.3614043831556926E-2</v>
      </c>
      <c r="R20" s="239"/>
      <c r="S20" s="238"/>
      <c r="T20" s="237">
        <f t="shared" si="2"/>
        <v>0.15000000000000002</v>
      </c>
      <c r="U20" s="253">
        <f t="shared" si="11"/>
        <v>4.3614043831556926E-2</v>
      </c>
      <c r="X20" s="49">
        <f>X19+1</f>
        <v>2020</v>
      </c>
      <c r="Y20" s="197">
        <f t="shared" si="12"/>
        <v>6.9</v>
      </c>
      <c r="Z20" s="19">
        <f>'global path'!C7</f>
        <v>40.89316275927915</v>
      </c>
      <c r="AA20" s="198">
        <f t="shared" ref="AA20:AA49" si="14">Z20/Y20</f>
        <v>5.9265453274317608</v>
      </c>
      <c r="AB20" s="294">
        <v>43.640120205375382</v>
      </c>
      <c r="AC20" s="280">
        <f>$D$12*_xlfn.GAMMA.DIST($AB20,$D$10+1,$D$11,TRUE)+AB20*(1-_xlfn.GAMMA.DIST(AB20,$D$10,$D$11,TRUE))</f>
        <v>16.814250978040242</v>
      </c>
      <c r="AD20" s="150">
        <f t="shared" ref="AD20:AD49" si="15">AD$19*(AD$50/AD$19)^(($X20-2019)/31)</f>
        <v>1.2</v>
      </c>
      <c r="AE20" s="150">
        <f t="shared" ref="AE20:AE49" si="16">AC20*AD20</f>
        <v>20.177101173648289</v>
      </c>
      <c r="AF20" s="280">
        <f>$K$12*_xlfn.GAMMA.DIST(AB20,$K$10+1,$K$11,TRUE)+AB20*(1-_xlfn.GAMMA.DIST(AB20,$K$10,$K$11,TRUE))</f>
        <v>4.8719997554821672</v>
      </c>
      <c r="AG20" s="150">
        <f t="shared" ref="AG20:AG49" si="17">AG$19*(AG$50/AG$19)^(($X20-2019)/31)</f>
        <v>4</v>
      </c>
      <c r="AH20" s="150">
        <f t="shared" ref="AH20:AH49" si="18">AF20*AG20</f>
        <v>19.487999021928669</v>
      </c>
      <c r="AI20" s="280">
        <f>$R$12*_xlfn.GAMMA.DIST(AB20,$R$10+1,$R$11,TRUE)+AB20*(1-_xlfn.GAMMA.DIST(AB20,$R$10,$R$11,TRUE))</f>
        <v>0.72218653017956425</v>
      </c>
      <c r="AJ20" s="150">
        <f t="shared" ref="AJ20:AJ49" si="19">AJ$19*(AJ$50/AJ$19)^(($X20-2019)/31)</f>
        <v>1.7000000000000004</v>
      </c>
      <c r="AK20" s="150">
        <f t="shared" ref="AK20:AK49" si="20">AI20*AJ20</f>
        <v>1.2277171013052595</v>
      </c>
      <c r="AL20" s="284">
        <f t="shared" si="13"/>
        <v>40.892817296882214</v>
      </c>
      <c r="AM20" s="198">
        <f>(AL20-Z20)^2</f>
        <v>1.1934426769684498E-7</v>
      </c>
    </row>
    <row r="21" spans="2:39" x14ac:dyDescent="0.25">
      <c r="B21" s="234">
        <f t="shared" si="3"/>
        <v>0.2</v>
      </c>
      <c r="C21" s="253">
        <f t="shared" si="4"/>
        <v>3.9784839344938108E-2</v>
      </c>
      <c r="D21" s="286">
        <v>5.0999999999999997E-2</v>
      </c>
      <c r="E21" s="238">
        <f>(C21-D21)^2</f>
        <v>1.2577982851884822E-4</v>
      </c>
      <c r="F21" s="237">
        <f t="shared" si="0"/>
        <v>0.2</v>
      </c>
      <c r="G21" s="253">
        <f t="shared" si="5"/>
        <v>3.9784839344938108E-2</v>
      </c>
      <c r="I21" s="234">
        <f t="shared" si="6"/>
        <v>0.2</v>
      </c>
      <c r="J21" s="253">
        <f t="shared" si="7"/>
        <v>1.3545927112332223E-2</v>
      </c>
      <c r="K21" s="286">
        <v>3.3000000000000002E-2</v>
      </c>
      <c r="L21" s="238">
        <f>(J21-K21)^2</f>
        <v>3.7846095191869058E-4</v>
      </c>
      <c r="M21" s="237">
        <f t="shared" si="1"/>
        <v>0.2</v>
      </c>
      <c r="N21" s="253">
        <f t="shared" si="8"/>
        <v>1.3545927112332223E-2</v>
      </c>
      <c r="P21" s="234">
        <f t="shared" si="9"/>
        <v>0.2</v>
      </c>
      <c r="Q21" s="253">
        <f t="shared" si="10"/>
        <v>6.6638162977343027E-2</v>
      </c>
      <c r="R21" s="300">
        <v>8.8999999999999996E-2</v>
      </c>
      <c r="S21" s="238">
        <f>(Q21-R21)^2</f>
        <v>5.0005175502787188E-4</v>
      </c>
      <c r="T21" s="237">
        <f t="shared" si="2"/>
        <v>0.2</v>
      </c>
      <c r="U21" s="253">
        <f t="shared" si="11"/>
        <v>6.6638162977343027E-2</v>
      </c>
      <c r="X21" s="49">
        <f t="shared" ref="X21:X84" si="21">X20+1</f>
        <v>2021</v>
      </c>
      <c r="Y21" s="197">
        <f t="shared" si="12"/>
        <v>6.9</v>
      </c>
      <c r="Z21" s="19">
        <f>'global path'!C8</f>
        <v>39.941126545569553</v>
      </c>
      <c r="AA21" s="198">
        <f t="shared" si="14"/>
        <v>5.788569064575297</v>
      </c>
      <c r="AB21" s="295">
        <v>34.301794511923298</v>
      </c>
      <c r="AC21" s="280">
        <f t="shared" ref="AC21:AC49" si="22">$D$12*_xlfn.GAMMA.DIST($AB21,$D$10+1,$D$11,TRUE)+AB21*(1-_xlfn.GAMMA.DIST(AB21,$D$10,$D$11,TRUE))</f>
        <v>16.052145785002892</v>
      </c>
      <c r="AD21" s="150">
        <f t="shared" si="15"/>
        <v>1.2</v>
      </c>
      <c r="AE21" s="150">
        <f t="shared" si="16"/>
        <v>19.262574942003472</v>
      </c>
      <c r="AF21" s="280">
        <f t="shared" ref="AF21:AF49" si="23">$K$12*_xlfn.GAMMA.DIST(AB21,$K$10+1,$K$11,TRUE)+AB21*(1-_xlfn.GAMMA.DIST(AB21,$K$10,$K$11,TRUE))</f>
        <v>4.8610444341677788</v>
      </c>
      <c r="AG21" s="150">
        <f t="shared" si="17"/>
        <v>4</v>
      </c>
      <c r="AH21" s="150">
        <f t="shared" si="18"/>
        <v>19.444177736671115</v>
      </c>
      <c r="AI21" s="280">
        <f t="shared" ref="AI21:AI49" si="24">$R$12*_xlfn.GAMMA.DIST(AB21,$R$10+1,$R$11,TRUE)+AB21*(1-_xlfn.GAMMA.DIST(AB21,$R$10,$R$11,TRUE))</f>
        <v>0.72218653017956425</v>
      </c>
      <c r="AJ21" s="150">
        <f t="shared" si="19"/>
        <v>1.7000000000000004</v>
      </c>
      <c r="AK21" s="150">
        <f t="shared" si="20"/>
        <v>1.2277171013052595</v>
      </c>
      <c r="AL21" s="284">
        <f t="shared" si="13"/>
        <v>39.93446977997985</v>
      </c>
      <c r="AM21" s="198">
        <f t="shared" ref="AM21:AM49" si="25">(AL21-Z21)^2</f>
        <v>4.431252811625638E-5</v>
      </c>
    </row>
    <row r="22" spans="2:39" x14ac:dyDescent="0.25">
      <c r="B22" s="234">
        <f t="shared" si="3"/>
        <v>0.25</v>
      </c>
      <c r="C22" s="253">
        <f t="shared" si="4"/>
        <v>5.8861693300257895E-2</v>
      </c>
      <c r="D22" s="239"/>
      <c r="E22" s="238"/>
      <c r="F22" s="237">
        <f t="shared" si="0"/>
        <v>0.25</v>
      </c>
      <c r="G22" s="253">
        <f t="shared" si="5"/>
        <v>5.8861693300257895E-2</v>
      </c>
      <c r="I22" s="234">
        <f t="shared" si="6"/>
        <v>0.25</v>
      </c>
      <c r="J22" s="253">
        <f t="shared" si="7"/>
        <v>2.2878543442970214E-2</v>
      </c>
      <c r="K22" s="239"/>
      <c r="L22" s="238"/>
      <c r="M22" s="237">
        <f t="shared" si="1"/>
        <v>0.25</v>
      </c>
      <c r="N22" s="253">
        <f t="shared" si="8"/>
        <v>2.2878543442970214E-2</v>
      </c>
      <c r="P22" s="234">
        <f t="shared" si="9"/>
        <v>0.25</v>
      </c>
      <c r="Q22" s="253">
        <f t="shared" si="10"/>
        <v>9.3000282671551582E-2</v>
      </c>
      <c r="R22" s="239"/>
      <c r="S22" s="238"/>
      <c r="T22" s="237">
        <f t="shared" si="2"/>
        <v>0.25</v>
      </c>
      <c r="U22" s="253">
        <f t="shared" si="11"/>
        <v>9.3000282671551582E-2</v>
      </c>
      <c r="X22" s="49">
        <f t="shared" si="21"/>
        <v>2022</v>
      </c>
      <c r="Y22" s="197">
        <f t="shared" si="12"/>
        <v>6.9</v>
      </c>
      <c r="Z22" s="19">
        <f>'global path'!C9</f>
        <v>38.88020547525452</v>
      </c>
      <c r="AA22" s="198">
        <f t="shared" si="14"/>
        <v>5.6348123877180463</v>
      </c>
      <c r="AB22" s="295">
        <v>28.690339089177293</v>
      </c>
      <c r="AC22" s="280">
        <f t="shared" si="22"/>
        <v>15.248987841344967</v>
      </c>
      <c r="AD22" s="150">
        <f t="shared" si="15"/>
        <v>1.2</v>
      </c>
      <c r="AE22" s="150">
        <f t="shared" si="16"/>
        <v>18.298785409613959</v>
      </c>
      <c r="AF22" s="280">
        <f t="shared" si="23"/>
        <v>4.8396943343784802</v>
      </c>
      <c r="AG22" s="150">
        <f t="shared" si="17"/>
        <v>4</v>
      </c>
      <c r="AH22" s="150">
        <f t="shared" si="18"/>
        <v>19.358777337513921</v>
      </c>
      <c r="AI22" s="280">
        <f t="shared" si="24"/>
        <v>0.72218653017956425</v>
      </c>
      <c r="AJ22" s="150">
        <f t="shared" si="19"/>
        <v>1.7000000000000004</v>
      </c>
      <c r="AK22" s="150">
        <f t="shared" si="20"/>
        <v>1.2277171013052595</v>
      </c>
      <c r="AL22" s="284">
        <f t="shared" si="13"/>
        <v>38.885279848433143</v>
      </c>
      <c r="AM22" s="198">
        <f t="shared" si="25"/>
        <v>2.5749263155925375E-5</v>
      </c>
    </row>
    <row r="23" spans="2:39" x14ac:dyDescent="0.25">
      <c r="B23" s="234">
        <f t="shared" si="3"/>
        <v>0.3</v>
      </c>
      <c r="C23" s="253">
        <f t="shared" si="4"/>
        <v>8.1417578496904064E-2</v>
      </c>
      <c r="D23" s="239"/>
      <c r="E23" s="238"/>
      <c r="F23" s="237">
        <f t="shared" si="0"/>
        <v>0.3</v>
      </c>
      <c r="G23" s="253">
        <f t="shared" si="5"/>
        <v>8.1417578496904064E-2</v>
      </c>
      <c r="I23" s="234">
        <f t="shared" si="6"/>
        <v>0.3</v>
      </c>
      <c r="J23" s="253">
        <f t="shared" si="7"/>
        <v>3.5256993739004733E-2</v>
      </c>
      <c r="K23" s="239"/>
      <c r="L23" s="238"/>
      <c r="M23" s="237">
        <f t="shared" si="1"/>
        <v>0.3</v>
      </c>
      <c r="N23" s="253">
        <f t="shared" si="8"/>
        <v>3.5256993739004733E-2</v>
      </c>
      <c r="P23" s="234">
        <f t="shared" si="9"/>
        <v>0.3</v>
      </c>
      <c r="Q23" s="253">
        <f t="shared" si="10"/>
        <v>0.12256728951869465</v>
      </c>
      <c r="R23" s="239"/>
      <c r="S23" s="238"/>
      <c r="T23" s="237">
        <f t="shared" si="2"/>
        <v>0.3</v>
      </c>
      <c r="U23" s="253">
        <f t="shared" si="11"/>
        <v>0.12256728951869465</v>
      </c>
      <c r="X23" s="49">
        <f t="shared" si="21"/>
        <v>2023</v>
      </c>
      <c r="Y23" s="197">
        <f t="shared" si="12"/>
        <v>6.9</v>
      </c>
      <c r="Z23" s="19">
        <f>'global path'!C10</f>
        <v>37.719896396656317</v>
      </c>
      <c r="AA23" s="198">
        <f t="shared" si="14"/>
        <v>5.4666516516893209</v>
      </c>
      <c r="AB23" s="295">
        <v>24.52304332934736</v>
      </c>
      <c r="AC23" s="280">
        <f t="shared" si="22"/>
        <v>14.391142242705214</v>
      </c>
      <c r="AD23" s="150">
        <f t="shared" si="15"/>
        <v>1.2</v>
      </c>
      <c r="AE23" s="150">
        <f t="shared" si="16"/>
        <v>17.269370691246255</v>
      </c>
      <c r="AF23" s="280">
        <f t="shared" si="23"/>
        <v>4.8044522802596985</v>
      </c>
      <c r="AG23" s="150">
        <f t="shared" si="17"/>
        <v>4</v>
      </c>
      <c r="AH23" s="150">
        <f t="shared" si="18"/>
        <v>19.217809121038794</v>
      </c>
      <c r="AI23" s="280">
        <f t="shared" si="24"/>
        <v>0.72218653017956425</v>
      </c>
      <c r="AJ23" s="150">
        <f t="shared" si="19"/>
        <v>1.7000000000000004</v>
      </c>
      <c r="AK23" s="150">
        <f t="shared" si="20"/>
        <v>1.2277171013052595</v>
      </c>
      <c r="AL23" s="284">
        <f t="shared" si="13"/>
        <v>37.714896913590309</v>
      </c>
      <c r="AM23" s="198">
        <f t="shared" si="25"/>
        <v>2.4994830927303565E-5</v>
      </c>
    </row>
    <row r="24" spans="2:39" x14ac:dyDescent="0.25">
      <c r="B24" s="234">
        <f t="shared" si="3"/>
        <v>0.35</v>
      </c>
      <c r="C24" s="253">
        <f t="shared" si="4"/>
        <v>0.10752780559393929</v>
      </c>
      <c r="D24" s="239"/>
      <c r="E24" s="238"/>
      <c r="F24" s="237">
        <f t="shared" si="0"/>
        <v>0.35</v>
      </c>
      <c r="G24" s="253">
        <f t="shared" si="5"/>
        <v>0.10752780559393925</v>
      </c>
      <c r="I24" s="234">
        <f t="shared" si="6"/>
        <v>0.35</v>
      </c>
      <c r="J24" s="253">
        <f t="shared" si="7"/>
        <v>5.1027036832330806E-2</v>
      </c>
      <c r="K24" s="239"/>
      <c r="L24" s="238"/>
      <c r="M24" s="237">
        <f t="shared" si="1"/>
        <v>0.35</v>
      </c>
      <c r="N24" s="253">
        <f t="shared" si="8"/>
        <v>5.1027036832330806E-2</v>
      </c>
      <c r="P24" s="234">
        <f t="shared" si="9"/>
        <v>0.35</v>
      </c>
      <c r="Q24" s="253">
        <f t="shared" si="10"/>
        <v>0.15528958048260771</v>
      </c>
      <c r="R24" s="239"/>
      <c r="S24" s="238"/>
      <c r="T24" s="237">
        <f t="shared" si="2"/>
        <v>0.35</v>
      </c>
      <c r="U24" s="253">
        <f t="shared" si="11"/>
        <v>0.15528958048260774</v>
      </c>
      <c r="X24" s="49">
        <f t="shared" si="21"/>
        <v>2024</v>
      </c>
      <c r="Y24" s="197">
        <f t="shared" si="12"/>
        <v>6.9</v>
      </c>
      <c r="Z24" s="19">
        <f>'global path'!C11</f>
        <v>36.470453355724658</v>
      </c>
      <c r="AA24" s="198">
        <f t="shared" si="14"/>
        <v>5.2855729501050224</v>
      </c>
      <c r="AB24" s="295">
        <v>21.291950400676889</v>
      </c>
      <c r="AC24" s="280">
        <f t="shared" si="22"/>
        <v>13.520561360106489</v>
      </c>
      <c r="AD24" s="150">
        <f t="shared" si="15"/>
        <v>1.2</v>
      </c>
      <c r="AE24" s="150">
        <f t="shared" si="16"/>
        <v>16.224673632127786</v>
      </c>
      <c r="AF24" s="280">
        <f t="shared" si="23"/>
        <v>4.7540668436304534</v>
      </c>
      <c r="AG24" s="150">
        <f t="shared" si="17"/>
        <v>4</v>
      </c>
      <c r="AH24" s="150">
        <f t="shared" si="18"/>
        <v>19.016267374521814</v>
      </c>
      <c r="AI24" s="280">
        <f t="shared" si="24"/>
        <v>0.72218653017956425</v>
      </c>
      <c r="AJ24" s="150">
        <f t="shared" si="19"/>
        <v>1.7000000000000004</v>
      </c>
      <c r="AK24" s="150">
        <f t="shared" si="20"/>
        <v>1.2277171013052595</v>
      </c>
      <c r="AL24" s="284">
        <f t="shared" si="13"/>
        <v>36.468658107954859</v>
      </c>
      <c r="AM24" s="198">
        <f t="shared" si="25"/>
        <v>3.2229145549678924E-6</v>
      </c>
    </row>
    <row r="25" spans="2:39" x14ac:dyDescent="0.25">
      <c r="B25" s="234">
        <f t="shared" si="3"/>
        <v>0.39999999999999997</v>
      </c>
      <c r="C25" s="253">
        <f t="shared" si="4"/>
        <v>0.13731753410940309</v>
      </c>
      <c r="D25" s="286">
        <f>0.103+D21</f>
        <v>0.154</v>
      </c>
      <c r="E25" s="238">
        <f>(C25-D25)^2</f>
        <v>2.7830466819092934E-4</v>
      </c>
      <c r="F25" s="237">
        <f t="shared" si="0"/>
        <v>0.39999999999999997</v>
      </c>
      <c r="G25" s="253">
        <f t="shared" si="5"/>
        <v>0.13731753410940309</v>
      </c>
      <c r="I25" s="234">
        <f t="shared" si="6"/>
        <v>0.39999999999999997</v>
      </c>
      <c r="J25" s="253">
        <f t="shared" si="7"/>
        <v>7.0567184502088362E-2</v>
      </c>
      <c r="K25" s="286">
        <f>0.076+K21</f>
        <v>0.109</v>
      </c>
      <c r="L25" s="238">
        <f>(J25-K25)^2</f>
        <v>1.4770813070965169E-3</v>
      </c>
      <c r="M25" s="237">
        <f t="shared" si="1"/>
        <v>0.39999999999999997</v>
      </c>
      <c r="N25" s="253">
        <f t="shared" si="8"/>
        <v>7.0567184502088362E-2</v>
      </c>
      <c r="P25" s="234">
        <f t="shared" si="9"/>
        <v>0.39999999999999997</v>
      </c>
      <c r="Q25" s="253">
        <f t="shared" si="10"/>
        <v>0.19117732226342302</v>
      </c>
      <c r="R25" s="300">
        <f>0.127+R21</f>
        <v>0.216</v>
      </c>
      <c r="S25" s="238">
        <f>(Q25-R25)^2</f>
        <v>6.1616533001395454E-4</v>
      </c>
      <c r="T25" s="237">
        <f t="shared" si="2"/>
        <v>0.39999999999999997</v>
      </c>
      <c r="U25" s="253">
        <f t="shared" si="11"/>
        <v>0.19117732226342302</v>
      </c>
      <c r="X25" s="49">
        <f t="shared" si="21"/>
        <v>2025</v>
      </c>
      <c r="Y25" s="197">
        <f t="shared" si="12"/>
        <v>6.9</v>
      </c>
      <c r="Z25" s="19">
        <f>'global path'!C12</f>
        <v>35.142735391074559</v>
      </c>
      <c r="AA25" s="198">
        <f t="shared" si="14"/>
        <v>5.0931500566774721</v>
      </c>
      <c r="AB25" s="295">
        <v>18.64966805022517</v>
      </c>
      <c r="AC25" s="280">
        <f t="shared" si="22"/>
        <v>12.643161221315307</v>
      </c>
      <c r="AD25" s="150">
        <f t="shared" si="15"/>
        <v>1.2</v>
      </c>
      <c r="AE25" s="150">
        <f t="shared" si="16"/>
        <v>15.171793465578368</v>
      </c>
      <c r="AF25" s="280">
        <f t="shared" si="23"/>
        <v>4.6867512414276966</v>
      </c>
      <c r="AG25" s="150">
        <f t="shared" si="17"/>
        <v>4</v>
      </c>
      <c r="AH25" s="150">
        <f t="shared" si="18"/>
        <v>18.747004965710786</v>
      </c>
      <c r="AI25" s="280">
        <f t="shared" si="24"/>
        <v>0.72218653017956425</v>
      </c>
      <c r="AJ25" s="150">
        <f t="shared" si="19"/>
        <v>1.7000000000000004</v>
      </c>
      <c r="AK25" s="150">
        <f t="shared" si="20"/>
        <v>1.2277171013052595</v>
      </c>
      <c r="AL25" s="284">
        <f t="shared" si="13"/>
        <v>35.146515532594414</v>
      </c>
      <c r="AM25" s="198">
        <f t="shared" si="25"/>
        <v>1.4289469910127106E-5</v>
      </c>
    </row>
    <row r="26" spans="2:39" x14ac:dyDescent="0.25">
      <c r="B26" s="234">
        <f t="shared" si="3"/>
        <v>0.44999999999999996</v>
      </c>
      <c r="C26" s="253">
        <f t="shared" si="4"/>
        <v>0.17096096068860625</v>
      </c>
      <c r="D26" s="239"/>
      <c r="E26" s="238"/>
      <c r="F26" s="237">
        <f t="shared" si="0"/>
        <v>0.44999999999999996</v>
      </c>
      <c r="G26" s="253">
        <f t="shared" si="5"/>
        <v>0.17096096068860625</v>
      </c>
      <c r="I26" s="234">
        <f t="shared" si="6"/>
        <v>0.44999999999999996</v>
      </c>
      <c r="J26" s="253">
        <f t="shared" si="7"/>
        <v>9.430281551859715E-2</v>
      </c>
      <c r="K26" s="239"/>
      <c r="L26" s="238"/>
      <c r="M26" s="237">
        <f t="shared" si="1"/>
        <v>0.44999999999999996</v>
      </c>
      <c r="N26" s="253">
        <f t="shared" si="8"/>
        <v>9.430281551859715E-2</v>
      </c>
      <c r="P26" s="234">
        <f t="shared" si="9"/>
        <v>0.44999999999999996</v>
      </c>
      <c r="Q26" s="253">
        <f t="shared" si="10"/>
        <v>0.23029064887228798</v>
      </c>
      <c r="R26" s="301"/>
      <c r="S26" s="238"/>
      <c r="T26" s="237">
        <f t="shared" si="2"/>
        <v>0.44999999999999996</v>
      </c>
      <c r="U26" s="253">
        <f t="shared" si="11"/>
        <v>0.23029064887228798</v>
      </c>
      <c r="X26" s="49">
        <f t="shared" si="21"/>
        <v>2026</v>
      </c>
      <c r="Y26" s="197">
        <f t="shared" si="12"/>
        <v>6.9</v>
      </c>
      <c r="Z26" s="19">
        <f>'global path'!C13</f>
        <v>33.748047947428226</v>
      </c>
      <c r="AA26" s="198">
        <f t="shared" si="14"/>
        <v>4.8910214416562647</v>
      </c>
      <c r="AB26" s="295">
        <v>16.415577874831662</v>
      </c>
      <c r="AC26" s="280">
        <f t="shared" si="22"/>
        <v>11.764347408755601</v>
      </c>
      <c r="AD26" s="150">
        <f t="shared" si="15"/>
        <v>1.2</v>
      </c>
      <c r="AE26" s="150">
        <f t="shared" si="16"/>
        <v>14.11721689050672</v>
      </c>
      <c r="AF26" s="280">
        <f t="shared" si="23"/>
        <v>4.6009088546016379</v>
      </c>
      <c r="AG26" s="150">
        <f t="shared" si="17"/>
        <v>4</v>
      </c>
      <c r="AH26" s="150">
        <f t="shared" si="18"/>
        <v>18.403635418406552</v>
      </c>
      <c r="AI26" s="280">
        <f t="shared" si="24"/>
        <v>0.72218653017956425</v>
      </c>
      <c r="AJ26" s="150">
        <f t="shared" si="19"/>
        <v>1.7000000000000004</v>
      </c>
      <c r="AK26" s="150">
        <f t="shared" si="20"/>
        <v>1.2277171013052595</v>
      </c>
      <c r="AL26" s="284">
        <f t="shared" si="13"/>
        <v>33.748569410218529</v>
      </c>
      <c r="AM26" s="198">
        <f t="shared" si="25"/>
        <v>2.719234416705512E-7</v>
      </c>
    </row>
    <row r="27" spans="2:39" x14ac:dyDescent="0.25">
      <c r="B27" s="234">
        <f t="shared" si="3"/>
        <v>0.49999999999999994</v>
      </c>
      <c r="C27" s="253">
        <f t="shared" si="4"/>
        <v>0.20868594380070205</v>
      </c>
      <c r="D27" s="239"/>
      <c r="E27" s="238"/>
      <c r="F27" s="237">
        <f t="shared" si="0"/>
        <v>0.49999999999999994</v>
      </c>
      <c r="G27" s="253">
        <f t="shared" si="5"/>
        <v>0.20868594380070205</v>
      </c>
      <c r="I27" s="234">
        <f t="shared" si="6"/>
        <v>0.49999999999999994</v>
      </c>
      <c r="J27" s="253">
        <f t="shared" si="7"/>
        <v>0.12272330707721175</v>
      </c>
      <c r="K27" s="239"/>
      <c r="L27" s="238"/>
      <c r="M27" s="237">
        <f t="shared" si="1"/>
        <v>0.49999999999999994</v>
      </c>
      <c r="N27" s="253">
        <f t="shared" si="8"/>
        <v>0.12272330707721177</v>
      </c>
      <c r="P27" s="234">
        <f t="shared" si="9"/>
        <v>0.49999999999999994</v>
      </c>
      <c r="Q27" s="253">
        <f t="shared" si="10"/>
        <v>0.27273742202676521</v>
      </c>
      <c r="R27" s="301"/>
      <c r="S27" s="238"/>
      <c r="T27" s="237">
        <f t="shared" si="2"/>
        <v>0.49999999999999994</v>
      </c>
      <c r="U27" s="253">
        <f t="shared" si="11"/>
        <v>0.27273742202676521</v>
      </c>
      <c r="X27" s="49">
        <f t="shared" si="21"/>
        <v>2027</v>
      </c>
      <c r="Y27" s="197">
        <f t="shared" si="12"/>
        <v>6.9</v>
      </c>
      <c r="Z27" s="19">
        <f>'global path'!C14</f>
        <v>32.297981178024223</v>
      </c>
      <c r="AA27" s="198">
        <f t="shared" si="14"/>
        <v>4.6808668373948148</v>
      </c>
      <c r="AB27" s="295">
        <v>14.513612467533463</v>
      </c>
      <c r="AC27" s="280">
        <f t="shared" si="22"/>
        <v>10.903660053943685</v>
      </c>
      <c r="AD27" s="150">
        <f t="shared" si="15"/>
        <v>1.2</v>
      </c>
      <c r="AE27" s="150">
        <f t="shared" si="16"/>
        <v>13.084392064732421</v>
      </c>
      <c r="AF27" s="280">
        <f t="shared" si="23"/>
        <v>4.4970969222370778</v>
      </c>
      <c r="AG27" s="150">
        <f t="shared" si="17"/>
        <v>4</v>
      </c>
      <c r="AH27" s="150">
        <f t="shared" si="18"/>
        <v>17.988387688948311</v>
      </c>
      <c r="AI27" s="280">
        <f t="shared" si="24"/>
        <v>0.72218653017956425</v>
      </c>
      <c r="AJ27" s="150">
        <f t="shared" si="19"/>
        <v>1.7000000000000004</v>
      </c>
      <c r="AK27" s="150">
        <f t="shared" si="20"/>
        <v>1.2277171013052595</v>
      </c>
      <c r="AL27" s="284">
        <f t="shared" si="13"/>
        <v>32.300496854985994</v>
      </c>
      <c r="AM27" s="198">
        <f t="shared" si="25"/>
        <v>6.3286305759849031E-6</v>
      </c>
    </row>
    <row r="28" spans="2:39" x14ac:dyDescent="0.25">
      <c r="B28" s="234">
        <f t="shared" si="3"/>
        <v>0.54999999999999993</v>
      </c>
      <c r="C28" s="253">
        <f t="shared" si="4"/>
        <v>0.25078388064174872</v>
      </c>
      <c r="D28" s="239"/>
      <c r="E28" s="238"/>
      <c r="F28" s="237">
        <f t="shared" si="0"/>
        <v>0.54999999999999993</v>
      </c>
      <c r="G28" s="253">
        <f t="shared" si="5"/>
        <v>0.25078388064174872</v>
      </c>
      <c r="I28" s="234">
        <f t="shared" si="6"/>
        <v>0.54999999999999993</v>
      </c>
      <c r="J28" s="253">
        <f t="shared" si="7"/>
        <v>0.15640468582368341</v>
      </c>
      <c r="K28" s="239"/>
      <c r="L28" s="238"/>
      <c r="M28" s="237">
        <f t="shared" si="1"/>
        <v>0.54999999999999993</v>
      </c>
      <c r="N28" s="253">
        <f t="shared" si="8"/>
        <v>0.15640468582368341</v>
      </c>
      <c r="P28" s="234">
        <f t="shared" si="9"/>
        <v>0.54999999999999993</v>
      </c>
      <c r="Q28" s="253">
        <f t="shared" si="10"/>
        <v>0.31867650245248758</v>
      </c>
      <c r="R28" s="301"/>
      <c r="S28" s="238"/>
      <c r="T28" s="237">
        <f t="shared" si="2"/>
        <v>0.54999999999999993</v>
      </c>
      <c r="U28" s="253">
        <f t="shared" si="11"/>
        <v>0.31867650245248758</v>
      </c>
      <c r="X28" s="49">
        <f t="shared" si="21"/>
        <v>2028</v>
      </c>
      <c r="Y28" s="197">
        <f t="shared" si="12"/>
        <v>6.9</v>
      </c>
      <c r="Z28" s="19">
        <f>'global path'!C15</f>
        <v>30.80424840186744</v>
      </c>
      <c r="AA28" s="198">
        <f t="shared" si="14"/>
        <v>4.4643838263575999</v>
      </c>
      <c r="AB28" s="295">
        <v>12.859189531062574</v>
      </c>
      <c r="AC28" s="280">
        <f t="shared" si="22"/>
        <v>10.061792314412118</v>
      </c>
      <c r="AD28" s="150">
        <f t="shared" si="15"/>
        <v>1.2</v>
      </c>
      <c r="AE28" s="150">
        <f t="shared" si="16"/>
        <v>12.074150777294541</v>
      </c>
      <c r="AF28" s="280">
        <f t="shared" si="23"/>
        <v>4.3747034595806502</v>
      </c>
      <c r="AG28" s="150">
        <f t="shared" si="17"/>
        <v>4</v>
      </c>
      <c r="AH28" s="150">
        <f t="shared" si="18"/>
        <v>17.498813838322601</v>
      </c>
      <c r="AI28" s="280">
        <f t="shared" si="24"/>
        <v>0.72218653017956425</v>
      </c>
      <c r="AJ28" s="150">
        <f t="shared" si="19"/>
        <v>1.7000000000000004</v>
      </c>
      <c r="AK28" s="150">
        <f t="shared" si="20"/>
        <v>1.2277171013052595</v>
      </c>
      <c r="AL28" s="284">
        <f t="shared" si="13"/>
        <v>30.800681716922401</v>
      </c>
      <c r="AM28" s="198">
        <f t="shared" si="25"/>
        <v>1.2721241497165323E-5</v>
      </c>
    </row>
    <row r="29" spans="2:39" x14ac:dyDescent="0.25">
      <c r="B29" s="234">
        <f t="shared" si="3"/>
        <v>0.6</v>
      </c>
      <c r="C29" s="253">
        <f t="shared" si="4"/>
        <v>0.29762619058499867</v>
      </c>
      <c r="D29" s="286">
        <f>0.154+D25</f>
        <v>0.308</v>
      </c>
      <c r="E29" s="238">
        <f>(C29-D29)^2</f>
        <v>1.0761592177877009E-4</v>
      </c>
      <c r="F29" s="237">
        <f t="shared" si="0"/>
        <v>0.6</v>
      </c>
      <c r="G29" s="253">
        <f t="shared" si="5"/>
        <v>0.29762619058499867</v>
      </c>
      <c r="I29" s="234">
        <f t="shared" si="6"/>
        <v>0.6</v>
      </c>
      <c r="J29" s="253">
        <f t="shared" si="7"/>
        <v>0.19604148457137774</v>
      </c>
      <c r="K29" s="286">
        <f>0.124+K25</f>
        <v>0.23299999999999998</v>
      </c>
      <c r="L29" s="238">
        <f>(J29-K29)^2</f>
        <v>1.3659318626877085E-3</v>
      </c>
      <c r="M29" s="237">
        <f t="shared" si="1"/>
        <v>0.6</v>
      </c>
      <c r="N29" s="253">
        <f t="shared" si="8"/>
        <v>0.19604148457137771</v>
      </c>
      <c r="P29" s="234">
        <f t="shared" si="9"/>
        <v>0.6</v>
      </c>
      <c r="Q29" s="253">
        <f t="shared" si="10"/>
        <v>0.36832652264874755</v>
      </c>
      <c r="R29" s="300">
        <f>0.162+R25</f>
        <v>0.378</v>
      </c>
      <c r="S29" s="238">
        <f>(Q29-R29)^2</f>
        <v>9.3576164065194264E-5</v>
      </c>
      <c r="T29" s="237">
        <f t="shared" si="2"/>
        <v>0.6</v>
      </c>
      <c r="U29" s="253">
        <f t="shared" si="11"/>
        <v>0.36832652264874755</v>
      </c>
      <c r="X29" s="49">
        <f t="shared" si="21"/>
        <v>2029</v>
      </c>
      <c r="Y29" s="197">
        <f t="shared" si="12"/>
        <v>6.9</v>
      </c>
      <c r="Z29" s="19">
        <f>'global path'!C16</f>
        <v>29.278527891388606</v>
      </c>
      <c r="AA29" s="198">
        <f t="shared" si="14"/>
        <v>4.2432649117954497</v>
      </c>
      <c r="AB29" s="295">
        <v>11.423731268359306</v>
      </c>
      <c r="AC29" s="280">
        <f t="shared" si="22"/>
        <v>9.2552273922078392</v>
      </c>
      <c r="AD29" s="150">
        <f t="shared" si="15"/>
        <v>1.2</v>
      </c>
      <c r="AE29" s="150">
        <f t="shared" si="16"/>
        <v>11.106272870649407</v>
      </c>
      <c r="AF29" s="280">
        <f t="shared" si="23"/>
        <v>4.2361372859816608</v>
      </c>
      <c r="AG29" s="150">
        <f t="shared" si="17"/>
        <v>4</v>
      </c>
      <c r="AH29" s="150">
        <f t="shared" si="18"/>
        <v>16.944549143926643</v>
      </c>
      <c r="AI29" s="280">
        <f t="shared" si="24"/>
        <v>0.7221865301795638</v>
      </c>
      <c r="AJ29" s="150">
        <f t="shared" si="19"/>
        <v>1.7000000000000004</v>
      </c>
      <c r="AK29" s="150">
        <f t="shared" si="20"/>
        <v>1.2277171013052588</v>
      </c>
      <c r="AL29" s="284">
        <f t="shared" si="13"/>
        <v>29.278539115881308</v>
      </c>
      <c r="AM29" s="198">
        <f t="shared" si="25"/>
        <v>1.2598923642647266E-10</v>
      </c>
    </row>
    <row r="30" spans="2:39" x14ac:dyDescent="0.25">
      <c r="B30" s="234">
        <f t="shared" si="3"/>
        <v>0.65</v>
      </c>
      <c r="C30" s="253">
        <f t="shared" si="4"/>
        <v>0.34969061721042272</v>
      </c>
      <c r="D30" s="239"/>
      <c r="E30" s="238"/>
      <c r="F30" s="237">
        <f t="shared" si="0"/>
        <v>0.65</v>
      </c>
      <c r="G30" s="253">
        <f t="shared" si="5"/>
        <v>0.34969061721042272</v>
      </c>
      <c r="I30" s="234">
        <f t="shared" si="6"/>
        <v>0.65</v>
      </c>
      <c r="J30" s="253">
        <f t="shared" si="7"/>
        <v>0.24249402356400299</v>
      </c>
      <c r="K30" s="239"/>
      <c r="L30" s="238"/>
      <c r="M30" s="237">
        <f t="shared" si="1"/>
        <v>0.65</v>
      </c>
      <c r="N30" s="253">
        <f t="shared" si="8"/>
        <v>0.24249402356400299</v>
      </c>
      <c r="P30" s="234">
        <f t="shared" si="9"/>
        <v>0.65</v>
      </c>
      <c r="Q30" s="253">
        <f t="shared" si="10"/>
        <v>0.4219818065175161</v>
      </c>
      <c r="R30" s="301"/>
      <c r="S30" s="238"/>
      <c r="T30" s="237">
        <f t="shared" si="2"/>
        <v>0.65</v>
      </c>
      <c r="U30" s="253">
        <f t="shared" si="11"/>
        <v>0.4219818065175161</v>
      </c>
      <c r="X30" s="49">
        <f t="shared" si="21"/>
        <v>2030</v>
      </c>
      <c r="Y30" s="197">
        <f t="shared" si="12"/>
        <v>6.9</v>
      </c>
      <c r="Z30" s="19">
        <f>'global path'!C17</f>
        <v>27.732310994821948</v>
      </c>
      <c r="AA30" s="198">
        <f t="shared" si="14"/>
        <v>4.0191755064959338</v>
      </c>
      <c r="AB30" s="295">
        <v>10.157892522357209</v>
      </c>
      <c r="AC30" s="280">
        <f t="shared" si="22"/>
        <v>8.4815112554395533</v>
      </c>
      <c r="AD30" s="150">
        <f t="shared" si="15"/>
        <v>1.2</v>
      </c>
      <c r="AE30" s="150">
        <f t="shared" si="16"/>
        <v>10.177813506527464</v>
      </c>
      <c r="AF30" s="280">
        <f t="shared" si="23"/>
        <v>4.0816642717466625</v>
      </c>
      <c r="AG30" s="150">
        <f t="shared" si="17"/>
        <v>4</v>
      </c>
      <c r="AH30" s="150">
        <f t="shared" si="18"/>
        <v>16.32665708698665</v>
      </c>
      <c r="AI30" s="280">
        <f t="shared" si="24"/>
        <v>0.72218653017956291</v>
      </c>
      <c r="AJ30" s="150">
        <f t="shared" si="19"/>
        <v>1.7000000000000004</v>
      </c>
      <c r="AK30" s="150">
        <f t="shared" si="20"/>
        <v>1.2277171013052572</v>
      </c>
      <c r="AL30" s="284">
        <f t="shared" si="13"/>
        <v>27.73218769481937</v>
      </c>
      <c r="AM30" s="198">
        <f t="shared" si="25"/>
        <v>1.5202890635676656E-8</v>
      </c>
    </row>
    <row r="31" spans="2:39" x14ac:dyDescent="0.25">
      <c r="B31" s="234">
        <f t="shared" si="3"/>
        <v>0.70000000000000007</v>
      </c>
      <c r="C31" s="253">
        <f t="shared" si="4"/>
        <v>0.40760381777464838</v>
      </c>
      <c r="D31" s="239"/>
      <c r="E31" s="238"/>
      <c r="F31" s="237">
        <f t="shared" si="0"/>
        <v>0.70000000000000007</v>
      </c>
      <c r="G31" s="253">
        <f t="shared" si="5"/>
        <v>0.40760381777464838</v>
      </c>
      <c r="I31" s="234">
        <f t="shared" si="6"/>
        <v>0.70000000000000007</v>
      </c>
      <c r="J31" s="253">
        <f t="shared" si="7"/>
        <v>0.29686260596839426</v>
      </c>
      <c r="K31" s="239"/>
      <c r="L31" s="238"/>
      <c r="M31" s="237">
        <f t="shared" si="1"/>
        <v>0.70000000000000007</v>
      </c>
      <c r="N31" s="253">
        <f t="shared" si="8"/>
        <v>0.29686260596839426</v>
      </c>
      <c r="P31" s="234">
        <f t="shared" si="9"/>
        <v>0.70000000000000007</v>
      </c>
      <c r="Q31" s="253">
        <f t="shared" si="10"/>
        <v>0.48003941403930905</v>
      </c>
      <c r="R31" s="301"/>
      <c r="S31" s="238"/>
      <c r="T31" s="237">
        <f t="shared" si="2"/>
        <v>0.70000000000000007</v>
      </c>
      <c r="U31" s="253">
        <f t="shared" si="11"/>
        <v>0.48003941403930911</v>
      </c>
      <c r="X31" s="49">
        <f t="shared" si="21"/>
        <v>2031</v>
      </c>
      <c r="Y31" s="197">
        <f t="shared" si="12"/>
        <v>6.9</v>
      </c>
      <c r="Z31" s="19">
        <f>'global path'!C18</f>
        <v>26.17675935260209</v>
      </c>
      <c r="AA31" s="198">
        <f t="shared" si="14"/>
        <v>3.7937332395075489</v>
      </c>
      <c r="AB31" s="295">
        <v>9.0396107388222777</v>
      </c>
      <c r="AC31" s="280">
        <f t="shared" si="22"/>
        <v>7.7469300656735287</v>
      </c>
      <c r="AD31" s="150">
        <f t="shared" si="15"/>
        <v>1.2</v>
      </c>
      <c r="AE31" s="150">
        <f t="shared" si="16"/>
        <v>9.2963160788082337</v>
      </c>
      <c r="AF31" s="280">
        <f t="shared" si="23"/>
        <v>3.9135600996823774</v>
      </c>
      <c r="AG31" s="150">
        <f t="shared" si="17"/>
        <v>4</v>
      </c>
      <c r="AH31" s="150">
        <f t="shared" si="18"/>
        <v>15.65424039872951</v>
      </c>
      <c r="AI31" s="280">
        <f t="shared" si="24"/>
        <v>0.72218653017949419</v>
      </c>
      <c r="AJ31" s="150">
        <f t="shared" si="19"/>
        <v>1.7000000000000004</v>
      </c>
      <c r="AK31" s="150">
        <f t="shared" si="20"/>
        <v>1.2277171013051404</v>
      </c>
      <c r="AL31" s="284">
        <f t="shared" si="13"/>
        <v>26.178273578842884</v>
      </c>
      <c r="AM31" s="198">
        <f t="shared" si="25"/>
        <v>2.2928811083074575E-6</v>
      </c>
    </row>
    <row r="32" spans="2:39" x14ac:dyDescent="0.25">
      <c r="B32" s="234">
        <f t="shared" si="3"/>
        <v>0.75000000000000011</v>
      </c>
      <c r="C32" s="253">
        <f t="shared" si="4"/>
        <v>0.47221358894523557</v>
      </c>
      <c r="D32" s="239"/>
      <c r="E32" s="238"/>
      <c r="F32" s="237">
        <f t="shared" si="0"/>
        <v>0.75000000000000011</v>
      </c>
      <c r="G32" s="253">
        <f t="shared" si="5"/>
        <v>0.47221358894523557</v>
      </c>
      <c r="I32" s="234">
        <f t="shared" si="6"/>
        <v>0.75000000000000011</v>
      </c>
      <c r="J32" s="253">
        <f t="shared" si="7"/>
        <v>0.36061179482473227</v>
      </c>
      <c r="K32" s="239"/>
      <c r="L32" s="238"/>
      <c r="M32" s="237">
        <f t="shared" si="1"/>
        <v>0.75000000000000011</v>
      </c>
      <c r="N32" s="253">
        <f t="shared" si="8"/>
        <v>0.36061179482473227</v>
      </c>
      <c r="P32" s="234">
        <f t="shared" si="9"/>
        <v>0.75000000000000011</v>
      </c>
      <c r="Q32" s="253">
        <f t="shared" si="10"/>
        <v>0.54304587400857751</v>
      </c>
      <c r="R32" s="301"/>
      <c r="S32" s="238"/>
      <c r="T32" s="237">
        <f t="shared" si="2"/>
        <v>0.75000000000000011</v>
      </c>
      <c r="U32" s="253">
        <f t="shared" si="11"/>
        <v>0.5430458740085774</v>
      </c>
      <c r="X32" s="49">
        <f t="shared" si="21"/>
        <v>2032</v>
      </c>
      <c r="Y32" s="197">
        <f t="shared" si="12"/>
        <v>6.9</v>
      </c>
      <c r="Z32" s="19">
        <f>'global path'!C19</f>
        <v>24.622573657761826</v>
      </c>
      <c r="AA32" s="198">
        <f t="shared" si="14"/>
        <v>3.5684889359075109</v>
      </c>
      <c r="AB32" s="295">
        <v>8.0435244685661793</v>
      </c>
      <c r="AC32" s="280">
        <f t="shared" si="22"/>
        <v>7.0508690221610975</v>
      </c>
      <c r="AD32" s="150">
        <f t="shared" si="15"/>
        <v>1.2</v>
      </c>
      <c r="AE32" s="150">
        <f t="shared" si="16"/>
        <v>8.4610428265933173</v>
      </c>
      <c r="AF32" s="280">
        <f t="shared" si="23"/>
        <v>3.7331344428661009</v>
      </c>
      <c r="AG32" s="150">
        <f t="shared" si="17"/>
        <v>4</v>
      </c>
      <c r="AH32" s="150">
        <f t="shared" si="18"/>
        <v>14.932537771464403</v>
      </c>
      <c r="AI32" s="280">
        <f t="shared" si="24"/>
        <v>0.72218653017686407</v>
      </c>
      <c r="AJ32" s="150">
        <f t="shared" si="19"/>
        <v>1.7000000000000004</v>
      </c>
      <c r="AK32" s="150">
        <f t="shared" si="20"/>
        <v>1.2277171013006691</v>
      </c>
      <c r="AL32" s="284">
        <f t="shared" si="13"/>
        <v>24.62129769935839</v>
      </c>
      <c r="AM32" s="198">
        <f t="shared" si="25"/>
        <v>1.6280698472997265E-6</v>
      </c>
    </row>
    <row r="33" spans="2:39" x14ac:dyDescent="0.25">
      <c r="B33" s="234">
        <f t="shared" si="3"/>
        <v>0.80000000000000016</v>
      </c>
      <c r="C33" s="253">
        <f t="shared" si="4"/>
        <v>0.54472073636997942</v>
      </c>
      <c r="D33" s="286">
        <f>1-0.464</f>
        <v>0.53600000000000003</v>
      </c>
      <c r="E33" s="238">
        <f>(C33-D33)^2</f>
        <v>7.6051242834681258E-5</v>
      </c>
      <c r="F33" s="237">
        <f t="shared" si="0"/>
        <v>0.80000000000000016</v>
      </c>
      <c r="G33" s="253">
        <f t="shared" si="5"/>
        <v>0.54472073636997942</v>
      </c>
      <c r="I33" s="234">
        <f t="shared" si="6"/>
        <v>0.80000000000000016</v>
      </c>
      <c r="J33" s="253">
        <f t="shared" si="7"/>
        <v>0.43579663465104168</v>
      </c>
      <c r="K33" s="286">
        <f>1-0.574</f>
        <v>0.42600000000000005</v>
      </c>
      <c r="L33" s="238">
        <f>(J33-K33)^2</f>
        <v>9.597405048598967E-5</v>
      </c>
      <c r="M33" s="237">
        <f t="shared" si="1"/>
        <v>0.80000000000000016</v>
      </c>
      <c r="N33" s="253">
        <f t="shared" si="8"/>
        <v>0.43579663465104168</v>
      </c>
      <c r="P33" s="234">
        <f t="shared" si="9"/>
        <v>0.80000000000000016</v>
      </c>
      <c r="Q33" s="253">
        <f t="shared" si="10"/>
        <v>0.6117830411277605</v>
      </c>
      <c r="R33" s="300">
        <f>0.214+R29</f>
        <v>0.59199999999999997</v>
      </c>
      <c r="S33" s="238">
        <f>(Q33-R33)^2</f>
        <v>3.9136871626266443E-4</v>
      </c>
      <c r="T33" s="237">
        <f t="shared" si="2"/>
        <v>0.80000000000000016</v>
      </c>
      <c r="U33" s="253">
        <f t="shared" si="11"/>
        <v>0.6117830411277605</v>
      </c>
      <c r="X33" s="49">
        <f t="shared" si="21"/>
        <v>2033</v>
      </c>
      <c r="Y33" s="197">
        <f t="shared" si="12"/>
        <v>6.9</v>
      </c>
      <c r="Z33" s="19">
        <f>'global path'!C20</f>
        <v>23.079876047945504</v>
      </c>
      <c r="AA33" s="198">
        <f t="shared" si="14"/>
        <v>3.3449095721660149</v>
      </c>
      <c r="AB33" s="295">
        <v>7.1531427416401314</v>
      </c>
      <c r="AC33" s="280">
        <f t="shared" si="22"/>
        <v>6.3945904675076024</v>
      </c>
      <c r="AD33" s="150">
        <f t="shared" si="15"/>
        <v>1.2</v>
      </c>
      <c r="AE33" s="150">
        <f t="shared" si="16"/>
        <v>7.6735085610091227</v>
      </c>
      <c r="AF33" s="280">
        <f t="shared" si="23"/>
        <v>3.5423903239065293</v>
      </c>
      <c r="AG33" s="150">
        <f t="shared" si="17"/>
        <v>4</v>
      </c>
      <c r="AH33" s="150">
        <f t="shared" si="18"/>
        <v>14.169561295626117</v>
      </c>
      <c r="AI33" s="280">
        <f t="shared" si="24"/>
        <v>0.72218653011066536</v>
      </c>
      <c r="AJ33" s="150">
        <f t="shared" si="19"/>
        <v>1.7000000000000004</v>
      </c>
      <c r="AK33" s="150">
        <f t="shared" si="20"/>
        <v>1.2277171011881314</v>
      </c>
      <c r="AL33" s="284">
        <f t="shared" si="13"/>
        <v>23.070786957823373</v>
      </c>
      <c r="AM33" s="198">
        <f t="shared" si="25"/>
        <v>8.2611559248227276E-5</v>
      </c>
    </row>
    <row r="34" spans="2:39" x14ac:dyDescent="0.25">
      <c r="B34" s="234">
        <f t="shared" si="3"/>
        <v>0.8500000000000002</v>
      </c>
      <c r="C34" s="253">
        <f t="shared" si="4"/>
        <v>0.62694770094820895</v>
      </c>
      <c r="D34" s="239"/>
      <c r="E34" s="238"/>
      <c r="F34" s="237">
        <f t="shared" si="0"/>
        <v>0.8500000000000002</v>
      </c>
      <c r="G34" s="253">
        <f t="shared" si="5"/>
        <v>0.62694770094820895</v>
      </c>
      <c r="I34" s="234">
        <f t="shared" si="6"/>
        <v>0.8500000000000002</v>
      </c>
      <c r="J34" s="253">
        <f t="shared" si="7"/>
        <v>0.52552438087236097</v>
      </c>
      <c r="K34" s="239"/>
      <c r="L34" s="238"/>
      <c r="M34" s="237">
        <f t="shared" si="1"/>
        <v>0.8500000000000002</v>
      </c>
      <c r="N34" s="253">
        <f t="shared" si="8"/>
        <v>0.52552438087236097</v>
      </c>
      <c r="P34" s="234">
        <f t="shared" si="9"/>
        <v>0.8500000000000002</v>
      </c>
      <c r="Q34" s="253">
        <f t="shared" si="10"/>
        <v>0.68744303457565459</v>
      </c>
      <c r="R34" s="301"/>
      <c r="S34" s="238"/>
      <c r="T34" s="237">
        <f t="shared" si="2"/>
        <v>0.8500000000000002</v>
      </c>
      <c r="U34" s="253">
        <f t="shared" si="11"/>
        <v>0.68744303457565459</v>
      </c>
      <c r="X34" s="49">
        <f t="shared" si="21"/>
        <v>2034</v>
      </c>
      <c r="Y34" s="197">
        <f t="shared" si="12"/>
        <v>6.9</v>
      </c>
      <c r="Z34" s="19">
        <f>'global path'!C21</f>
        <v>21.558107813870304</v>
      </c>
      <c r="AA34" s="198">
        <f t="shared" si="14"/>
        <v>3.1243634512855514</v>
      </c>
      <c r="AB34" s="295">
        <v>6.3680895974287166</v>
      </c>
      <c r="AC34" s="280">
        <f t="shared" si="22"/>
        <v>5.7888940512686506</v>
      </c>
      <c r="AD34" s="150">
        <f t="shared" si="15"/>
        <v>1.2</v>
      </c>
      <c r="AE34" s="150">
        <f t="shared" si="16"/>
        <v>6.9466728615223809</v>
      </c>
      <c r="AF34" s="280">
        <f t="shared" si="23"/>
        <v>3.3469225386066568</v>
      </c>
      <c r="AG34" s="150">
        <f t="shared" si="17"/>
        <v>4</v>
      </c>
      <c r="AH34" s="150">
        <f t="shared" si="18"/>
        <v>13.387690154426627</v>
      </c>
      <c r="AI34" s="280">
        <f t="shared" si="24"/>
        <v>0.72218652900485558</v>
      </c>
      <c r="AJ34" s="150">
        <f t="shared" si="19"/>
        <v>1.7000000000000004</v>
      </c>
      <c r="AK34" s="150">
        <f t="shared" si="20"/>
        <v>1.2277170993082547</v>
      </c>
      <c r="AL34" s="284">
        <f t="shared" si="13"/>
        <v>21.562080115257263</v>
      </c>
      <c r="AM34" s="198">
        <f t="shared" si="25"/>
        <v>1.5779178308836648E-5</v>
      </c>
    </row>
    <row r="35" spans="2:39" x14ac:dyDescent="0.25">
      <c r="B35" s="234">
        <f t="shared" si="3"/>
        <v>0.90000000000000024</v>
      </c>
      <c r="C35" s="253">
        <f t="shared" si="4"/>
        <v>0.72198701687949074</v>
      </c>
      <c r="D35" s="286">
        <f>1-0.302</f>
        <v>0.69799999999999995</v>
      </c>
      <c r="E35" s="238">
        <f>(C35-D35)^2</f>
        <v>5.7537697877697587E-4</v>
      </c>
      <c r="F35" s="237">
        <f t="shared" si="0"/>
        <v>0.90000000000000024</v>
      </c>
      <c r="G35" s="253">
        <f t="shared" si="5"/>
        <v>0.72198701687949074</v>
      </c>
      <c r="I35" s="234">
        <f t="shared" si="6"/>
        <v>0.90000000000000024</v>
      </c>
      <c r="J35" s="253">
        <f t="shared" si="7"/>
        <v>0.63507476992337586</v>
      </c>
      <c r="K35" s="286">
        <f>1-0.418</f>
        <v>0.58200000000000007</v>
      </c>
      <c r="L35" s="238">
        <f>(J35-K35)^2</f>
        <v>2.8169312024192749E-3</v>
      </c>
      <c r="M35" s="237">
        <f t="shared" si="1"/>
        <v>0.90000000000000024</v>
      </c>
      <c r="N35" s="253">
        <f t="shared" si="8"/>
        <v>0.63507476992337619</v>
      </c>
      <c r="P35" s="234">
        <f t="shared" si="9"/>
        <v>0.90000000000000024</v>
      </c>
      <c r="Q35" s="253">
        <f t="shared" si="10"/>
        <v>0.77204924520086393</v>
      </c>
      <c r="R35" s="300">
        <f>1-0.264</f>
        <v>0.73599999999999999</v>
      </c>
      <c r="S35" s="238">
        <f>(Q35-R35)^2</f>
        <v>1.2995480795520121E-3</v>
      </c>
      <c r="T35" s="237">
        <f t="shared" si="2"/>
        <v>0.90000000000000024</v>
      </c>
      <c r="U35" s="253">
        <f t="shared" si="11"/>
        <v>0.77204924520086393</v>
      </c>
      <c r="X35" s="49">
        <f t="shared" si="21"/>
        <v>2035</v>
      </c>
      <c r="Y35" s="197">
        <f t="shared" si="12"/>
        <v>6.9</v>
      </c>
      <c r="Z35" s="19">
        <f>'global path'!C22</f>
        <v>20.065943679367219</v>
      </c>
      <c r="AA35" s="198">
        <f t="shared" si="14"/>
        <v>2.9081077796184376</v>
      </c>
      <c r="AB35" s="295">
        <v>5.6561341362160675</v>
      </c>
      <c r="AC35" s="280">
        <f t="shared" si="22"/>
        <v>5.2175696801618425</v>
      </c>
      <c r="AD35" s="150">
        <f t="shared" si="15"/>
        <v>1.2</v>
      </c>
      <c r="AE35" s="150">
        <f t="shared" si="16"/>
        <v>6.2610836161942105</v>
      </c>
      <c r="AF35" s="280">
        <f t="shared" si="23"/>
        <v>3.1438922634842248</v>
      </c>
      <c r="AG35" s="150">
        <f t="shared" si="17"/>
        <v>4</v>
      </c>
      <c r="AH35" s="150">
        <f t="shared" si="18"/>
        <v>12.575569053936899</v>
      </c>
      <c r="AI35" s="280">
        <f t="shared" si="24"/>
        <v>0.72218651510262966</v>
      </c>
      <c r="AJ35" s="150">
        <f t="shared" si="19"/>
        <v>1.7000000000000004</v>
      </c>
      <c r="AK35" s="150">
        <f t="shared" si="20"/>
        <v>1.2277170756744706</v>
      </c>
      <c r="AL35" s="284">
        <f t="shared" si="13"/>
        <v>20.064369745805582</v>
      </c>
      <c r="AM35" s="198">
        <f t="shared" si="25"/>
        <v>2.4772668564485129E-6</v>
      </c>
    </row>
    <row r="36" spans="2:39" x14ac:dyDescent="0.25">
      <c r="B36" s="234">
        <f t="shared" si="3"/>
        <v>0.95000000000000029</v>
      </c>
      <c r="C36" s="253">
        <f t="shared" si="4"/>
        <v>0.83632299247120567</v>
      </c>
      <c r="D36" s="239"/>
      <c r="E36" s="236"/>
      <c r="F36" s="237">
        <f t="shared" si="0"/>
        <v>0.95000000000000029</v>
      </c>
      <c r="G36" s="253">
        <f t="shared" si="5"/>
        <v>0.83632299247120567</v>
      </c>
      <c r="I36" s="234">
        <f t="shared" si="6"/>
        <v>0.95000000000000029</v>
      </c>
      <c r="J36" s="253">
        <f t="shared" si="7"/>
        <v>0.77559513317413509</v>
      </c>
      <c r="K36" s="239"/>
      <c r="L36" s="236"/>
      <c r="M36" s="237">
        <f t="shared" si="1"/>
        <v>0.95000000000000029</v>
      </c>
      <c r="N36" s="253">
        <f t="shared" si="8"/>
        <v>0.77559513317413509</v>
      </c>
      <c r="P36" s="234">
        <f t="shared" si="9"/>
        <v>0.95000000000000029</v>
      </c>
      <c r="Q36" s="253">
        <f t="shared" si="10"/>
        <v>0.86982589620183126</v>
      </c>
      <c r="R36" s="239"/>
      <c r="S36" s="236"/>
      <c r="T36" s="237">
        <f t="shared" si="2"/>
        <v>0.95000000000000029</v>
      </c>
      <c r="U36" s="253">
        <f t="shared" si="11"/>
        <v>0.86982589620183126</v>
      </c>
      <c r="X36" s="49">
        <f t="shared" si="21"/>
        <v>2036</v>
      </c>
      <c r="Y36" s="197">
        <f t="shared" si="12"/>
        <v>6.9</v>
      </c>
      <c r="Z36" s="19">
        <f>'global path'!C23</f>
        <v>18.611223465361014</v>
      </c>
      <c r="AA36" s="198">
        <f t="shared" si="14"/>
        <v>2.6972787630957988</v>
      </c>
      <c r="AB36" s="295">
        <v>5.0213282935427115</v>
      </c>
      <c r="AC36" s="280">
        <f t="shared" si="22"/>
        <v>4.690544112624349</v>
      </c>
      <c r="AD36" s="150">
        <f t="shared" si="15"/>
        <v>1.2</v>
      </c>
      <c r="AE36" s="150">
        <f t="shared" si="16"/>
        <v>5.6286529351492183</v>
      </c>
      <c r="AF36" s="280">
        <f t="shared" si="23"/>
        <v>2.9391064914203269</v>
      </c>
      <c r="AG36" s="150">
        <f t="shared" si="17"/>
        <v>4</v>
      </c>
      <c r="AH36" s="150">
        <f t="shared" si="18"/>
        <v>11.756425965681307</v>
      </c>
      <c r="AI36" s="280">
        <f t="shared" si="24"/>
        <v>0.72218638630516485</v>
      </c>
      <c r="AJ36" s="150">
        <f t="shared" si="19"/>
        <v>1.7000000000000004</v>
      </c>
      <c r="AK36" s="150">
        <f t="shared" si="20"/>
        <v>1.2277168567187806</v>
      </c>
      <c r="AL36" s="284">
        <f t="shared" si="13"/>
        <v>18.612795757549307</v>
      </c>
      <c r="AM36" s="198">
        <f t="shared" si="25"/>
        <v>2.4721027253658662E-6</v>
      </c>
    </row>
    <row r="37" spans="2:39" x14ac:dyDescent="0.25">
      <c r="B37" s="240">
        <v>1</v>
      </c>
      <c r="C37" s="254">
        <v>1</v>
      </c>
      <c r="D37" s="241"/>
      <c r="E37" s="242"/>
      <c r="F37" s="243">
        <f t="shared" si="0"/>
        <v>1</v>
      </c>
      <c r="G37" s="254">
        <v>1</v>
      </c>
      <c r="I37" s="240">
        <v>1</v>
      </c>
      <c r="J37" s="254">
        <v>1</v>
      </c>
      <c r="K37" s="241"/>
      <c r="L37" s="242"/>
      <c r="M37" s="243">
        <f t="shared" si="1"/>
        <v>1</v>
      </c>
      <c r="N37" s="254">
        <v>1</v>
      </c>
      <c r="P37" s="240">
        <v>1</v>
      </c>
      <c r="Q37" s="254">
        <v>1</v>
      </c>
      <c r="R37" s="241"/>
      <c r="S37" s="242"/>
      <c r="T37" s="243">
        <f t="shared" si="2"/>
        <v>1</v>
      </c>
      <c r="U37" s="254">
        <v>1</v>
      </c>
      <c r="X37" s="49">
        <f t="shared" si="21"/>
        <v>2037</v>
      </c>
      <c r="Y37" s="197">
        <f t="shared" si="12"/>
        <v>6.9</v>
      </c>
      <c r="Z37" s="19">
        <f>'global path'!C24</f>
        <v>17.200901507982852</v>
      </c>
      <c r="AA37" s="198">
        <f t="shared" si="14"/>
        <v>2.4928842765192538</v>
      </c>
      <c r="AB37" s="295">
        <v>4.4496569282321072</v>
      </c>
      <c r="AC37" s="280">
        <f t="shared" si="22"/>
        <v>4.201872979389627</v>
      </c>
      <c r="AD37" s="150">
        <f t="shared" si="15"/>
        <v>1.2</v>
      </c>
      <c r="AE37" s="150">
        <f t="shared" si="16"/>
        <v>5.0422475752675524</v>
      </c>
      <c r="AF37" s="280">
        <f t="shared" si="23"/>
        <v>2.7328972765270612</v>
      </c>
      <c r="AG37" s="150">
        <f t="shared" si="17"/>
        <v>4</v>
      </c>
      <c r="AH37" s="150">
        <f t="shared" si="18"/>
        <v>10.931589106108245</v>
      </c>
      <c r="AI37" s="280">
        <f t="shared" si="24"/>
        <v>0.72218545468461826</v>
      </c>
      <c r="AJ37" s="150">
        <f t="shared" si="19"/>
        <v>1.7000000000000004</v>
      </c>
      <c r="AK37" s="150">
        <f t="shared" si="20"/>
        <v>1.2277152729638514</v>
      </c>
      <c r="AL37" s="284">
        <f t="shared" si="13"/>
        <v>17.201551954339649</v>
      </c>
      <c r="AM37" s="198">
        <f t="shared" si="25"/>
        <v>4.2308046307064449E-7</v>
      </c>
    </row>
    <row r="38" spans="2:39" x14ac:dyDescent="0.25">
      <c r="B38" s="244"/>
      <c r="C38" s="245"/>
      <c r="D38" s="246" t="s">
        <v>72</v>
      </c>
      <c r="E38" s="247">
        <f>SUM(E19:E35)</f>
        <v>1.1872825596000282E-3</v>
      </c>
      <c r="I38" s="244">
        <v>0</v>
      </c>
      <c r="J38" s="245"/>
      <c r="K38" s="246" t="s">
        <v>72</v>
      </c>
      <c r="L38" s="247">
        <f>SUM(L19:L35)</f>
        <v>6.1874247870422052E-3</v>
      </c>
      <c r="P38" s="244"/>
      <c r="Q38" s="245"/>
      <c r="R38" s="246" t="s">
        <v>72</v>
      </c>
      <c r="S38" s="247">
        <f>SUM(S19:S35)</f>
        <v>3.0910970862052384E-3</v>
      </c>
      <c r="X38" s="49">
        <f t="shared" si="21"/>
        <v>2038</v>
      </c>
      <c r="Y38" s="197">
        <f t="shared" si="12"/>
        <v>6.9</v>
      </c>
      <c r="Z38" s="19">
        <f>'global path'!C25</f>
        <v>15.841013772477746</v>
      </c>
      <c r="AA38" s="198">
        <f t="shared" si="14"/>
        <v>2.2957990974605429</v>
      </c>
      <c r="AB38" s="295">
        <v>3.9387414767763289</v>
      </c>
      <c r="AC38" s="280">
        <f t="shared" si="22"/>
        <v>3.7540512097565211</v>
      </c>
      <c r="AD38" s="150">
        <f t="shared" si="15"/>
        <v>1.2</v>
      </c>
      <c r="AE38" s="150">
        <f t="shared" si="16"/>
        <v>4.5048614517078249</v>
      </c>
      <c r="AF38" s="280">
        <f t="shared" si="23"/>
        <v>2.5289417110708987</v>
      </c>
      <c r="AG38" s="150">
        <f t="shared" si="17"/>
        <v>4</v>
      </c>
      <c r="AH38" s="150">
        <f t="shared" si="18"/>
        <v>10.115766844283595</v>
      </c>
      <c r="AI38" s="280">
        <f t="shared" si="24"/>
        <v>0.72218016479842584</v>
      </c>
      <c r="AJ38" s="150">
        <f t="shared" si="19"/>
        <v>1.7000000000000004</v>
      </c>
      <c r="AK38" s="150">
        <f t="shared" si="20"/>
        <v>1.2277062801573242</v>
      </c>
      <c r="AL38" s="284">
        <f t="shared" si="13"/>
        <v>15.848334576148744</v>
      </c>
      <c r="AM38" s="198">
        <f t="shared" si="25"/>
        <v>5.3594166389300547E-5</v>
      </c>
    </row>
    <row r="39" spans="2:39" x14ac:dyDescent="0.25">
      <c r="B39" s="215"/>
      <c r="I39" s="215"/>
      <c r="P39" s="215"/>
      <c r="X39" s="49">
        <f t="shared" si="21"/>
        <v>2039</v>
      </c>
      <c r="Y39" s="197">
        <f t="shared" si="12"/>
        <v>6.9</v>
      </c>
      <c r="Z39" s="19">
        <f>'global path'!C26</f>
        <v>14.536662201605862</v>
      </c>
      <c r="AA39" s="198">
        <f t="shared" si="14"/>
        <v>2.1067626379138931</v>
      </c>
      <c r="AB39" s="295">
        <v>3.4765557323378236</v>
      </c>
      <c r="AC39" s="280">
        <f t="shared" si="22"/>
        <v>3.340134704141656</v>
      </c>
      <c r="AD39" s="150">
        <f t="shared" si="15"/>
        <v>1.2</v>
      </c>
      <c r="AE39" s="150">
        <f t="shared" si="16"/>
        <v>4.0081616449699871</v>
      </c>
      <c r="AF39" s="280">
        <f t="shared" si="23"/>
        <v>2.3266072504397894</v>
      </c>
      <c r="AG39" s="150">
        <f t="shared" si="17"/>
        <v>4</v>
      </c>
      <c r="AH39" s="150">
        <f t="shared" si="18"/>
        <v>9.3064290017591578</v>
      </c>
      <c r="AI39" s="280">
        <f t="shared" si="24"/>
        <v>0.72215535866083813</v>
      </c>
      <c r="AJ39" s="150">
        <f t="shared" si="19"/>
        <v>1.7000000000000004</v>
      </c>
      <c r="AK39" s="150">
        <f t="shared" si="20"/>
        <v>1.2276641097234251</v>
      </c>
      <c r="AL39" s="284">
        <f t="shared" si="13"/>
        <v>14.542254756452571</v>
      </c>
      <c r="AM39" s="198">
        <f t="shared" si="25"/>
        <v>3.1276669713449035E-5</v>
      </c>
    </row>
    <row r="40" spans="2:39" x14ac:dyDescent="0.25">
      <c r="B40" s="215"/>
      <c r="I40" s="215"/>
      <c r="P40" s="215"/>
      <c r="X40" s="49">
        <f t="shared" si="21"/>
        <v>2040</v>
      </c>
      <c r="Y40" s="197">
        <f t="shared" si="12"/>
        <v>6.9</v>
      </c>
      <c r="Z40" s="19">
        <f>'global path'!C27</f>
        <v>13.292015470306927</v>
      </c>
      <c r="AA40" s="198">
        <f t="shared" si="14"/>
        <v>1.9263790536676704</v>
      </c>
      <c r="AB40" s="295">
        <v>3.0609797402312999</v>
      </c>
      <c r="AC40" s="280">
        <f t="shared" si="22"/>
        <v>2.961022274507247</v>
      </c>
      <c r="AD40" s="150">
        <f t="shared" si="15"/>
        <v>1.2</v>
      </c>
      <c r="AE40" s="150">
        <f t="shared" si="16"/>
        <v>3.5532267294086961</v>
      </c>
      <c r="AF40" s="280">
        <f t="shared" si="23"/>
        <v>2.1286729999044605</v>
      </c>
      <c r="AG40" s="150">
        <f t="shared" si="17"/>
        <v>4</v>
      </c>
      <c r="AH40" s="150">
        <f t="shared" si="18"/>
        <v>8.5146919996178418</v>
      </c>
      <c r="AI40" s="280">
        <f t="shared" si="24"/>
        <v>0.72205905140414461</v>
      </c>
      <c r="AJ40" s="150">
        <f t="shared" si="19"/>
        <v>1.7000000000000004</v>
      </c>
      <c r="AK40" s="150">
        <f t="shared" si="20"/>
        <v>1.227500387387046</v>
      </c>
      <c r="AL40" s="284">
        <f t="shared" si="13"/>
        <v>13.295419116413584</v>
      </c>
      <c r="AM40" s="198">
        <f t="shared" si="25"/>
        <v>1.1584806819359079E-5</v>
      </c>
    </row>
    <row r="41" spans="2:39" x14ac:dyDescent="0.25">
      <c r="B41" s="215"/>
      <c r="I41" s="215"/>
      <c r="P41" s="215"/>
      <c r="X41" s="49">
        <f t="shared" si="21"/>
        <v>2041</v>
      </c>
      <c r="Y41" s="197">
        <f t="shared" si="12"/>
        <v>6.9</v>
      </c>
      <c r="Z41" s="19">
        <f>'global path'!C28</f>
        <v>12.110324996196645</v>
      </c>
      <c r="AA41" s="198">
        <f t="shared" si="14"/>
        <v>1.7551195646661804</v>
      </c>
      <c r="AB41" s="295">
        <v>2.6879136423619325</v>
      </c>
      <c r="AC41" s="280">
        <f t="shared" si="22"/>
        <v>2.6152849668602491</v>
      </c>
      <c r="AD41" s="150">
        <f t="shared" si="15"/>
        <v>1.2</v>
      </c>
      <c r="AE41" s="150">
        <f t="shared" si="16"/>
        <v>3.1383419602322991</v>
      </c>
      <c r="AF41" s="280">
        <f t="shared" si="23"/>
        <v>1.9367970475836045</v>
      </c>
      <c r="AG41" s="150">
        <f t="shared" si="17"/>
        <v>4</v>
      </c>
      <c r="AH41" s="150">
        <f t="shared" si="18"/>
        <v>7.747188190334418</v>
      </c>
      <c r="AI41" s="280">
        <f t="shared" si="24"/>
        <v>0.72174407077006597</v>
      </c>
      <c r="AJ41" s="150">
        <f t="shared" si="19"/>
        <v>1.7000000000000004</v>
      </c>
      <c r="AK41" s="150">
        <f t="shared" si="20"/>
        <v>1.2269649203091124</v>
      </c>
      <c r="AL41" s="284">
        <f t="shared" si="13"/>
        <v>12.112495070875831</v>
      </c>
      <c r="AM41" s="198">
        <f t="shared" si="25"/>
        <v>4.7092241132401553E-6</v>
      </c>
    </row>
    <row r="42" spans="2:39" x14ac:dyDescent="0.25">
      <c r="B42" s="215"/>
      <c r="I42" s="215"/>
      <c r="P42" s="215"/>
      <c r="X42" s="49">
        <f t="shared" si="21"/>
        <v>2042</v>
      </c>
      <c r="Y42" s="197">
        <f t="shared" si="12"/>
        <v>6.9</v>
      </c>
      <c r="Z42" s="19">
        <f>'global path'!C29</f>
        <v>10.993954784704982</v>
      </c>
      <c r="AA42" s="198">
        <f t="shared" si="14"/>
        <v>1.5933267803920264</v>
      </c>
      <c r="AB42" s="295">
        <v>2.3523414026184031</v>
      </c>
      <c r="AC42" s="280">
        <f t="shared" si="22"/>
        <v>2.3000981470349169</v>
      </c>
      <c r="AD42" s="150">
        <f t="shared" si="15"/>
        <v>1.2</v>
      </c>
      <c r="AE42" s="150">
        <f t="shared" si="16"/>
        <v>2.7601177764419003</v>
      </c>
      <c r="AF42" s="280">
        <f t="shared" si="23"/>
        <v>1.7516767974748773</v>
      </c>
      <c r="AG42" s="150">
        <f t="shared" si="17"/>
        <v>4</v>
      </c>
      <c r="AH42" s="150">
        <f t="shared" si="18"/>
        <v>7.006707189899509</v>
      </c>
      <c r="AI42" s="280">
        <f t="shared" si="24"/>
        <v>0.72085819682232954</v>
      </c>
      <c r="AJ42" s="150">
        <f t="shared" si="19"/>
        <v>1.7000000000000004</v>
      </c>
      <c r="AK42" s="150">
        <f t="shared" si="20"/>
        <v>1.2254589345979605</v>
      </c>
      <c r="AL42" s="284">
        <f t="shared" si="13"/>
        <v>10.99228390093937</v>
      </c>
      <c r="AM42" s="198">
        <f t="shared" si="25"/>
        <v>2.7918525581875072E-6</v>
      </c>
    </row>
    <row r="43" spans="2:39" x14ac:dyDescent="0.25">
      <c r="B43" s="215"/>
      <c r="I43" s="215"/>
      <c r="P43" s="215"/>
      <c r="X43" s="49">
        <f t="shared" si="21"/>
        <v>2043</v>
      </c>
      <c r="Y43" s="197">
        <f t="shared" si="12"/>
        <v>6.9</v>
      </c>
      <c r="Z43" s="19">
        <f>'global path'!C30</f>
        <v>9.9444234729520211</v>
      </c>
      <c r="AA43" s="198">
        <f t="shared" si="14"/>
        <v>1.4412207931814522</v>
      </c>
      <c r="AB43" s="295">
        <v>2.0500787582146027</v>
      </c>
      <c r="AC43" s="280">
        <f t="shared" si="22"/>
        <v>2.0129458600834109</v>
      </c>
      <c r="AD43" s="150">
        <f t="shared" si="15"/>
        <v>1.2</v>
      </c>
      <c r="AE43" s="150">
        <f t="shared" si="16"/>
        <v>2.415535032100093</v>
      </c>
      <c r="AF43" s="280">
        <f t="shared" si="23"/>
        <v>1.5738944733336662</v>
      </c>
      <c r="AG43" s="150">
        <f t="shared" si="17"/>
        <v>4</v>
      </c>
      <c r="AH43" s="150">
        <f t="shared" si="18"/>
        <v>6.2955778933346647</v>
      </c>
      <c r="AI43" s="280">
        <f t="shared" si="24"/>
        <v>0.71868201274170351</v>
      </c>
      <c r="AJ43" s="150">
        <f t="shared" si="19"/>
        <v>1.7000000000000004</v>
      </c>
      <c r="AK43" s="150">
        <f t="shared" si="20"/>
        <v>1.2217594216608962</v>
      </c>
      <c r="AL43" s="284">
        <f t="shared" si="13"/>
        <v>9.9328723470956533</v>
      </c>
      <c r="AM43" s="198">
        <f t="shared" si="25"/>
        <v>1.3342850854965014E-4</v>
      </c>
    </row>
    <row r="44" spans="2:39" x14ac:dyDescent="0.25">
      <c r="B44" s="215"/>
      <c r="I44" s="215"/>
      <c r="P44" s="215"/>
      <c r="X44" s="49">
        <f t="shared" si="21"/>
        <v>2044</v>
      </c>
      <c r="Y44" s="197">
        <f t="shared" si="12"/>
        <v>6.9</v>
      </c>
      <c r="Z44" s="19">
        <f>'global path'!C31</f>
        <v>8.9624567802491004</v>
      </c>
      <c r="AA44" s="198">
        <f t="shared" si="14"/>
        <v>1.2989067797462464</v>
      </c>
      <c r="AB44" s="295">
        <v>1.7841820662317296</v>
      </c>
      <c r="AC44" s="280">
        <f t="shared" si="22"/>
        <v>1.7579186430160327</v>
      </c>
      <c r="AD44" s="150">
        <f t="shared" si="15"/>
        <v>1.2</v>
      </c>
      <c r="AE44" s="150">
        <f t="shared" si="16"/>
        <v>2.1095023716192394</v>
      </c>
      <c r="AF44" s="280">
        <f t="shared" si="23"/>
        <v>1.408150410655743</v>
      </c>
      <c r="AG44" s="150">
        <f t="shared" si="17"/>
        <v>4</v>
      </c>
      <c r="AH44" s="150">
        <f t="shared" si="18"/>
        <v>5.6326016426229719</v>
      </c>
      <c r="AI44" s="280">
        <f t="shared" si="24"/>
        <v>0.71411760437511529</v>
      </c>
      <c r="AJ44" s="150">
        <f t="shared" si="19"/>
        <v>1.7000000000000004</v>
      </c>
      <c r="AK44" s="150">
        <f t="shared" si="20"/>
        <v>1.2139999274376962</v>
      </c>
      <c r="AL44" s="284">
        <f t="shared" si="13"/>
        <v>8.956103941679908</v>
      </c>
      <c r="AM44" s="198">
        <f t="shared" si="25"/>
        <v>4.0358557886219083E-5</v>
      </c>
    </row>
    <row r="45" spans="2:39" x14ac:dyDescent="0.25">
      <c r="B45" s="215"/>
      <c r="I45" s="215"/>
      <c r="P45" s="215"/>
      <c r="X45" s="49">
        <f t="shared" si="21"/>
        <v>2045</v>
      </c>
      <c r="Y45" s="197">
        <f t="shared" si="12"/>
        <v>6.9</v>
      </c>
      <c r="Z45" s="19">
        <f>'global path'!C32</f>
        <v>8.0480484757823429</v>
      </c>
      <c r="AA45" s="198">
        <f t="shared" si="14"/>
        <v>1.1663838370699047</v>
      </c>
      <c r="AB45" s="295">
        <v>1.5513326705093069</v>
      </c>
      <c r="AC45" s="280">
        <f t="shared" si="22"/>
        <v>1.53282430523316</v>
      </c>
      <c r="AD45" s="150">
        <f t="shared" si="15"/>
        <v>1.2</v>
      </c>
      <c r="AE45" s="150">
        <f t="shared" si="16"/>
        <v>1.8393891662797919</v>
      </c>
      <c r="AF45" s="280">
        <f t="shared" si="23"/>
        <v>1.2552725581317399</v>
      </c>
      <c r="AG45" s="150">
        <f t="shared" si="17"/>
        <v>4</v>
      </c>
      <c r="AH45" s="150">
        <f t="shared" si="18"/>
        <v>5.0210902325269595</v>
      </c>
      <c r="AI45" s="280">
        <f t="shared" si="24"/>
        <v>0.70574257301806298</v>
      </c>
      <c r="AJ45" s="150">
        <f t="shared" si="19"/>
        <v>1.7000000000000004</v>
      </c>
      <c r="AK45" s="150">
        <f t="shared" si="20"/>
        <v>1.1997623741307073</v>
      </c>
      <c r="AL45" s="284">
        <f t="shared" si="13"/>
        <v>8.0602417729374594</v>
      </c>
      <c r="AM45" s="198">
        <f t="shared" si="25"/>
        <v>1.4867649551296997E-4</v>
      </c>
    </row>
    <row r="46" spans="2:39" x14ac:dyDescent="0.25">
      <c r="B46" s="215"/>
      <c r="I46" s="215"/>
      <c r="P46" s="215"/>
      <c r="X46" s="49">
        <f t="shared" si="21"/>
        <v>2046</v>
      </c>
      <c r="Y46" s="197">
        <f t="shared" si="12"/>
        <v>6.9</v>
      </c>
      <c r="Z46" s="19">
        <f>'global path'!C33</f>
        <v>7.2005279339949269</v>
      </c>
      <c r="AA46" s="198">
        <f t="shared" si="14"/>
        <v>1.043554773042743</v>
      </c>
      <c r="AB46" s="295">
        <v>1.3377452509809946</v>
      </c>
      <c r="AC46" s="280">
        <f t="shared" si="22"/>
        <v>1.3249856377723901</v>
      </c>
      <c r="AD46" s="150">
        <f t="shared" si="15"/>
        <v>1.2</v>
      </c>
      <c r="AE46" s="150">
        <f t="shared" si="16"/>
        <v>1.5899827653268681</v>
      </c>
      <c r="AF46" s="280">
        <f t="shared" si="23"/>
        <v>1.1082372147906026</v>
      </c>
      <c r="AG46" s="150">
        <f t="shared" si="17"/>
        <v>4</v>
      </c>
      <c r="AH46" s="150">
        <f t="shared" si="18"/>
        <v>4.4329488591624102</v>
      </c>
      <c r="AI46" s="280">
        <f t="shared" si="24"/>
        <v>0.69116989357836034</v>
      </c>
      <c r="AJ46" s="150">
        <f t="shared" si="19"/>
        <v>1.7000000000000004</v>
      </c>
      <c r="AK46" s="150">
        <f t="shared" si="20"/>
        <v>1.174988819083213</v>
      </c>
      <c r="AL46" s="284">
        <f t="shared" si="13"/>
        <v>7.1979204435724906</v>
      </c>
      <c r="AM46" s="198">
        <f t="shared" si="25"/>
        <v>6.7990063030967355E-6</v>
      </c>
    </row>
    <row r="47" spans="2:39" x14ac:dyDescent="0.25">
      <c r="X47" s="49">
        <f t="shared" si="21"/>
        <v>2047</v>
      </c>
      <c r="Y47" s="197">
        <f t="shared" si="12"/>
        <v>6.9</v>
      </c>
      <c r="Z47" s="19">
        <f>'global path'!C34</f>
        <v>6.4186323620867087</v>
      </c>
      <c r="AA47" s="198">
        <f t="shared" si="14"/>
        <v>0.93023657421546502</v>
      </c>
      <c r="AB47" s="295">
        <v>1.1512623995543938</v>
      </c>
      <c r="AC47" s="280">
        <f t="shared" si="22"/>
        <v>1.142519982584437</v>
      </c>
      <c r="AD47" s="150">
        <f t="shared" si="15"/>
        <v>1.2</v>
      </c>
      <c r="AE47" s="150">
        <f t="shared" si="16"/>
        <v>1.3710239791013243</v>
      </c>
      <c r="AF47" s="280">
        <f t="shared" si="23"/>
        <v>0.97417598913295411</v>
      </c>
      <c r="AG47" s="150">
        <f t="shared" si="17"/>
        <v>4</v>
      </c>
      <c r="AH47" s="150">
        <f t="shared" si="18"/>
        <v>3.8967039565318164</v>
      </c>
      <c r="AI47" s="280">
        <f t="shared" si="24"/>
        <v>0.66915144637138879</v>
      </c>
      <c r="AJ47" s="150">
        <f t="shared" si="19"/>
        <v>1.7000000000000004</v>
      </c>
      <c r="AK47" s="150">
        <f t="shared" si="20"/>
        <v>1.1375574588313613</v>
      </c>
      <c r="AL47" s="284">
        <f t="shared" si="13"/>
        <v>6.4052853944645021</v>
      </c>
      <c r="AM47" s="198">
        <f t="shared" si="25"/>
        <v>1.7814154470823296E-4</v>
      </c>
    </row>
    <row r="48" spans="2:39" x14ac:dyDescent="0.25">
      <c r="X48" s="49">
        <f t="shared" si="21"/>
        <v>2048</v>
      </c>
      <c r="Y48" s="197">
        <f t="shared" si="12"/>
        <v>6.9</v>
      </c>
      <c r="Z48" s="19">
        <f>'global path'!C35</f>
        <v>5.7005818470428622</v>
      </c>
      <c r="AA48" s="198">
        <f t="shared" si="14"/>
        <v>0.82617128218012492</v>
      </c>
      <c r="AB48" s="295">
        <v>0.99303822257950392</v>
      </c>
      <c r="AC48" s="280">
        <f t="shared" si="22"/>
        <v>0.98701959418063945</v>
      </c>
      <c r="AD48" s="150">
        <f t="shared" si="15"/>
        <v>1.2</v>
      </c>
      <c r="AE48" s="150">
        <f t="shared" si="16"/>
        <v>1.1844235130167673</v>
      </c>
      <c r="AF48" s="280">
        <f t="shared" si="23"/>
        <v>0.85600648719284078</v>
      </c>
      <c r="AG48" s="150">
        <f t="shared" si="17"/>
        <v>4</v>
      </c>
      <c r="AH48" s="150">
        <f t="shared" si="18"/>
        <v>3.4240259487713631</v>
      </c>
      <c r="AI48" s="280">
        <f t="shared" si="24"/>
        <v>0.6398723334640235</v>
      </c>
      <c r="AJ48" s="150">
        <f t="shared" si="19"/>
        <v>1.7000000000000004</v>
      </c>
      <c r="AK48" s="150">
        <f t="shared" si="20"/>
        <v>1.0877829668888401</v>
      </c>
      <c r="AL48" s="284">
        <f t="shared" si="13"/>
        <v>5.6962324286769705</v>
      </c>
      <c r="AM48" s="198">
        <f t="shared" si="25"/>
        <v>1.8917440121555539E-5</v>
      </c>
    </row>
    <row r="49" spans="5:39" x14ac:dyDescent="0.25">
      <c r="E49" s="224"/>
      <c r="F49" s="248"/>
      <c r="L49" s="224"/>
      <c r="M49" s="248"/>
      <c r="S49" s="224"/>
      <c r="T49" s="248"/>
      <c r="X49" s="49">
        <f t="shared" si="21"/>
        <v>2049</v>
      </c>
      <c r="Y49" s="197">
        <f t="shared" si="12"/>
        <v>6.9</v>
      </c>
      <c r="Z49" s="19">
        <f>'global path'!C36</f>
        <v>5.0441554756236391</v>
      </c>
      <c r="AA49" s="198">
        <f t="shared" si="14"/>
        <v>0.73103702545270133</v>
      </c>
      <c r="AB49" s="295">
        <v>0.85509429603493403</v>
      </c>
      <c r="AC49" s="280">
        <f t="shared" si="22"/>
        <v>0.85097221556380065</v>
      </c>
      <c r="AD49" s="150">
        <f t="shared" si="15"/>
        <v>1.2</v>
      </c>
      <c r="AE49" s="150">
        <f t="shared" si="16"/>
        <v>1.0211666586765606</v>
      </c>
      <c r="AF49" s="280">
        <f t="shared" si="23"/>
        <v>0.74947069296289826</v>
      </c>
      <c r="AG49" s="150">
        <f t="shared" si="17"/>
        <v>4</v>
      </c>
      <c r="AH49" s="150">
        <f t="shared" si="18"/>
        <v>2.997882771851593</v>
      </c>
      <c r="AI49" s="280">
        <f t="shared" si="24"/>
        <v>0.60309549542387553</v>
      </c>
      <c r="AJ49" s="150">
        <f t="shared" si="19"/>
        <v>1.7000000000000004</v>
      </c>
      <c r="AK49" s="150">
        <f t="shared" si="20"/>
        <v>1.0252623422205887</v>
      </c>
      <c r="AL49" s="284">
        <f t="shared" si="13"/>
        <v>5.0443117727487419</v>
      </c>
      <c r="AM49" s="198">
        <f t="shared" si="25"/>
        <v>2.4428791315396853E-8</v>
      </c>
    </row>
    <row r="50" spans="5:39" x14ac:dyDescent="0.25">
      <c r="E50" s="224"/>
      <c r="F50" s="224"/>
      <c r="L50" s="224"/>
      <c r="M50" s="224"/>
      <c r="S50" s="224"/>
      <c r="T50" s="224"/>
      <c r="X50" s="49">
        <f t="shared" si="21"/>
        <v>2050</v>
      </c>
      <c r="Y50" s="197">
        <f t="shared" ref="Y50:Y100" si="26">AD50+AG50+AJ50</f>
        <v>6.9</v>
      </c>
      <c r="Z50" s="19">
        <f>'global path'!C37</f>
        <v>4.446766922839263</v>
      </c>
      <c r="AA50" s="198">
        <f t="shared" ref="AA50:AA100" si="27">Z50/Y50</f>
        <v>0.64445897432453081</v>
      </c>
      <c r="AB50" s="295">
        <v>0.73574506217206248</v>
      </c>
      <c r="AC50" s="280">
        <f t="shared" ref="AC50:AC100" si="28">$D$12*_xlfn.GAMMA.DIST($AB50,$D$10+1,$D$11,TRUE)+AB50*(1-_xlfn.GAMMA.DIST(AB50,$D$10,$D$11,TRUE))</f>
        <v>0.73292950179050098</v>
      </c>
      <c r="AD50" s="640">
        <f>'input data'!C18</f>
        <v>1.2</v>
      </c>
      <c r="AE50" s="150">
        <f t="shared" ref="AE50:AE100" si="29">AC50*AD50</f>
        <v>0.87951540214860113</v>
      </c>
      <c r="AF50" s="280">
        <f t="shared" ref="AF50:AF100" si="30">$K$12*_xlfn.GAMMA.DIST(AB50,$K$10+1,$K$11,TRUE)+AB50*(1-_xlfn.GAMMA.DIST(AB50,$K$10,$K$11,TRUE))</f>
        <v>0.65450685110921003</v>
      </c>
      <c r="AG50" s="640">
        <f>'input data'!D18</f>
        <v>4</v>
      </c>
      <c r="AH50" s="150">
        <f t="shared" ref="AH50:AH100" si="31">AF50*AG50</f>
        <v>2.6180274044368401</v>
      </c>
      <c r="AI50" s="280">
        <f t="shared" ref="AI50:AI100" si="32">$R$12*_xlfn.GAMMA.DIST(AB50,$R$10+1,$R$11,TRUE)+AB50*(1-_xlfn.GAMMA.DIST(AB50,$R$10,$R$11,TRUE))</f>
        <v>0.56025924586368103</v>
      </c>
      <c r="AJ50" s="640">
        <f>'input data'!E18</f>
        <v>1.7000000000000004</v>
      </c>
      <c r="AK50" s="150">
        <f t="shared" ref="AK50:AK100" si="33">AI50*AJ50</f>
        <v>0.95244071796825802</v>
      </c>
      <c r="AL50" s="284">
        <f t="shared" ref="AL50:AL100" si="34">AK50+AH50+AE50</f>
        <v>4.4499835245536996</v>
      </c>
      <c r="AM50" s="198">
        <f t="shared" ref="AM50:AM100" si="35">(AL50-Z50)^2</f>
        <v>1.0346526589316516E-5</v>
      </c>
    </row>
    <row r="51" spans="5:39" x14ac:dyDescent="0.25">
      <c r="E51" s="224"/>
      <c r="F51" s="224"/>
      <c r="G51" s="224"/>
      <c r="L51" s="224"/>
      <c r="M51" s="224"/>
      <c r="N51" s="224"/>
      <c r="S51" s="224"/>
      <c r="T51" s="224"/>
      <c r="U51" s="224"/>
      <c r="X51" s="49">
        <f t="shared" si="21"/>
        <v>2051</v>
      </c>
      <c r="Y51" s="197">
        <f t="shared" si="26"/>
        <v>6.9</v>
      </c>
      <c r="Z51" s="19">
        <f>'global path'!C38</f>
        <v>3.9055380750762212</v>
      </c>
      <c r="AA51" s="198">
        <f t="shared" si="27"/>
        <v>0.56602001088061171</v>
      </c>
      <c r="AB51" s="295">
        <v>0.63307377358708206</v>
      </c>
      <c r="AC51" s="280">
        <f t="shared" si="28"/>
        <v>0.63115170906022533</v>
      </c>
      <c r="AD51" s="150">
        <f>AD50</f>
        <v>1.2</v>
      </c>
      <c r="AE51" s="150">
        <f t="shared" si="29"/>
        <v>0.7573820508722704</v>
      </c>
      <c r="AF51" s="280">
        <f t="shared" si="30"/>
        <v>0.57063238764101898</v>
      </c>
      <c r="AG51" s="150">
        <f>AG50</f>
        <v>4</v>
      </c>
      <c r="AH51" s="150">
        <f t="shared" si="31"/>
        <v>2.2825295505640759</v>
      </c>
      <c r="AI51" s="280">
        <f t="shared" si="32"/>
        <v>0.51349278080883876</v>
      </c>
      <c r="AJ51" s="150">
        <f>AJ50</f>
        <v>1.7000000000000004</v>
      </c>
      <c r="AK51" s="150">
        <f t="shared" si="33"/>
        <v>0.87293772737502606</v>
      </c>
      <c r="AL51" s="284">
        <f t="shared" si="34"/>
        <v>3.9128493288113724</v>
      </c>
      <c r="AM51" s="198">
        <f t="shared" si="35"/>
        <v>5.3454431179762075E-5</v>
      </c>
    </row>
    <row r="52" spans="5:39" x14ac:dyDescent="0.25">
      <c r="E52" s="224"/>
      <c r="F52" s="224"/>
      <c r="G52" s="224"/>
      <c r="L52" s="224"/>
      <c r="M52" s="224"/>
      <c r="N52" s="224"/>
      <c r="S52" s="224"/>
      <c r="T52" s="224"/>
      <c r="U52" s="224"/>
      <c r="X52" s="49">
        <f t="shared" si="21"/>
        <v>2052</v>
      </c>
      <c r="Y52" s="197">
        <f t="shared" si="26"/>
        <v>6.9</v>
      </c>
      <c r="Z52" s="19">
        <f>'global path'!C39</f>
        <v>3.4173694454692951</v>
      </c>
      <c r="AA52" s="198">
        <f t="shared" si="27"/>
        <v>0.49527093412598477</v>
      </c>
      <c r="AB52" s="295">
        <v>0.54244833690025918</v>
      </c>
      <c r="AC52" s="280">
        <f t="shared" si="28"/>
        <v>0.54115088980225767</v>
      </c>
      <c r="AD52" s="150">
        <f t="shared" ref="AD52:AD100" si="36">AD51</f>
        <v>1.2</v>
      </c>
      <c r="AE52" s="150">
        <f t="shared" si="29"/>
        <v>0.64938106776270921</v>
      </c>
      <c r="AF52" s="280">
        <f t="shared" si="30"/>
        <v>0.49483674744120465</v>
      </c>
      <c r="AG52" s="150">
        <f t="shared" ref="AG52:AG100" si="37">AG51</f>
        <v>4</v>
      </c>
      <c r="AH52" s="150">
        <f t="shared" si="31"/>
        <v>1.9793469897648186</v>
      </c>
      <c r="AI52" s="280">
        <f t="shared" si="32"/>
        <v>0.46353414920607444</v>
      </c>
      <c r="AJ52" s="150">
        <f t="shared" ref="AJ52:AJ100" si="38">AJ51</f>
        <v>1.7000000000000004</v>
      </c>
      <c r="AK52" s="150">
        <f t="shared" si="33"/>
        <v>0.78800805365032678</v>
      </c>
      <c r="AL52" s="284">
        <f t="shared" si="34"/>
        <v>3.4167361111778547</v>
      </c>
      <c r="AM52" s="198">
        <f t="shared" si="35"/>
        <v>4.0111232471432971E-7</v>
      </c>
    </row>
    <row r="53" spans="5:39" x14ac:dyDescent="0.25">
      <c r="E53" s="249"/>
      <c r="F53" s="224"/>
      <c r="G53" s="224"/>
      <c r="L53" s="249"/>
      <c r="M53" s="224"/>
      <c r="N53" s="224"/>
      <c r="S53" s="249"/>
      <c r="T53" s="224"/>
      <c r="U53" s="224"/>
      <c r="X53" s="49">
        <f t="shared" si="21"/>
        <v>2053</v>
      </c>
      <c r="Y53" s="197">
        <f t="shared" si="26"/>
        <v>6.9</v>
      </c>
      <c r="Z53" s="19">
        <f>'global path'!C40</f>
        <v>2.9790063436222556</v>
      </c>
      <c r="AA53" s="198">
        <f t="shared" si="27"/>
        <v>0.43174004980032687</v>
      </c>
      <c r="AB53" s="295">
        <v>0.46566010518461259</v>
      </c>
      <c r="AC53" s="280">
        <f t="shared" si="28"/>
        <v>0.4647805804709802</v>
      </c>
      <c r="AD53" s="150">
        <f t="shared" si="36"/>
        <v>1.2</v>
      </c>
      <c r="AE53" s="150">
        <f t="shared" si="29"/>
        <v>0.55773669656517622</v>
      </c>
      <c r="AF53" s="280">
        <f t="shared" si="30"/>
        <v>0.42925791086913861</v>
      </c>
      <c r="AG53" s="150">
        <f t="shared" si="37"/>
        <v>4</v>
      </c>
      <c r="AH53" s="150">
        <f t="shared" si="31"/>
        <v>1.7170316434765545</v>
      </c>
      <c r="AI53" s="280">
        <f t="shared" si="32"/>
        <v>0.41434174801837514</v>
      </c>
      <c r="AJ53" s="150">
        <f t="shared" si="38"/>
        <v>1.7000000000000004</v>
      </c>
      <c r="AK53" s="150">
        <f t="shared" si="33"/>
        <v>0.70438097163123792</v>
      </c>
      <c r="AL53" s="284">
        <f t="shared" si="34"/>
        <v>2.9791493116729688</v>
      </c>
      <c r="AM53" s="198">
        <f t="shared" si="35"/>
        <v>2.0439863524741416E-8</v>
      </c>
    </row>
    <row r="54" spans="5:39" x14ac:dyDescent="0.25">
      <c r="X54" s="49">
        <f t="shared" si="21"/>
        <v>2054</v>
      </c>
      <c r="Y54" s="197">
        <f t="shared" si="26"/>
        <v>6.9</v>
      </c>
      <c r="Z54" s="19">
        <f>'global path'!C41</f>
        <v>2.587099971995682</v>
      </c>
      <c r="AA54" s="198">
        <f t="shared" si="27"/>
        <v>0.37494202492691042</v>
      </c>
      <c r="AB54" s="295">
        <v>0.4005955685320044</v>
      </c>
      <c r="AC54" s="280">
        <f t="shared" si="28"/>
        <v>0.39999634875752232</v>
      </c>
      <c r="AD54" s="150">
        <f t="shared" si="36"/>
        <v>1.2</v>
      </c>
      <c r="AE54" s="150">
        <f t="shared" si="29"/>
        <v>0.47999561850902678</v>
      </c>
      <c r="AF54" s="280">
        <f t="shared" si="30"/>
        <v>0.37267208429580834</v>
      </c>
      <c r="AG54" s="150">
        <f t="shared" si="37"/>
        <v>4</v>
      </c>
      <c r="AH54" s="150">
        <f t="shared" si="31"/>
        <v>1.4906883371832333</v>
      </c>
      <c r="AI54" s="280">
        <f t="shared" si="32"/>
        <v>0.36760352425906584</v>
      </c>
      <c r="AJ54" s="150">
        <f t="shared" si="38"/>
        <v>1.7000000000000004</v>
      </c>
      <c r="AK54" s="150">
        <f t="shared" si="33"/>
        <v>0.62492599124041204</v>
      </c>
      <c r="AL54" s="284">
        <f t="shared" si="34"/>
        <v>2.5956099469326723</v>
      </c>
      <c r="AM54" s="198">
        <f t="shared" si="35"/>
        <v>7.2419673428203907E-5</v>
      </c>
    </row>
    <row r="55" spans="5:39" x14ac:dyDescent="0.25">
      <c r="X55" s="49">
        <f t="shared" si="21"/>
        <v>2055</v>
      </c>
      <c r="Y55" s="197">
        <f t="shared" si="26"/>
        <v>6.9</v>
      </c>
      <c r="Z55" s="19">
        <f>'global path'!C42</f>
        <v>2.238262830394254</v>
      </c>
      <c r="AA55" s="198">
        <f t="shared" si="27"/>
        <v>0.32438591744844258</v>
      </c>
      <c r="AB55" s="295">
        <v>0.3403639138043984</v>
      </c>
      <c r="AC55" s="280">
        <f t="shared" si="28"/>
        <v>0.3399685624811839</v>
      </c>
      <c r="AD55" s="150">
        <f t="shared" si="36"/>
        <v>1.2</v>
      </c>
      <c r="AE55" s="150">
        <f t="shared" si="29"/>
        <v>0.40796227497742066</v>
      </c>
      <c r="AF55" s="280">
        <f t="shared" si="30"/>
        <v>0.31941779198910319</v>
      </c>
      <c r="AG55" s="150">
        <f t="shared" si="37"/>
        <v>4</v>
      </c>
      <c r="AH55" s="150">
        <f t="shared" si="31"/>
        <v>1.2776711679564128</v>
      </c>
      <c r="AI55" s="280">
        <f t="shared" si="32"/>
        <v>0.32027140295251139</v>
      </c>
      <c r="AJ55" s="150">
        <f t="shared" si="38"/>
        <v>1.7000000000000004</v>
      </c>
      <c r="AK55" s="150">
        <f t="shared" si="33"/>
        <v>0.54446138501926944</v>
      </c>
      <c r="AL55" s="284">
        <f t="shared" si="34"/>
        <v>2.2300948279531028</v>
      </c>
      <c r="AM55" s="198">
        <f t="shared" si="35"/>
        <v>6.671626387865252E-5</v>
      </c>
    </row>
    <row r="56" spans="5:39" x14ac:dyDescent="0.25">
      <c r="X56" s="49">
        <f t="shared" si="21"/>
        <v>2056</v>
      </c>
      <c r="Y56" s="197">
        <f t="shared" si="26"/>
        <v>6.9</v>
      </c>
      <c r="Z56" s="19">
        <f>'global path'!C43</f>
        <v>1.9291180119427023</v>
      </c>
      <c r="AA56" s="198">
        <f t="shared" si="27"/>
        <v>0.27958232057140608</v>
      </c>
      <c r="AB56" s="295">
        <v>0.29279103999819445</v>
      </c>
      <c r="AC56" s="280">
        <f t="shared" si="28"/>
        <v>0.29252190734164202</v>
      </c>
      <c r="AD56" s="150">
        <f t="shared" si="36"/>
        <v>1.2</v>
      </c>
      <c r="AE56" s="150">
        <f t="shared" si="29"/>
        <v>0.35102628880997039</v>
      </c>
      <c r="AF56" s="280">
        <f t="shared" si="30"/>
        <v>0.27673749483692073</v>
      </c>
      <c r="AG56" s="150">
        <f t="shared" si="37"/>
        <v>4</v>
      </c>
      <c r="AH56" s="150">
        <f t="shared" si="31"/>
        <v>1.1069499793476829</v>
      </c>
      <c r="AI56" s="280">
        <f t="shared" si="32"/>
        <v>0.28026836938319982</v>
      </c>
      <c r="AJ56" s="150">
        <f t="shared" si="38"/>
        <v>1.7000000000000004</v>
      </c>
      <c r="AK56" s="150">
        <f t="shared" si="33"/>
        <v>0.47645622795143983</v>
      </c>
      <c r="AL56" s="284">
        <f t="shared" si="34"/>
        <v>1.9344324961090933</v>
      </c>
      <c r="AM56" s="198">
        <f t="shared" si="35"/>
        <v>2.8243741954820859E-5</v>
      </c>
    </row>
    <row r="57" spans="5:39" x14ac:dyDescent="0.25">
      <c r="X57" s="49">
        <f t="shared" si="21"/>
        <v>2057</v>
      </c>
      <c r="Y57" s="197">
        <f t="shared" si="26"/>
        <v>6.9</v>
      </c>
      <c r="Z57" s="19">
        <f>'global path'!C44</f>
        <v>1.6563421635763822</v>
      </c>
      <c r="AA57" s="198">
        <f t="shared" si="27"/>
        <v>0.24004958892411335</v>
      </c>
      <c r="AB57" s="295">
        <v>0.24920839439813897</v>
      </c>
      <c r="AC57" s="280">
        <f t="shared" si="28"/>
        <v>0.24903013555701131</v>
      </c>
      <c r="AD57" s="150">
        <f t="shared" si="36"/>
        <v>1.2</v>
      </c>
      <c r="AE57" s="150">
        <f t="shared" si="29"/>
        <v>0.29883616266841356</v>
      </c>
      <c r="AF57" s="280">
        <f t="shared" si="30"/>
        <v>0.23713712845484614</v>
      </c>
      <c r="AG57" s="150">
        <f t="shared" si="37"/>
        <v>4</v>
      </c>
      <c r="AH57" s="150">
        <f t="shared" si="31"/>
        <v>0.94854851381938454</v>
      </c>
      <c r="AI57" s="280">
        <f t="shared" si="32"/>
        <v>0.24176234681030173</v>
      </c>
      <c r="AJ57" s="150">
        <f t="shared" si="38"/>
        <v>1.7000000000000004</v>
      </c>
      <c r="AK57" s="150">
        <f t="shared" si="33"/>
        <v>0.41099598957751304</v>
      </c>
      <c r="AL57" s="284">
        <f t="shared" si="34"/>
        <v>1.6583806660653111</v>
      </c>
      <c r="AM57" s="198">
        <f t="shared" si="35"/>
        <v>4.1554923973692993E-6</v>
      </c>
    </row>
    <row r="58" spans="5:39" x14ac:dyDescent="0.25">
      <c r="X58" s="49">
        <f t="shared" si="21"/>
        <v>2058</v>
      </c>
      <c r="Y58" s="197">
        <f t="shared" si="26"/>
        <v>6.9</v>
      </c>
      <c r="Z58" s="19">
        <f>'global path'!C45</f>
        <v>1.4167020572078848</v>
      </c>
      <c r="AA58" s="198">
        <f t="shared" si="27"/>
        <v>0.20531913872578039</v>
      </c>
      <c r="AB58" s="295">
        <v>0.20986623936219334</v>
      </c>
      <c r="AC58" s="280">
        <f t="shared" si="28"/>
        <v>0.20975137299684057</v>
      </c>
      <c r="AD58" s="150">
        <f t="shared" si="36"/>
        <v>1.2</v>
      </c>
      <c r="AE58" s="150">
        <f t="shared" si="29"/>
        <v>0.25170164759620867</v>
      </c>
      <c r="AF58" s="280">
        <f t="shared" si="30"/>
        <v>0.20096160078008549</v>
      </c>
      <c r="AG58" s="150">
        <f t="shared" si="37"/>
        <v>4</v>
      </c>
      <c r="AH58" s="150">
        <f t="shared" si="31"/>
        <v>0.80384640312034195</v>
      </c>
      <c r="AI58" s="280">
        <f t="shared" si="32"/>
        <v>0.20564651118797173</v>
      </c>
      <c r="AJ58" s="150">
        <f t="shared" si="38"/>
        <v>1.7000000000000004</v>
      </c>
      <c r="AK58" s="150">
        <f t="shared" si="33"/>
        <v>0.34959906901955201</v>
      </c>
      <c r="AL58" s="284">
        <f t="shared" si="34"/>
        <v>1.4051471197361025</v>
      </c>
      <c r="AM58" s="198">
        <f t="shared" si="35"/>
        <v>1.3351657997679798E-4</v>
      </c>
    </row>
    <row r="59" spans="5:39" x14ac:dyDescent="0.25">
      <c r="X59" s="49">
        <f t="shared" si="21"/>
        <v>2059</v>
      </c>
      <c r="Y59" s="197">
        <f t="shared" si="26"/>
        <v>6.9</v>
      </c>
      <c r="Z59" s="19">
        <f>'global path'!C46</f>
        <v>1.2070848712069304</v>
      </c>
      <c r="AA59" s="198">
        <f t="shared" si="27"/>
        <v>0.1749398364068015</v>
      </c>
      <c r="AB59" s="295">
        <v>0.18051944882074647</v>
      </c>
      <c r="AC59" s="280">
        <f t="shared" si="28"/>
        <v>0.18044132522527792</v>
      </c>
      <c r="AD59" s="150">
        <f t="shared" si="36"/>
        <v>1.2</v>
      </c>
      <c r="AE59" s="150">
        <f t="shared" si="29"/>
        <v>0.2165295902703335</v>
      </c>
      <c r="AF59" s="280">
        <f t="shared" si="30"/>
        <v>0.17370117413990158</v>
      </c>
      <c r="AG59" s="150">
        <f t="shared" si="37"/>
        <v>4</v>
      </c>
      <c r="AH59" s="150">
        <f t="shared" si="31"/>
        <v>0.69480469655960631</v>
      </c>
      <c r="AI59" s="280">
        <f t="shared" si="32"/>
        <v>0.17798053345228132</v>
      </c>
      <c r="AJ59" s="150">
        <f t="shared" si="38"/>
        <v>1.7000000000000004</v>
      </c>
      <c r="AK59" s="150">
        <f t="shared" si="33"/>
        <v>0.30256690686887833</v>
      </c>
      <c r="AL59" s="284">
        <f t="shared" si="34"/>
        <v>1.2139011936988182</v>
      </c>
      <c r="AM59" s="198">
        <f t="shared" si="35"/>
        <v>4.6462252313415424E-5</v>
      </c>
    </row>
    <row r="60" spans="5:39" x14ac:dyDescent="0.25">
      <c r="X60" s="49">
        <f t="shared" si="21"/>
        <v>2060</v>
      </c>
      <c r="Y60" s="197">
        <f t="shared" si="26"/>
        <v>6.9</v>
      </c>
      <c r="Z60" s="19">
        <f>'global path'!C47</f>
        <v>1.0245224135077378</v>
      </c>
      <c r="AA60" s="198">
        <f t="shared" si="27"/>
        <v>0.14848150920401995</v>
      </c>
      <c r="AB60" s="295">
        <v>0.15211200843559822</v>
      </c>
      <c r="AC60" s="280">
        <f t="shared" si="28"/>
        <v>0.15206161147229258</v>
      </c>
      <c r="AD60" s="150">
        <f t="shared" si="36"/>
        <v>1.2</v>
      </c>
      <c r="AE60" s="150">
        <f t="shared" si="29"/>
        <v>0.18247393376675108</v>
      </c>
      <c r="AF60" s="280">
        <f t="shared" si="30"/>
        <v>0.147079445782858</v>
      </c>
      <c r="AG60" s="150">
        <f t="shared" si="37"/>
        <v>4</v>
      </c>
      <c r="AH60" s="150">
        <f t="shared" si="31"/>
        <v>0.58831778313143201</v>
      </c>
      <c r="AI60" s="280">
        <f t="shared" si="32"/>
        <v>0.15070102890418891</v>
      </c>
      <c r="AJ60" s="150">
        <f t="shared" si="38"/>
        <v>1.7000000000000004</v>
      </c>
      <c r="AK60" s="150">
        <f t="shared" si="33"/>
        <v>0.25619174913712117</v>
      </c>
      <c r="AL60" s="284">
        <f t="shared" si="34"/>
        <v>1.0269834660353043</v>
      </c>
      <c r="AM60" s="198">
        <f t="shared" si="35"/>
        <v>6.0567795434417787E-6</v>
      </c>
    </row>
    <row r="61" spans="5:39" x14ac:dyDescent="0.25">
      <c r="X61" s="49">
        <f t="shared" si="21"/>
        <v>2061</v>
      </c>
      <c r="Y61" s="197">
        <f t="shared" si="26"/>
        <v>6.9</v>
      </c>
      <c r="Z61" s="19">
        <f>'global path'!C48</f>
        <v>0.86620962637249932</v>
      </c>
      <c r="AA61" s="198">
        <f t="shared" si="27"/>
        <v>0.12553762701050714</v>
      </c>
      <c r="AB61" s="295">
        <v>0.1307386812243447</v>
      </c>
      <c r="AC61" s="280">
        <f t="shared" si="28"/>
        <v>0.13070448459847434</v>
      </c>
      <c r="AD61" s="150">
        <f t="shared" si="36"/>
        <v>1.2</v>
      </c>
      <c r="AE61" s="150">
        <f t="shared" si="29"/>
        <v>0.15684538151816921</v>
      </c>
      <c r="AF61" s="280">
        <f t="shared" si="30"/>
        <v>0.12689200014255511</v>
      </c>
      <c r="AG61" s="150">
        <f t="shared" si="37"/>
        <v>4</v>
      </c>
      <c r="AH61" s="150">
        <f t="shared" si="31"/>
        <v>0.50756800057022045</v>
      </c>
      <c r="AI61" s="280">
        <f t="shared" si="32"/>
        <v>0.12990583058400851</v>
      </c>
      <c r="AJ61" s="150">
        <f t="shared" si="38"/>
        <v>1.7000000000000004</v>
      </c>
      <c r="AK61" s="150">
        <f t="shared" si="33"/>
        <v>0.22083991199281452</v>
      </c>
      <c r="AL61" s="284">
        <f t="shared" si="34"/>
        <v>0.88525329408120412</v>
      </c>
      <c r="AM61" s="198">
        <f t="shared" si="35"/>
        <v>3.6266127979956607E-4</v>
      </c>
    </row>
    <row r="62" spans="5:39" x14ac:dyDescent="0.25">
      <c r="X62" s="49">
        <f t="shared" si="21"/>
        <v>2062</v>
      </c>
      <c r="Y62" s="197">
        <f t="shared" si="26"/>
        <v>6.9</v>
      </c>
      <c r="Z62" s="19">
        <f>'global path'!C49</f>
        <v>0.72951779832675423</v>
      </c>
      <c r="AA62" s="198">
        <f t="shared" si="27"/>
        <v>0.10572721714880495</v>
      </c>
      <c r="AB62" s="295">
        <v>0.10529533321910907</v>
      </c>
      <c r="AC62" s="280">
        <f t="shared" si="28"/>
        <v>0.10527569242639169</v>
      </c>
      <c r="AD62" s="150">
        <f t="shared" si="36"/>
        <v>1.2</v>
      </c>
      <c r="AE62" s="150">
        <f t="shared" si="29"/>
        <v>0.12633083091167002</v>
      </c>
      <c r="AF62" s="280">
        <f t="shared" si="30"/>
        <v>0.10267609759595575</v>
      </c>
      <c r="AG62" s="150">
        <f t="shared" si="37"/>
        <v>4</v>
      </c>
      <c r="AH62" s="150">
        <f t="shared" si="31"/>
        <v>0.410704390383823</v>
      </c>
      <c r="AI62" s="280">
        <f t="shared" si="32"/>
        <v>0.10490746085950334</v>
      </c>
      <c r="AJ62" s="150">
        <f t="shared" si="38"/>
        <v>1.7000000000000004</v>
      </c>
      <c r="AK62" s="150">
        <f t="shared" si="33"/>
        <v>0.17834268346115573</v>
      </c>
      <c r="AL62" s="284">
        <f t="shared" si="34"/>
        <v>0.71537790475664864</v>
      </c>
      <c r="AM62" s="198">
        <f t="shared" si="35"/>
        <v>1.9993659017391335E-4</v>
      </c>
    </row>
    <row r="63" spans="5:39" x14ac:dyDescent="0.25">
      <c r="X63" s="49">
        <f t="shared" si="21"/>
        <v>2063</v>
      </c>
      <c r="Y63" s="197">
        <f t="shared" si="26"/>
        <v>6.9</v>
      </c>
      <c r="Z63" s="19">
        <f>'global path'!C50</f>
        <v>0.61200297157361372</v>
      </c>
      <c r="AA63" s="198">
        <f t="shared" si="27"/>
        <v>8.8696082836755605E-2</v>
      </c>
      <c r="AB63" s="295">
        <v>8.8888141478301638E-2</v>
      </c>
      <c r="AC63" s="280">
        <f t="shared" si="28"/>
        <v>8.8875417648566782E-2</v>
      </c>
      <c r="AD63" s="150">
        <f t="shared" si="36"/>
        <v>1.2</v>
      </c>
      <c r="AE63" s="150">
        <f t="shared" si="29"/>
        <v>0.10665050117828014</v>
      </c>
      <c r="AF63" s="280">
        <f t="shared" si="30"/>
        <v>8.6949609784669549E-2</v>
      </c>
      <c r="AG63" s="150">
        <f t="shared" si="37"/>
        <v>4</v>
      </c>
      <c r="AH63" s="150">
        <f t="shared" si="31"/>
        <v>0.34779843913867819</v>
      </c>
      <c r="AI63" s="280">
        <f t="shared" si="32"/>
        <v>8.8676435616548838E-2</v>
      </c>
      <c r="AJ63" s="150">
        <f t="shared" si="38"/>
        <v>1.7000000000000004</v>
      </c>
      <c r="AK63" s="150">
        <f t="shared" si="33"/>
        <v>0.15074994054813307</v>
      </c>
      <c r="AL63" s="284">
        <f t="shared" si="34"/>
        <v>0.60519888086509144</v>
      </c>
      <c r="AM63" s="198">
        <f t="shared" si="35"/>
        <v>4.6295650369799238E-5</v>
      </c>
    </row>
    <row r="64" spans="5:39" x14ac:dyDescent="0.25">
      <c r="X64" s="49">
        <f t="shared" si="21"/>
        <v>2064</v>
      </c>
      <c r="Y64" s="197">
        <f t="shared" si="26"/>
        <v>6.9</v>
      </c>
      <c r="Z64" s="19">
        <f>'global path'!C51</f>
        <v>0.51141007449504461</v>
      </c>
      <c r="AA64" s="198">
        <f t="shared" si="27"/>
        <v>7.4117402100731103E-2</v>
      </c>
      <c r="AB64" s="295">
        <v>7.5137985654088565E-2</v>
      </c>
      <c r="AC64" s="280">
        <f t="shared" si="28"/>
        <v>7.5129715326634067E-2</v>
      </c>
      <c r="AD64" s="150">
        <f t="shared" si="36"/>
        <v>1.2</v>
      </c>
      <c r="AE64" s="150">
        <f t="shared" si="29"/>
        <v>9.015565839196088E-2</v>
      </c>
      <c r="AF64" s="280">
        <f t="shared" si="30"/>
        <v>7.3700000480484668E-2</v>
      </c>
      <c r="AG64" s="150">
        <f t="shared" si="37"/>
        <v>4</v>
      </c>
      <c r="AH64" s="150">
        <f t="shared" si="31"/>
        <v>0.29480000192193867</v>
      </c>
      <c r="AI64" s="280">
        <f t="shared" si="32"/>
        <v>7.5022503948551145E-2</v>
      </c>
      <c r="AJ64" s="150">
        <f t="shared" si="38"/>
        <v>1.7000000000000004</v>
      </c>
      <c r="AK64" s="150">
        <f t="shared" si="33"/>
        <v>0.12753825671253696</v>
      </c>
      <c r="AL64" s="284">
        <f t="shared" si="34"/>
        <v>0.51249391702643643</v>
      </c>
      <c r="AM64" s="198">
        <f t="shared" si="35"/>
        <v>1.1747146328538305E-6</v>
      </c>
    </row>
    <row r="65" spans="24:39" x14ac:dyDescent="0.25">
      <c r="X65" s="49">
        <f t="shared" si="21"/>
        <v>2065</v>
      </c>
      <c r="Y65" s="197">
        <f t="shared" si="26"/>
        <v>6.9</v>
      </c>
      <c r="Z65" s="19">
        <f>'global path'!C52</f>
        <v>0.42567333040828237</v>
      </c>
      <c r="AA65" s="198">
        <f t="shared" si="27"/>
        <v>6.1691787015693091E-2</v>
      </c>
      <c r="AB65" s="295">
        <v>6.246497293133537E-2</v>
      </c>
      <c r="AC65" s="280">
        <f t="shared" si="28"/>
        <v>6.245982266718076E-2</v>
      </c>
      <c r="AD65" s="150">
        <f t="shared" si="36"/>
        <v>1.2</v>
      </c>
      <c r="AE65" s="150">
        <f t="shared" si="29"/>
        <v>7.4951787200616904E-2</v>
      </c>
      <c r="AF65" s="280">
        <f t="shared" si="30"/>
        <v>6.1429538230817989E-2</v>
      </c>
      <c r="AG65" s="150">
        <f t="shared" si="37"/>
        <v>4</v>
      </c>
      <c r="AH65" s="150">
        <f t="shared" si="31"/>
        <v>0.24571815292327195</v>
      </c>
      <c r="AI65" s="280">
        <f t="shared" si="32"/>
        <v>6.2405965438799914E-2</v>
      </c>
      <c r="AJ65" s="150">
        <f t="shared" si="38"/>
        <v>1.7000000000000004</v>
      </c>
      <c r="AK65" s="150">
        <f t="shared" si="33"/>
        <v>0.10609014124595988</v>
      </c>
      <c r="AL65" s="284">
        <f t="shared" si="34"/>
        <v>0.42676008136984872</v>
      </c>
      <c r="AM65" s="198">
        <f t="shared" si="35"/>
        <v>1.1810276524653901E-6</v>
      </c>
    </row>
    <row r="66" spans="24:39" x14ac:dyDescent="0.25">
      <c r="X66" s="49">
        <f t="shared" si="21"/>
        <v>2066</v>
      </c>
      <c r="Y66" s="197">
        <f t="shared" si="26"/>
        <v>6.9</v>
      </c>
      <c r="Z66" s="19">
        <f>'global path'!C53</f>
        <v>0.35291349771869307</v>
      </c>
      <c r="AA66" s="198">
        <f t="shared" si="27"/>
        <v>5.1146883727346819E-2</v>
      </c>
      <c r="AB66" s="295">
        <v>5.4341749676734483E-2</v>
      </c>
      <c r="AC66" s="280">
        <f t="shared" si="28"/>
        <v>5.4338146592541513E-2</v>
      </c>
      <c r="AD66" s="150">
        <f t="shared" si="36"/>
        <v>1.2</v>
      </c>
      <c r="AE66" s="150">
        <f t="shared" si="29"/>
        <v>6.5205775911049813E-2</v>
      </c>
      <c r="AF66" s="280">
        <f t="shared" si="30"/>
        <v>5.3533539754511118E-2</v>
      </c>
      <c r="AG66" s="150">
        <f t="shared" si="37"/>
        <v>4</v>
      </c>
      <c r="AH66" s="150">
        <f t="shared" si="31"/>
        <v>0.21413415901804447</v>
      </c>
      <c r="AI66" s="280">
        <f t="shared" si="32"/>
        <v>5.4306298269515399E-2</v>
      </c>
      <c r="AJ66" s="150">
        <f t="shared" si="38"/>
        <v>1.7000000000000004</v>
      </c>
      <c r="AK66" s="150">
        <f t="shared" si="33"/>
        <v>9.2320707058176202E-2</v>
      </c>
      <c r="AL66" s="284">
        <f t="shared" si="34"/>
        <v>0.3716606419872705</v>
      </c>
      <c r="AM66" s="198">
        <f t="shared" si="35"/>
        <v>3.5145541822685563E-4</v>
      </c>
    </row>
    <row r="67" spans="24:39" x14ac:dyDescent="0.25">
      <c r="X67" s="49">
        <f t="shared" si="21"/>
        <v>2067</v>
      </c>
      <c r="Y67" s="197">
        <f t="shared" si="26"/>
        <v>6.9</v>
      </c>
      <c r="Z67" s="19">
        <f>'global path'!C54</f>
        <v>0.2914324854241504</v>
      </c>
      <c r="AA67" s="198">
        <f t="shared" si="27"/>
        <v>4.2236592090456576E-2</v>
      </c>
      <c r="AB67" s="295">
        <v>4.4911273322882493E-2</v>
      </c>
      <c r="AC67" s="280">
        <f t="shared" si="28"/>
        <v>4.4909063450003901E-2</v>
      </c>
      <c r="AD67" s="150">
        <f t="shared" si="36"/>
        <v>1.2</v>
      </c>
      <c r="AE67" s="150">
        <f t="shared" si="29"/>
        <v>5.3890876140004679E-2</v>
      </c>
      <c r="AF67" s="280">
        <f t="shared" si="30"/>
        <v>4.433546438869343E-2</v>
      </c>
      <c r="AG67" s="150">
        <f t="shared" si="37"/>
        <v>4</v>
      </c>
      <c r="AH67" s="150">
        <f t="shared" si="31"/>
        <v>0.17734185755477372</v>
      </c>
      <c r="AI67" s="280">
        <f t="shared" si="32"/>
        <v>4.4893681883975016E-2</v>
      </c>
      <c r="AJ67" s="150">
        <f t="shared" si="38"/>
        <v>1.7000000000000004</v>
      </c>
      <c r="AK67" s="150">
        <f t="shared" si="33"/>
        <v>7.6319259202757547E-2</v>
      </c>
      <c r="AL67" s="284">
        <f t="shared" si="34"/>
        <v>0.30755199289753599</v>
      </c>
      <c r="AM67" s="198">
        <f t="shared" si="35"/>
        <v>2.5983852118453376E-4</v>
      </c>
    </row>
    <row r="68" spans="24:39" x14ac:dyDescent="0.25">
      <c r="X68" s="49">
        <f t="shared" si="21"/>
        <v>2068</v>
      </c>
      <c r="Y68" s="197">
        <f t="shared" si="26"/>
        <v>6.9</v>
      </c>
      <c r="Z68" s="19">
        <f>'global path'!C55</f>
        <v>0.23970586415357217</v>
      </c>
      <c r="AA68" s="198">
        <f t="shared" si="27"/>
        <v>3.4739980312111909E-2</v>
      </c>
      <c r="AB68" s="295">
        <v>3.2858740080675138E-2</v>
      </c>
      <c r="AC68" s="280">
        <f t="shared" si="28"/>
        <v>3.2857748658781931E-2</v>
      </c>
      <c r="AD68" s="150">
        <f t="shared" si="36"/>
        <v>1.2</v>
      </c>
      <c r="AE68" s="150">
        <f t="shared" si="29"/>
        <v>3.9429298390538318E-2</v>
      </c>
      <c r="AF68" s="280">
        <f t="shared" si="30"/>
        <v>3.2528506543105011E-2</v>
      </c>
      <c r="AG68" s="150">
        <f t="shared" si="37"/>
        <v>4</v>
      </c>
      <c r="AH68" s="150">
        <f t="shared" si="31"/>
        <v>0.13011402617242004</v>
      </c>
      <c r="AI68" s="280">
        <f t="shared" si="32"/>
        <v>3.2853204723370583E-2</v>
      </c>
      <c r="AJ68" s="150">
        <f t="shared" si="38"/>
        <v>1.7000000000000004</v>
      </c>
      <c r="AK68" s="150">
        <f t="shared" si="33"/>
        <v>5.585044802973E-2</v>
      </c>
      <c r="AL68" s="284">
        <f t="shared" si="34"/>
        <v>0.22539377259268836</v>
      </c>
      <c r="AM68" s="198">
        <f t="shared" si="35"/>
        <v>2.0483596484712158E-4</v>
      </c>
    </row>
    <row r="69" spans="24:39" x14ac:dyDescent="0.25">
      <c r="X69" s="49">
        <f t="shared" si="21"/>
        <v>2069</v>
      </c>
      <c r="Y69" s="197">
        <f t="shared" si="26"/>
        <v>6.9</v>
      </c>
      <c r="Z69" s="19">
        <f>'global path'!C56</f>
        <v>0.19637375916923447</v>
      </c>
      <c r="AA69" s="198">
        <f t="shared" si="27"/>
        <v>2.8459965096990503E-2</v>
      </c>
      <c r="AB69" s="295">
        <v>2.3477170571407302E-2</v>
      </c>
      <c r="AC69" s="280">
        <f t="shared" si="28"/>
        <v>2.3476752100555304E-2</v>
      </c>
      <c r="AD69" s="150">
        <f t="shared" si="36"/>
        <v>1.2</v>
      </c>
      <c r="AE69" s="150">
        <f t="shared" si="29"/>
        <v>2.8172102520666362E-2</v>
      </c>
      <c r="AF69" s="280">
        <f t="shared" si="30"/>
        <v>2.3295633158447737E-2</v>
      </c>
      <c r="AG69" s="150">
        <f t="shared" si="37"/>
        <v>4</v>
      </c>
      <c r="AH69" s="150">
        <f t="shared" si="31"/>
        <v>9.3182532633790949E-2</v>
      </c>
      <c r="AI69" s="280">
        <f t="shared" si="32"/>
        <v>2.3475587713361182E-2</v>
      </c>
      <c r="AJ69" s="150">
        <f t="shared" si="38"/>
        <v>1.7000000000000004</v>
      </c>
      <c r="AK69" s="150">
        <f t="shared" si="33"/>
        <v>3.9908499112714019E-2</v>
      </c>
      <c r="AL69" s="284">
        <f t="shared" si="34"/>
        <v>0.16126313426717132</v>
      </c>
      <c r="AM69" s="198">
        <f t="shared" si="35"/>
        <v>1.2327559810133772E-3</v>
      </c>
    </row>
    <row r="70" spans="24:39" x14ac:dyDescent="0.25">
      <c r="X70" s="49">
        <f t="shared" si="21"/>
        <v>2070</v>
      </c>
      <c r="Y70" s="197">
        <f t="shared" si="26"/>
        <v>6.9</v>
      </c>
      <c r="Z70" s="19">
        <f>'global path'!C57</f>
        <v>0.16023057056779202</v>
      </c>
      <c r="AA70" s="198">
        <f t="shared" si="27"/>
        <v>2.3221821821419134E-2</v>
      </c>
      <c r="AB70" s="295">
        <v>1.9313175268977311E-2</v>
      </c>
      <c r="AC70" s="280">
        <f t="shared" si="28"/>
        <v>1.9312921698137104E-2</v>
      </c>
      <c r="AD70" s="150">
        <f t="shared" si="36"/>
        <v>1.2</v>
      </c>
      <c r="AE70" s="150">
        <f t="shared" si="29"/>
        <v>2.3175506037764523E-2</v>
      </c>
      <c r="AF70" s="280">
        <f t="shared" si="30"/>
        <v>1.9184933051904537E-2</v>
      </c>
      <c r="AG70" s="150">
        <f t="shared" si="37"/>
        <v>4</v>
      </c>
      <c r="AH70" s="150">
        <f t="shared" si="31"/>
        <v>7.673973220761815E-2</v>
      </c>
      <c r="AI70" s="280">
        <f t="shared" si="32"/>
        <v>1.9312412395398378E-2</v>
      </c>
      <c r="AJ70" s="150">
        <f t="shared" si="38"/>
        <v>1.7000000000000004</v>
      </c>
      <c r="AK70" s="150">
        <f t="shared" si="33"/>
        <v>3.2831101072177252E-2</v>
      </c>
      <c r="AL70" s="284">
        <f t="shared" si="34"/>
        <v>0.13274633931755991</v>
      </c>
      <c r="AM70" s="198">
        <f t="shared" si="35"/>
        <v>7.5538296741623531E-4</v>
      </c>
    </row>
    <row r="71" spans="24:39" x14ac:dyDescent="0.25">
      <c r="X71" s="49">
        <f t="shared" si="21"/>
        <v>2071</v>
      </c>
      <c r="Y71" s="197">
        <f t="shared" si="26"/>
        <v>6.9</v>
      </c>
      <c r="Z71" s="19">
        <f>'global path'!C58</f>
        <v>0.13021391966937404</v>
      </c>
      <c r="AA71" s="198">
        <f t="shared" si="27"/>
        <v>1.8871582560778845E-2</v>
      </c>
      <c r="AB71" s="295">
        <v>1.8081117659333224E-2</v>
      </c>
      <c r="AC71" s="280">
        <f t="shared" si="28"/>
        <v>1.8080903548122262E-2</v>
      </c>
      <c r="AD71" s="150">
        <f t="shared" si="36"/>
        <v>1.2</v>
      </c>
      <c r="AE71" s="150">
        <f t="shared" si="29"/>
        <v>2.1697084257746715E-2</v>
      </c>
      <c r="AF71" s="280">
        <f t="shared" si="30"/>
        <v>1.7967075012328686E-2</v>
      </c>
      <c r="AG71" s="150">
        <f t="shared" si="37"/>
        <v>4</v>
      </c>
      <c r="AH71" s="150">
        <f t="shared" si="31"/>
        <v>7.1868300049314743E-2</v>
      </c>
      <c r="AI71" s="280">
        <f t="shared" si="32"/>
        <v>1.80805216410341E-2</v>
      </c>
      <c r="AJ71" s="150">
        <f t="shared" si="38"/>
        <v>1.7000000000000004</v>
      </c>
      <c r="AK71" s="150">
        <f t="shared" si="33"/>
        <v>3.0736886789757976E-2</v>
      </c>
      <c r="AL71" s="284">
        <f t="shared" si="34"/>
        <v>0.12430227109681943</v>
      </c>
      <c r="AM71" s="198">
        <f t="shared" si="35"/>
        <v>3.4947588845386916E-5</v>
      </c>
    </row>
    <row r="72" spans="24:39" x14ac:dyDescent="0.25">
      <c r="X72" s="49">
        <f t="shared" si="21"/>
        <v>2072</v>
      </c>
      <c r="Y72" s="197">
        <f t="shared" si="26"/>
        <v>6.9</v>
      </c>
      <c r="Z72" s="19">
        <f>'global path'!C59</f>
        <v>0.10539317146692628</v>
      </c>
      <c r="AA72" s="198">
        <f t="shared" si="27"/>
        <v>1.5274372676366128E-2</v>
      </c>
      <c r="AB72" s="295">
        <v>1.6664595176438233E-2</v>
      </c>
      <c r="AC72" s="280">
        <f t="shared" si="28"/>
        <v>1.6664421506910162E-2</v>
      </c>
      <c r="AD72" s="150">
        <f t="shared" si="36"/>
        <v>1.2</v>
      </c>
      <c r="AE72" s="150">
        <f t="shared" si="29"/>
        <v>1.9997305808292194E-2</v>
      </c>
      <c r="AF72" s="280">
        <f t="shared" si="30"/>
        <v>1.6565968932791296E-2</v>
      </c>
      <c r="AG72" s="150">
        <f t="shared" si="37"/>
        <v>4</v>
      </c>
      <c r="AH72" s="150">
        <f t="shared" si="31"/>
        <v>6.6263875731165184E-2</v>
      </c>
      <c r="AI72" s="280">
        <f t="shared" si="32"/>
        <v>1.6664156147562444E-2</v>
      </c>
      <c r="AJ72" s="150">
        <f t="shared" si="38"/>
        <v>1.7000000000000004</v>
      </c>
      <c r="AK72" s="150">
        <f t="shared" si="33"/>
        <v>2.8329065450856162E-2</v>
      </c>
      <c r="AL72" s="284">
        <f t="shared" si="34"/>
        <v>0.11459024699031353</v>
      </c>
      <c r="AM72" s="198">
        <f t="shared" si="35"/>
        <v>8.4586198182888848E-5</v>
      </c>
    </row>
    <row r="73" spans="24:39" x14ac:dyDescent="0.25">
      <c r="X73" s="49">
        <f t="shared" si="21"/>
        <v>2073</v>
      </c>
      <c r="Y73" s="197">
        <f t="shared" si="26"/>
        <v>6.9</v>
      </c>
      <c r="Z73" s="19">
        <f>'global path'!C60</f>
        <v>8.4957832941543979E-2</v>
      </c>
      <c r="AA73" s="198">
        <f t="shared" si="27"/>
        <v>1.2312729411817967E-2</v>
      </c>
      <c r="AB73" s="295">
        <v>1.3898261286431639E-2</v>
      </c>
      <c r="AC73" s="280">
        <f t="shared" si="28"/>
        <v>1.3898152286614283E-2</v>
      </c>
      <c r="AD73" s="150">
        <f t="shared" si="36"/>
        <v>1.2</v>
      </c>
      <c r="AE73" s="150">
        <f t="shared" si="29"/>
        <v>1.667778274393714E-2</v>
      </c>
      <c r="AF73" s="280">
        <f t="shared" si="30"/>
        <v>1.3826870689990816E-2</v>
      </c>
      <c r="AG73" s="150">
        <f t="shared" si="37"/>
        <v>4</v>
      </c>
      <c r="AH73" s="150">
        <f t="shared" si="31"/>
        <v>5.5307482759963264E-2</v>
      </c>
      <c r="AI73" s="280">
        <f t="shared" si="32"/>
        <v>1.3898039104003704E-2</v>
      </c>
      <c r="AJ73" s="150">
        <f t="shared" si="38"/>
        <v>1.7000000000000004</v>
      </c>
      <c r="AK73" s="150">
        <f t="shared" si="33"/>
        <v>2.3626666476806304E-2</v>
      </c>
      <c r="AL73" s="284">
        <f t="shared" si="34"/>
        <v>9.5611931980706708E-2</v>
      </c>
      <c r="AM73" s="198">
        <f t="shared" si="35"/>
        <v>1.1350982633628819E-4</v>
      </c>
    </row>
    <row r="74" spans="24:39" x14ac:dyDescent="0.25">
      <c r="X74" s="49">
        <f t="shared" si="21"/>
        <v>2074</v>
      </c>
      <c r="Y74" s="197">
        <f t="shared" si="26"/>
        <v>6.9</v>
      </c>
      <c r="Z74" s="19">
        <f>'global path'!C61</f>
        <v>6.4522494416161674E-2</v>
      </c>
      <c r="AA74" s="198">
        <f t="shared" si="27"/>
        <v>9.3510861472698072E-3</v>
      </c>
      <c r="AB74" s="295">
        <v>9.8903459440961936E-3</v>
      </c>
      <c r="AC74" s="280">
        <f t="shared" si="28"/>
        <v>9.890300417538871E-3</v>
      </c>
      <c r="AD74" s="150">
        <f t="shared" si="36"/>
        <v>1.2</v>
      </c>
      <c r="AE74" s="150">
        <f t="shared" si="29"/>
        <v>1.1868360501046645E-2</v>
      </c>
      <c r="AF74" s="280">
        <f t="shared" si="30"/>
        <v>9.8513898603591107E-3</v>
      </c>
      <c r="AG74" s="150">
        <f t="shared" si="37"/>
        <v>4</v>
      </c>
      <c r="AH74" s="150">
        <f t="shared" si="31"/>
        <v>3.9405559441436443E-2</v>
      </c>
      <c r="AI74" s="280">
        <f t="shared" si="32"/>
        <v>9.8902841108659493E-3</v>
      </c>
      <c r="AJ74" s="150">
        <f t="shared" si="38"/>
        <v>1.7000000000000004</v>
      </c>
      <c r="AK74" s="150">
        <f t="shared" si="33"/>
        <v>1.6813482988472118E-2</v>
      </c>
      <c r="AL74" s="284">
        <f t="shared" si="34"/>
        <v>6.8087402930955207E-2</v>
      </c>
      <c r="AM74" s="198">
        <f t="shared" si="35"/>
        <v>1.2708572718847432E-5</v>
      </c>
    </row>
    <row r="75" spans="24:39" x14ac:dyDescent="0.25">
      <c r="X75" s="49">
        <f t="shared" si="21"/>
        <v>2075</v>
      </c>
      <c r="Y75" s="197">
        <f t="shared" si="26"/>
        <v>6.9</v>
      </c>
      <c r="Z75" s="19">
        <f>'global path'!C62</f>
        <v>4.408715589077937E-2</v>
      </c>
      <c r="AA75" s="198">
        <f t="shared" si="27"/>
        <v>6.3894428827216479E-3</v>
      </c>
      <c r="AB75" s="295">
        <v>5.8425814321275277E-3</v>
      </c>
      <c r="AC75" s="280">
        <f t="shared" si="28"/>
        <v>5.8425696407133397E-3</v>
      </c>
      <c r="AD75" s="150">
        <f t="shared" si="36"/>
        <v>1.2</v>
      </c>
      <c r="AE75" s="150">
        <f t="shared" si="29"/>
        <v>7.0110835688560079E-3</v>
      </c>
      <c r="AF75" s="280">
        <f t="shared" si="30"/>
        <v>5.8273233099201223E-3</v>
      </c>
      <c r="AG75" s="150">
        <f t="shared" si="37"/>
        <v>4</v>
      </c>
      <c r="AH75" s="150">
        <f t="shared" si="31"/>
        <v>2.3309293239680489E-2</v>
      </c>
      <c r="AI75" s="280">
        <f t="shared" si="32"/>
        <v>5.8425729276678825E-3</v>
      </c>
      <c r="AJ75" s="150">
        <f t="shared" si="38"/>
        <v>1.7000000000000004</v>
      </c>
      <c r="AK75" s="150">
        <f t="shared" si="33"/>
        <v>9.9323739770354018E-3</v>
      </c>
      <c r="AL75" s="284">
        <f t="shared" si="34"/>
        <v>4.0252750785571896E-2</v>
      </c>
      <c r="AM75" s="198">
        <f t="shared" si="35"/>
        <v>1.4702662510841137E-5</v>
      </c>
    </row>
    <row r="76" spans="24:39" x14ac:dyDescent="0.25">
      <c r="X76" s="49">
        <f t="shared" si="21"/>
        <v>2076</v>
      </c>
      <c r="Y76" s="197">
        <f t="shared" si="26"/>
        <v>6.9</v>
      </c>
      <c r="Z76" s="19">
        <f>'global path'!C63</f>
        <v>2.3651817365397065E-2</v>
      </c>
      <c r="AA76" s="198">
        <f t="shared" si="27"/>
        <v>3.4277996181734877E-3</v>
      </c>
      <c r="AB76" s="295">
        <v>2.4501417892833313E-3</v>
      </c>
      <c r="AC76" s="280">
        <f t="shared" si="28"/>
        <v>2.4501405218907268E-3</v>
      </c>
      <c r="AD76" s="150">
        <f t="shared" si="36"/>
        <v>1.2</v>
      </c>
      <c r="AE76" s="150">
        <f t="shared" si="29"/>
        <v>2.9401686262688722E-3</v>
      </c>
      <c r="AF76" s="280">
        <f t="shared" si="30"/>
        <v>2.4468955089731728E-3</v>
      </c>
      <c r="AG76" s="150">
        <f t="shared" si="37"/>
        <v>4</v>
      </c>
      <c r="AH76" s="150">
        <f t="shared" si="31"/>
        <v>9.7875820358926911E-3</v>
      </c>
      <c r="AI76" s="280">
        <f t="shared" si="32"/>
        <v>2.4501414700939458E-3</v>
      </c>
      <c r="AJ76" s="150">
        <f t="shared" si="38"/>
        <v>1.7000000000000004</v>
      </c>
      <c r="AK76" s="150">
        <f t="shared" si="33"/>
        <v>4.165240499159709E-3</v>
      </c>
      <c r="AL76" s="284">
        <f t="shared" si="34"/>
        <v>1.6892991161321272E-2</v>
      </c>
      <c r="AM76" s="198">
        <f t="shared" si="35"/>
        <v>4.5681731656901601E-5</v>
      </c>
    </row>
    <row r="77" spans="24:39" x14ac:dyDescent="0.25">
      <c r="X77" s="49">
        <f t="shared" si="21"/>
        <v>2077</v>
      </c>
      <c r="Y77" s="197">
        <f t="shared" si="26"/>
        <v>6.9</v>
      </c>
      <c r="Z77" s="19">
        <f>'global path'!C64</f>
        <v>3.2164788400147609E-3</v>
      </c>
      <c r="AA77" s="198">
        <f t="shared" si="27"/>
        <v>4.6615635362532766E-4</v>
      </c>
      <c r="AB77" s="295">
        <v>3.539783179818163E-4</v>
      </c>
      <c r="AC77" s="280">
        <f t="shared" si="28"/>
        <v>3.539783091437654E-4</v>
      </c>
      <c r="AD77" s="150">
        <f t="shared" si="36"/>
        <v>1.2</v>
      </c>
      <c r="AE77" s="150">
        <f t="shared" si="29"/>
        <v>4.2477397097251846E-4</v>
      </c>
      <c r="AF77" s="280">
        <f t="shared" si="30"/>
        <v>3.5387480675209461E-4</v>
      </c>
      <c r="AG77" s="150">
        <f t="shared" si="37"/>
        <v>4</v>
      </c>
      <c r="AH77" s="150">
        <f t="shared" si="31"/>
        <v>1.4154992270083784E-3</v>
      </c>
      <c r="AI77" s="280">
        <f t="shared" si="32"/>
        <v>3.5397831777046469E-4</v>
      </c>
      <c r="AJ77" s="150">
        <f t="shared" si="38"/>
        <v>1.7000000000000004</v>
      </c>
      <c r="AK77" s="150">
        <f t="shared" si="33"/>
        <v>6.0176314020979013E-4</v>
      </c>
      <c r="AL77" s="284">
        <f t="shared" si="34"/>
        <v>2.4420363381906871E-3</v>
      </c>
      <c r="AM77" s="198">
        <f t="shared" si="35"/>
        <v>5.997611886315306E-7</v>
      </c>
    </row>
    <row r="78" spans="24:39" x14ac:dyDescent="0.25">
      <c r="X78" s="49">
        <f t="shared" si="21"/>
        <v>2078</v>
      </c>
      <c r="Y78" s="197">
        <f t="shared" si="26"/>
        <v>6.9</v>
      </c>
      <c r="Z78" s="19">
        <f>'global path'!C65</f>
        <v>0</v>
      </c>
      <c r="AA78" s="198">
        <f t="shared" si="27"/>
        <v>0</v>
      </c>
      <c r="AB78" s="295">
        <v>1.7046384149021255E-3</v>
      </c>
      <c r="AC78" s="280">
        <f t="shared" si="28"/>
        <v>1.7046379154255266E-3</v>
      </c>
      <c r="AD78" s="150">
        <f t="shared" si="36"/>
        <v>1.2</v>
      </c>
      <c r="AE78" s="150">
        <f t="shared" si="29"/>
        <v>2.0455654985106317E-3</v>
      </c>
      <c r="AF78" s="280">
        <f t="shared" si="30"/>
        <v>1.702937099471738E-3</v>
      </c>
      <c r="AG78" s="150">
        <f t="shared" si="37"/>
        <v>4</v>
      </c>
      <c r="AH78" s="150">
        <f t="shared" si="31"/>
        <v>6.811748397886952E-3</v>
      </c>
      <c r="AI78" s="280">
        <f t="shared" si="32"/>
        <v>1.7046383339458493E-3</v>
      </c>
      <c r="AJ78" s="150">
        <f t="shared" si="38"/>
        <v>1.7000000000000004</v>
      </c>
      <c r="AK78" s="150">
        <f t="shared" si="33"/>
        <v>2.8978851677079445E-3</v>
      </c>
      <c r="AL78" s="284">
        <f t="shared" si="34"/>
        <v>1.1755199064105527E-2</v>
      </c>
      <c r="AM78" s="198">
        <f t="shared" si="35"/>
        <v>1.3818470503674745E-4</v>
      </c>
    </row>
    <row r="79" spans="24:39" x14ac:dyDescent="0.25">
      <c r="X79" s="49">
        <f t="shared" si="21"/>
        <v>2079</v>
      </c>
      <c r="Y79" s="197">
        <f t="shared" si="26"/>
        <v>6.9</v>
      </c>
      <c r="Z79" s="19">
        <f>'global path'!C66</f>
        <v>0</v>
      </c>
      <c r="AA79" s="198">
        <f t="shared" si="27"/>
        <v>0</v>
      </c>
      <c r="AB79" s="295">
        <v>3.895095290037029E-3</v>
      </c>
      <c r="AC79" s="280">
        <f t="shared" si="28"/>
        <v>3.8950911248454029E-3</v>
      </c>
      <c r="AD79" s="150">
        <f t="shared" si="36"/>
        <v>1.2</v>
      </c>
      <c r="AE79" s="150">
        <f t="shared" si="29"/>
        <v>4.674109349814483E-3</v>
      </c>
      <c r="AF79" s="280">
        <f t="shared" si="30"/>
        <v>3.8876834659264019E-3</v>
      </c>
      <c r="AG79" s="150">
        <f t="shared" si="37"/>
        <v>4</v>
      </c>
      <c r="AH79" s="150">
        <f t="shared" si="31"/>
        <v>1.5550733863705608E-2</v>
      </c>
      <c r="AI79" s="280">
        <f t="shared" si="32"/>
        <v>3.8950934498068386E-3</v>
      </c>
      <c r="AJ79" s="150">
        <f t="shared" si="38"/>
        <v>1.7000000000000004</v>
      </c>
      <c r="AK79" s="150">
        <f t="shared" si="33"/>
        <v>6.6216588646716267E-3</v>
      </c>
      <c r="AL79" s="284">
        <f t="shared" si="34"/>
        <v>2.6846502078191715E-2</v>
      </c>
      <c r="AM79" s="198">
        <f t="shared" si="35"/>
        <v>7.2073467383435203E-4</v>
      </c>
    </row>
    <row r="80" spans="24:39" x14ac:dyDescent="0.25">
      <c r="X80" s="49">
        <f t="shared" si="21"/>
        <v>2080</v>
      </c>
      <c r="Y80" s="197">
        <f t="shared" si="26"/>
        <v>6.9</v>
      </c>
      <c r="Z80" s="19">
        <f>'global path'!C67</f>
        <v>0</v>
      </c>
      <c r="AA80" s="198">
        <f t="shared" si="27"/>
        <v>0</v>
      </c>
      <c r="AB80" s="295">
        <v>6.0329687499321629E-3</v>
      </c>
      <c r="AC80" s="280">
        <f t="shared" si="28"/>
        <v>6.0329559470580062E-3</v>
      </c>
      <c r="AD80" s="150">
        <f t="shared" si="36"/>
        <v>1.2</v>
      </c>
      <c r="AE80" s="150">
        <f t="shared" si="29"/>
        <v>7.2395471364696071E-3</v>
      </c>
      <c r="AF80" s="280">
        <f t="shared" si="30"/>
        <v>6.0168139940154526E-3</v>
      </c>
      <c r="AG80" s="150">
        <f t="shared" si="37"/>
        <v>4</v>
      </c>
      <c r="AH80" s="150">
        <f t="shared" si="31"/>
        <v>2.406725597606181E-2</v>
      </c>
      <c r="AI80" s="280">
        <f t="shared" si="32"/>
        <v>6.0329591517962978E-3</v>
      </c>
      <c r="AJ80" s="150">
        <f t="shared" si="38"/>
        <v>1.7000000000000004</v>
      </c>
      <c r="AK80" s="150">
        <f t="shared" si="33"/>
        <v>1.0256030558053708E-2</v>
      </c>
      <c r="AL80" s="284">
        <f t="shared" si="34"/>
        <v>4.1562833670585123E-2</v>
      </c>
      <c r="AM80" s="198">
        <f t="shared" si="35"/>
        <v>1.7274691427287244E-3</v>
      </c>
    </row>
    <row r="81" spans="2:39" x14ac:dyDescent="0.25">
      <c r="X81" s="49">
        <f t="shared" si="21"/>
        <v>2081</v>
      </c>
      <c r="Y81" s="197">
        <f t="shared" si="26"/>
        <v>6.9</v>
      </c>
      <c r="Z81" s="19">
        <f>'global path'!C68</f>
        <v>0</v>
      </c>
      <c r="AA81" s="198">
        <f t="shared" si="27"/>
        <v>0</v>
      </c>
      <c r="AB81" s="295">
        <v>7.8440988040589712E-3</v>
      </c>
      <c r="AC81" s="280">
        <f t="shared" si="28"/>
        <v>7.8440736902438742E-3</v>
      </c>
      <c r="AD81" s="150">
        <f t="shared" si="36"/>
        <v>1.2</v>
      </c>
      <c r="AE81" s="150">
        <f t="shared" si="29"/>
        <v>9.4128884282926491E-3</v>
      </c>
      <c r="AF81" s="280">
        <f t="shared" si="30"/>
        <v>7.8183164414212074E-3</v>
      </c>
      <c r="AG81" s="150">
        <f t="shared" si="37"/>
        <v>4</v>
      </c>
      <c r="AH81" s="150">
        <f t="shared" si="31"/>
        <v>3.127326576568483E-2</v>
      </c>
      <c r="AI81" s="280">
        <f t="shared" si="32"/>
        <v>7.8440729768233224E-3</v>
      </c>
      <c r="AJ81" s="150">
        <f t="shared" si="38"/>
        <v>1.7000000000000004</v>
      </c>
      <c r="AK81" s="150">
        <f t="shared" si="33"/>
        <v>1.3334924060599652E-2</v>
      </c>
      <c r="AL81" s="284">
        <f t="shared" si="34"/>
        <v>5.4021078254577123E-2</v>
      </c>
      <c r="AM81" s="198">
        <f t="shared" si="35"/>
        <v>2.9182768957871454E-3</v>
      </c>
    </row>
    <row r="82" spans="2:39" x14ac:dyDescent="0.25">
      <c r="X82" s="49">
        <f t="shared" si="21"/>
        <v>2082</v>
      </c>
      <c r="Y82" s="197">
        <f t="shared" si="26"/>
        <v>6.9</v>
      </c>
      <c r="Z82" s="19">
        <f>'global path'!C69</f>
        <v>0</v>
      </c>
      <c r="AA82" s="198">
        <f t="shared" si="27"/>
        <v>0</v>
      </c>
      <c r="AB82" s="295">
        <v>9.200030298910096E-3</v>
      </c>
      <c r="AC82" s="280">
        <f t="shared" si="28"/>
        <v>9.1999924873380264E-3</v>
      </c>
      <c r="AD82" s="150">
        <f t="shared" si="36"/>
        <v>1.2</v>
      </c>
      <c r="AE82" s="150">
        <f t="shared" si="29"/>
        <v>1.1039990984805631E-2</v>
      </c>
      <c r="AF82" s="280">
        <f t="shared" si="30"/>
        <v>9.1657830931552494E-3</v>
      </c>
      <c r="AG82" s="150">
        <f t="shared" si="37"/>
        <v>4</v>
      </c>
      <c r="AH82" s="150">
        <f t="shared" si="31"/>
        <v>3.6663132372620998E-2</v>
      </c>
      <c r="AI82" s="280">
        <f t="shared" si="32"/>
        <v>9.1999832090305829E-3</v>
      </c>
      <c r="AJ82" s="150">
        <f t="shared" si="38"/>
        <v>1.7000000000000004</v>
      </c>
      <c r="AK82" s="150">
        <f t="shared" si="33"/>
        <v>1.5639971455351995E-2</v>
      </c>
      <c r="AL82" s="284">
        <f t="shared" si="34"/>
        <v>6.3343094812778625E-2</v>
      </c>
      <c r="AM82" s="198">
        <f t="shared" si="35"/>
        <v>4.0123476604606622E-3</v>
      </c>
    </row>
    <row r="83" spans="2:39" x14ac:dyDescent="0.25">
      <c r="X83" s="49">
        <f t="shared" si="21"/>
        <v>2083</v>
      </c>
      <c r="Y83" s="197">
        <f t="shared" si="26"/>
        <v>6.9</v>
      </c>
      <c r="Z83" s="19">
        <f>'global path'!C70</f>
        <v>0</v>
      </c>
      <c r="AA83" s="198">
        <f t="shared" si="27"/>
        <v>0</v>
      </c>
      <c r="AB83" s="295">
        <v>1.0079216244353843E-2</v>
      </c>
      <c r="AC83" s="280">
        <f t="shared" si="28"/>
        <v>1.0079168453162124E-2</v>
      </c>
      <c r="AD83" s="150">
        <f t="shared" si="36"/>
        <v>1.2</v>
      </c>
      <c r="AE83" s="150">
        <f t="shared" si="29"/>
        <v>1.2095002143794548E-2</v>
      </c>
      <c r="AF83" s="280">
        <f t="shared" si="30"/>
        <v>1.0038925695333743E-2</v>
      </c>
      <c r="AG83" s="150">
        <f t="shared" si="37"/>
        <v>4</v>
      </c>
      <c r="AH83" s="150">
        <f t="shared" si="31"/>
        <v>4.015570278133497E-2</v>
      </c>
      <c r="AI83" s="280">
        <f t="shared" si="32"/>
        <v>1.0079149848397603E-2</v>
      </c>
      <c r="AJ83" s="150">
        <f t="shared" si="38"/>
        <v>1.7000000000000004</v>
      </c>
      <c r="AK83" s="150">
        <f t="shared" si="33"/>
        <v>1.7134554742275928E-2</v>
      </c>
      <c r="AL83" s="284">
        <f t="shared" si="34"/>
        <v>6.9385259667405455E-2</v>
      </c>
      <c r="AM83" s="198">
        <f t="shared" si="35"/>
        <v>4.8143142591132821E-3</v>
      </c>
    </row>
    <row r="84" spans="2:39" x14ac:dyDescent="0.25">
      <c r="X84" s="49">
        <f t="shared" si="21"/>
        <v>2084</v>
      </c>
      <c r="Y84" s="197">
        <f t="shared" si="26"/>
        <v>6.9</v>
      </c>
      <c r="Z84" s="19">
        <f>'global path'!C71</f>
        <v>0</v>
      </c>
      <c r="AA84" s="198">
        <f t="shared" si="27"/>
        <v>0</v>
      </c>
      <c r="AB84" s="295">
        <v>1.0524804871363796E-2</v>
      </c>
      <c r="AC84" s="280">
        <f t="shared" si="28"/>
        <v>1.0524751468831514E-2</v>
      </c>
      <c r="AD84" s="150">
        <f t="shared" si="36"/>
        <v>1.2</v>
      </c>
      <c r="AE84" s="150">
        <f t="shared" si="29"/>
        <v>1.2629701762597817E-2</v>
      </c>
      <c r="AF84" s="280">
        <f t="shared" si="30"/>
        <v>1.0481288263635384E-2</v>
      </c>
      <c r="AG84" s="150">
        <f t="shared" si="37"/>
        <v>4</v>
      </c>
      <c r="AH84" s="150">
        <f t="shared" si="31"/>
        <v>4.1925153054541538E-2</v>
      </c>
      <c r="AI84" s="280">
        <f t="shared" si="32"/>
        <v>1.0524726737780068E-2</v>
      </c>
      <c r="AJ84" s="150">
        <f t="shared" si="38"/>
        <v>1.7000000000000004</v>
      </c>
      <c r="AK84" s="150">
        <f t="shared" si="33"/>
        <v>1.7892035454226119E-2</v>
      </c>
      <c r="AL84" s="284">
        <f t="shared" si="34"/>
        <v>7.2446890271365472E-2</v>
      </c>
      <c r="AM84" s="198">
        <f t="shared" si="35"/>
        <v>5.2485519099912687E-3</v>
      </c>
    </row>
    <row r="85" spans="2:39" x14ac:dyDescent="0.25">
      <c r="X85" s="49">
        <f t="shared" ref="X85:X100" si="39">X84+1</f>
        <v>2085</v>
      </c>
      <c r="Y85" s="197">
        <f t="shared" si="26"/>
        <v>6.9</v>
      </c>
      <c r="Z85" s="19">
        <f>'global path'!C72</f>
        <v>0</v>
      </c>
      <c r="AA85" s="198">
        <f t="shared" si="27"/>
        <v>0</v>
      </c>
      <c r="AB85" s="295">
        <v>1.0610672519336501E-2</v>
      </c>
      <c r="AC85" s="280">
        <f t="shared" si="28"/>
        <v>1.0610617991539173E-2</v>
      </c>
      <c r="AD85" s="150">
        <f t="shared" si="36"/>
        <v>1.2</v>
      </c>
      <c r="AE85" s="150">
        <f t="shared" si="29"/>
        <v>1.2732741589847007E-2</v>
      </c>
      <c r="AF85" s="280">
        <f t="shared" si="30"/>
        <v>1.0566521744954935E-2</v>
      </c>
      <c r="AG85" s="150">
        <f t="shared" si="37"/>
        <v>4</v>
      </c>
      <c r="AH85" s="150">
        <f t="shared" si="31"/>
        <v>4.2266086979819741E-2</v>
      </c>
      <c r="AI85" s="280">
        <f t="shared" si="32"/>
        <v>1.0610591960229039E-2</v>
      </c>
      <c r="AJ85" s="150">
        <f t="shared" si="38"/>
        <v>1.7000000000000004</v>
      </c>
      <c r="AK85" s="150">
        <f t="shared" si="33"/>
        <v>1.8038006332389372E-2</v>
      </c>
      <c r="AL85" s="284">
        <f t="shared" si="34"/>
        <v>7.3036834902056119E-2</v>
      </c>
      <c r="AM85" s="198">
        <f t="shared" si="35"/>
        <v>5.3343792525102031E-3</v>
      </c>
    </row>
    <row r="86" spans="2:39" x14ac:dyDescent="0.25">
      <c r="B86" s="215" t="s">
        <v>62</v>
      </c>
      <c r="I86" s="215" t="s">
        <v>62</v>
      </c>
      <c r="P86" s="215" t="s">
        <v>62</v>
      </c>
      <c r="X86" s="49">
        <f t="shared" si="39"/>
        <v>2086</v>
      </c>
      <c r="Y86" s="197">
        <f t="shared" si="26"/>
        <v>6.9</v>
      </c>
      <c r="Z86" s="19">
        <f>'global path'!C73</f>
        <v>0</v>
      </c>
      <c r="AA86" s="198">
        <f t="shared" si="27"/>
        <v>0</v>
      </c>
      <c r="AB86" s="295">
        <v>1.041883808465696E-2</v>
      </c>
      <c r="AC86" s="280">
        <f t="shared" si="28"/>
        <v>1.0418786051094751E-2</v>
      </c>
      <c r="AD86" s="150">
        <f t="shared" si="36"/>
        <v>1.2</v>
      </c>
      <c r="AE86" s="150">
        <f t="shared" si="29"/>
        <v>1.2502543261313701E-2</v>
      </c>
      <c r="AF86" s="280">
        <f t="shared" si="30"/>
        <v>1.0376098535396835E-2</v>
      </c>
      <c r="AG86" s="150">
        <f t="shared" si="37"/>
        <v>4</v>
      </c>
      <c r="AH86" s="150">
        <f t="shared" si="31"/>
        <v>4.1504394141587339E-2</v>
      </c>
      <c r="AI86" s="280">
        <f t="shared" si="32"/>
        <v>1.0418762870076762E-2</v>
      </c>
      <c r="AJ86" s="150">
        <f t="shared" si="38"/>
        <v>1.7000000000000004</v>
      </c>
      <c r="AK86" s="150">
        <f t="shared" si="33"/>
        <v>1.7711896879130499E-2</v>
      </c>
      <c r="AL86" s="284">
        <f t="shared" si="34"/>
        <v>7.1718834282031532E-2</v>
      </c>
      <c r="AM86" s="198">
        <f t="shared" si="35"/>
        <v>5.1435911907735015E-3</v>
      </c>
    </row>
    <row r="87" spans="2:39" x14ac:dyDescent="0.25">
      <c r="X87" s="49">
        <f t="shared" si="39"/>
        <v>2087</v>
      </c>
      <c r="Y87" s="197">
        <f t="shared" si="26"/>
        <v>6.9</v>
      </c>
      <c r="Z87" s="19">
        <f>'global path'!C74</f>
        <v>0</v>
      </c>
      <c r="AA87" s="198">
        <f t="shared" si="27"/>
        <v>0</v>
      </c>
      <c r="AB87" s="295">
        <v>1.0026447269740953E-2</v>
      </c>
      <c r="AC87" s="280">
        <f t="shared" si="28"/>
        <v>1.0026400118030417E-2</v>
      </c>
      <c r="AD87" s="150">
        <f t="shared" si="36"/>
        <v>1.2</v>
      </c>
      <c r="AE87" s="150">
        <f t="shared" si="29"/>
        <v>1.2031680141636499E-2</v>
      </c>
      <c r="AF87" s="280">
        <f t="shared" si="30"/>
        <v>9.9865315427642744E-3</v>
      </c>
      <c r="AG87" s="150">
        <f t="shared" si="37"/>
        <v>4</v>
      </c>
      <c r="AH87" s="150">
        <f t="shared" si="31"/>
        <v>3.9946126171057098E-2</v>
      </c>
      <c r="AI87" s="280">
        <f t="shared" si="32"/>
        <v>1.0026382172593749E-2</v>
      </c>
      <c r="AJ87" s="150">
        <f t="shared" si="38"/>
        <v>1.7000000000000004</v>
      </c>
      <c r="AK87" s="150">
        <f t="shared" si="33"/>
        <v>1.7044849693409376E-2</v>
      </c>
      <c r="AL87" s="284">
        <f t="shared" si="34"/>
        <v>6.9022656006102967E-2</v>
      </c>
      <c r="AM87" s="198">
        <f t="shared" si="35"/>
        <v>4.7641270421368218E-3</v>
      </c>
    </row>
    <row r="88" spans="2:39" x14ac:dyDescent="0.25">
      <c r="B88" s="250" t="s">
        <v>73</v>
      </c>
      <c r="C88" s="251" t="s">
        <v>74</v>
      </c>
      <c r="D88" s="229" t="s">
        <v>75</v>
      </c>
      <c r="E88" s="250" t="s">
        <v>76</v>
      </c>
      <c r="F88" s="251" t="s">
        <v>74</v>
      </c>
      <c r="G88" s="229" t="s">
        <v>75</v>
      </c>
      <c r="I88" s="250" t="s">
        <v>73</v>
      </c>
      <c r="J88" s="251" t="s">
        <v>74</v>
      </c>
      <c r="K88" s="229" t="s">
        <v>75</v>
      </c>
      <c r="L88" s="250" t="s">
        <v>76</v>
      </c>
      <c r="M88" s="251" t="s">
        <v>74</v>
      </c>
      <c r="N88" s="229" t="s">
        <v>75</v>
      </c>
      <c r="P88" s="250" t="s">
        <v>73</v>
      </c>
      <c r="Q88" s="251" t="s">
        <v>74</v>
      </c>
      <c r="R88" s="229" t="s">
        <v>75</v>
      </c>
      <c r="S88" s="250" t="s">
        <v>76</v>
      </c>
      <c r="T88" s="251" t="s">
        <v>74</v>
      </c>
      <c r="U88" s="229" t="s">
        <v>75</v>
      </c>
      <c r="X88" s="49">
        <f t="shared" si="39"/>
        <v>2088</v>
      </c>
      <c r="Y88" s="197">
        <f t="shared" si="26"/>
        <v>6.9</v>
      </c>
      <c r="Z88" s="19">
        <f>'global path'!C75</f>
        <v>0</v>
      </c>
      <c r="AA88" s="198">
        <f t="shared" si="27"/>
        <v>0</v>
      </c>
      <c r="AB88" s="295">
        <v>9.4997800481201652E-3</v>
      </c>
      <c r="AC88" s="280">
        <f t="shared" si="28"/>
        <v>9.4997389937596568E-3</v>
      </c>
      <c r="AD88" s="150">
        <f t="shared" si="36"/>
        <v>1.2</v>
      </c>
      <c r="AE88" s="150">
        <f t="shared" si="29"/>
        <v>1.1399686792511588E-2</v>
      </c>
      <c r="AF88" s="280">
        <f t="shared" si="30"/>
        <v>9.4635208045030748E-3</v>
      </c>
      <c r="AG88" s="150">
        <f t="shared" si="37"/>
        <v>4</v>
      </c>
      <c r="AH88" s="150">
        <f t="shared" si="31"/>
        <v>3.7854083218012299E-2</v>
      </c>
      <c r="AI88" s="280">
        <f t="shared" si="32"/>
        <v>9.4997269163927499E-3</v>
      </c>
      <c r="AJ88" s="150">
        <f t="shared" si="38"/>
        <v>1.7000000000000004</v>
      </c>
      <c r="AK88" s="150">
        <f t="shared" si="33"/>
        <v>1.6149535757867678E-2</v>
      </c>
      <c r="AL88" s="284">
        <f t="shared" si="34"/>
        <v>6.5403305768391568E-2</v>
      </c>
      <c r="AM88" s="198">
        <f t="shared" si="35"/>
        <v>4.2775924054337215E-3</v>
      </c>
    </row>
    <row r="89" spans="2:39" x14ac:dyDescent="0.25">
      <c r="B89" s="256">
        <f>$C$12*2/20*(ROW()-ROW($B$89))</f>
        <v>0</v>
      </c>
      <c r="C89" s="257">
        <v>0</v>
      </c>
      <c r="D89" s="258">
        <v>0</v>
      </c>
      <c r="E89" s="256">
        <f>$D$12*2/20*(ROW()-ROW($B$89))</f>
        <v>0</v>
      </c>
      <c r="F89" s="257">
        <v>0</v>
      </c>
      <c r="G89" s="258">
        <v>0</v>
      </c>
      <c r="I89" s="256">
        <f>$C$12*2/20*(ROW()-ROW($B$89))</f>
        <v>0</v>
      </c>
      <c r="J89" s="257">
        <v>0</v>
      </c>
      <c r="K89" s="258">
        <v>0</v>
      </c>
      <c r="L89" s="256">
        <f>$D$12*2/20*(ROW()-ROW($B$89))</f>
        <v>0</v>
      </c>
      <c r="M89" s="257">
        <v>0</v>
      </c>
      <c r="N89" s="258">
        <v>0</v>
      </c>
      <c r="P89" s="256">
        <f>$C$12*2/20*(ROW()-ROW($B$89))</f>
        <v>0</v>
      </c>
      <c r="Q89" s="257">
        <v>0</v>
      </c>
      <c r="R89" s="258">
        <v>0</v>
      </c>
      <c r="S89" s="256">
        <f>$D$12*2/20*(ROW()-ROW($B$89))</f>
        <v>0</v>
      </c>
      <c r="T89" s="257">
        <v>0</v>
      </c>
      <c r="U89" s="258">
        <v>0</v>
      </c>
      <c r="X89" s="49">
        <f t="shared" si="39"/>
        <v>2089</v>
      </c>
      <c r="Y89" s="197">
        <f t="shared" si="26"/>
        <v>6.9</v>
      </c>
      <c r="Z89" s="19">
        <f>'global path'!C76</f>
        <v>0</v>
      </c>
      <c r="AA89" s="198">
        <f t="shared" si="27"/>
        <v>0</v>
      </c>
      <c r="AB89" s="295">
        <v>8.8918790262786322E-3</v>
      </c>
      <c r="AC89" s="280">
        <f t="shared" si="28"/>
        <v>8.8918443802360435E-3</v>
      </c>
      <c r="AD89" s="150">
        <f t="shared" si="36"/>
        <v>1.2</v>
      </c>
      <c r="AE89" s="150">
        <f t="shared" si="29"/>
        <v>1.0670213256283251E-2</v>
      </c>
      <c r="AF89" s="280">
        <f t="shared" si="30"/>
        <v>8.8596475874342037E-3</v>
      </c>
      <c r="AG89" s="150">
        <f t="shared" si="37"/>
        <v>4</v>
      </c>
      <c r="AH89" s="150">
        <f t="shared" si="31"/>
        <v>3.5438590349736815E-2</v>
      </c>
      <c r="AI89" s="280">
        <f t="shared" si="32"/>
        <v>8.8918376062695221E-3</v>
      </c>
      <c r="AJ89" s="150">
        <f t="shared" si="38"/>
        <v>1.7000000000000004</v>
      </c>
      <c r="AK89" s="150">
        <f t="shared" si="33"/>
        <v>1.5116123930658192E-2</v>
      </c>
      <c r="AL89" s="284">
        <f t="shared" si="34"/>
        <v>6.1224927536678256E-2</v>
      </c>
      <c r="AM89" s="198">
        <f t="shared" si="35"/>
        <v>3.7484917518715035E-3</v>
      </c>
    </row>
    <row r="90" spans="2:39" x14ac:dyDescent="0.25">
      <c r="B90" s="259">
        <f t="shared" ref="B90:B119" si="40">C$12*2/20*(ROW()-ROW($B$89))</f>
        <v>5462.5274380683604</v>
      </c>
      <c r="C90" s="260">
        <f>_xlfn.GAMMA.DIST(B90,C$10,C$11,0)</f>
        <v>9.6350872839438954E-6</v>
      </c>
      <c r="D90" s="261">
        <f>_xlfn.GAMMA.DIST(B90,C$10,C$11,1)</f>
        <v>3.5737641698364221E-2</v>
      </c>
      <c r="E90" s="259">
        <f t="shared" ref="E90:E119" si="41">D$12*2/20*(ROW()-ROW($B$89))</f>
        <v>1.75</v>
      </c>
      <c r="F90" s="260">
        <f>_xlfn.GAMMA.DIST(E90,D$10,D$11,0)</f>
        <v>3.0075387803844049E-2</v>
      </c>
      <c r="G90" s="261">
        <f>_xlfn.GAMMA.DIST(E90,D$10,D$11,1)</f>
        <v>3.5737641698364221E-2</v>
      </c>
      <c r="I90" s="259">
        <f t="shared" ref="I90:I119" si="42">J$12*2/20*(ROW()-ROW($B$89))</f>
        <v>1172.6805880347247</v>
      </c>
      <c r="J90" s="260">
        <f>_xlfn.GAMMA.DIST(I90,J$10,J$11,0)</f>
        <v>9.0755413105447237E-5</v>
      </c>
      <c r="K90" s="261">
        <f>_xlfn.GAMMA.DIST(I90,J$10,J$11,1)</f>
        <v>0.14241366700591981</v>
      </c>
      <c r="L90" s="259">
        <f t="shared" ref="L90:L119" si="43">K$12*2/20*(ROW()-ROW($B$89))</f>
        <v>0.48749999999999999</v>
      </c>
      <c r="M90" s="260">
        <f>_xlfn.GAMMA.DIST(L90,K$10,K$11,0)</f>
        <v>0.21831202299042099</v>
      </c>
      <c r="N90" s="261">
        <f>_xlfn.GAMMA.DIST(L90,K$10,K$11,1)</f>
        <v>0.14241366700591981</v>
      </c>
      <c r="P90" s="259">
        <f t="shared" ref="P90:P119" si="44">Q$12*2/20*(ROW()-ROW($B$89))</f>
        <v>42.745661276818417</v>
      </c>
      <c r="Q90" s="260">
        <f>_xlfn.GAMMA.DIST(P90,Q$10,Q$11,0)</f>
        <v>3.037390824534613E-4</v>
      </c>
      <c r="R90" s="261">
        <f>_xlfn.GAMMA.DIST(P90,Q$10,Q$11,1)</f>
        <v>5.0241039909563216E-3</v>
      </c>
      <c r="S90" s="259">
        <f t="shared" ref="S90:S119" si="45">R$12*2/20*(ROW()-ROW($B$89))</f>
        <v>7.2218653017956422E-2</v>
      </c>
      <c r="T90" s="260">
        <f>_xlfn.GAMMA.DIST(S90,R$10,R$11,0)</f>
        <v>0.17978080997798526</v>
      </c>
      <c r="U90" s="261">
        <f>_xlfn.GAMMA.DIST(S90,R$10,R$11,1)</f>
        <v>5.0241039909563216E-3</v>
      </c>
      <c r="X90" s="49">
        <f t="shared" si="39"/>
        <v>2090</v>
      </c>
      <c r="Y90" s="197">
        <f t="shared" si="26"/>
        <v>6.9</v>
      </c>
      <c r="Z90" s="19">
        <f>'global path'!C77</f>
        <v>0</v>
      </c>
      <c r="AA90" s="198">
        <f t="shared" si="27"/>
        <v>0</v>
      </c>
      <c r="AB90" s="295">
        <v>8.2437205946337879E-3</v>
      </c>
      <c r="AC90" s="280">
        <f t="shared" si="28"/>
        <v>8.2436920650069603E-3</v>
      </c>
      <c r="AD90" s="150">
        <f t="shared" si="36"/>
        <v>1.2</v>
      </c>
      <c r="AE90" s="150">
        <f t="shared" si="29"/>
        <v>9.8924304780083523E-3</v>
      </c>
      <c r="AF90" s="280">
        <f t="shared" si="30"/>
        <v>8.2155530038074461E-3</v>
      </c>
      <c r="AG90" s="150">
        <f t="shared" si="37"/>
        <v>4</v>
      </c>
      <c r="AH90" s="150">
        <f t="shared" si="31"/>
        <v>3.2862212015229784E-2</v>
      </c>
      <c r="AI90" s="280">
        <f t="shared" si="32"/>
        <v>8.2436894493280351E-3</v>
      </c>
      <c r="AJ90" s="150">
        <f t="shared" si="38"/>
        <v>1.7000000000000004</v>
      </c>
      <c r="AK90" s="150">
        <f t="shared" si="33"/>
        <v>1.4014272063857663E-2</v>
      </c>
      <c r="AL90" s="284">
        <f t="shared" si="34"/>
        <v>5.6768914557095804E-2</v>
      </c>
      <c r="AM90" s="198">
        <f t="shared" si="35"/>
        <v>3.2227096599908439E-3</v>
      </c>
    </row>
    <row r="91" spans="2:39" x14ac:dyDescent="0.25">
      <c r="B91" s="259">
        <f t="shared" si="40"/>
        <v>10925.054876136721</v>
      </c>
      <c r="C91" s="260">
        <f t="shared" ref="C91:C119" si="46">_xlfn.GAMMA.DIST(B91,C$10,C$11,0)</f>
        <v>1.220146683391814E-5</v>
      </c>
      <c r="D91" s="261">
        <f t="shared" ref="D91:D119" si="47">_xlfn.GAMMA.DIST(B91,C$10,C$11,1)</f>
        <v>9.6449396156542883E-2</v>
      </c>
      <c r="E91" s="259">
        <f t="shared" si="41"/>
        <v>3.5</v>
      </c>
      <c r="F91" s="260">
        <f t="shared" ref="F91:F119" si="48">_xlfn.GAMMA.DIST(E91,D$10,D$11,0)</f>
        <v>3.8086198494262237E-2</v>
      </c>
      <c r="G91" s="261">
        <f t="shared" ref="G91:G119" si="49">_xlfn.GAMMA.DIST(E91,D$10,D$11,1)</f>
        <v>9.6449396156542883E-2</v>
      </c>
      <c r="I91" s="259">
        <f t="shared" si="42"/>
        <v>2345.3611760694494</v>
      </c>
      <c r="J91" s="260">
        <f t="shared" ref="J91:J119" si="50">_xlfn.GAMMA.DIST(I91,J$10,J$11,0)</f>
        <v>7.2116376793598464E-5</v>
      </c>
      <c r="K91" s="261">
        <f t="shared" ref="K91:K119" si="51">_xlfn.GAMMA.DIST(I91,J$10,J$11,1)</f>
        <v>0.2366672841381123</v>
      </c>
      <c r="L91" s="259">
        <f t="shared" si="43"/>
        <v>0.97499999999999998</v>
      </c>
      <c r="M91" s="260">
        <f t="shared" ref="M91:M119" si="52">_xlfn.GAMMA.DIST(L91,K$10,K$11,0)</f>
        <v>0.17347584645179659</v>
      </c>
      <c r="N91" s="261">
        <f t="shared" ref="N91:N119" si="53">_xlfn.GAMMA.DIST(L91,K$10,K$11,1)</f>
        <v>0.23666728413811233</v>
      </c>
      <c r="P91" s="259">
        <f t="shared" si="44"/>
        <v>85.491322553636834</v>
      </c>
      <c r="Q91" s="260">
        <f t="shared" ref="Q91:Q119" si="54">_xlfn.GAMMA.DIST(P91,Q$10,Q$11,0)</f>
        <v>7.9278656165225614E-4</v>
      </c>
      <c r="R91" s="261">
        <f t="shared" ref="R91:R119" si="55">_xlfn.GAMMA.DIST(P91,Q$10,Q$11,1)</f>
        <v>2.8367984124928934E-2</v>
      </c>
      <c r="S91" s="259">
        <f t="shared" si="45"/>
        <v>0.14443730603591284</v>
      </c>
      <c r="T91" s="260">
        <f t="shared" ref="T91:T119" si="56">_xlfn.GAMMA.DIST(S91,R$10,R$11,0)</f>
        <v>0.46924422449107317</v>
      </c>
      <c r="U91" s="261">
        <f t="shared" ref="U91:U119" si="57">_xlfn.GAMMA.DIST(S91,R$10,R$11,1)</f>
        <v>2.8367984124928934E-2</v>
      </c>
      <c r="X91" s="49">
        <f t="shared" si="39"/>
        <v>2091</v>
      </c>
      <c r="Y91" s="197">
        <f t="shared" si="26"/>
        <v>6.9</v>
      </c>
      <c r="Z91" s="19">
        <f>'global path'!C78</f>
        <v>0</v>
      </c>
      <c r="AA91" s="198">
        <f t="shared" si="27"/>
        <v>0</v>
      </c>
      <c r="AB91" s="295">
        <v>7.5851374704768056E-3</v>
      </c>
      <c r="AC91" s="280">
        <f t="shared" si="28"/>
        <v>7.5851144297882636E-3</v>
      </c>
      <c r="AD91" s="150">
        <f t="shared" si="36"/>
        <v>1.2</v>
      </c>
      <c r="AE91" s="150">
        <f t="shared" si="29"/>
        <v>9.1021373157459153E-3</v>
      </c>
      <c r="AF91" s="280">
        <f t="shared" si="30"/>
        <v>7.5608511789537342E-3</v>
      </c>
      <c r="AG91" s="150">
        <f t="shared" si="37"/>
        <v>4</v>
      </c>
      <c r="AH91" s="150">
        <f t="shared" si="31"/>
        <v>3.0243404715814937E-2</v>
      </c>
      <c r="AI91" s="280">
        <f t="shared" si="32"/>
        <v>7.5851147126394817E-3</v>
      </c>
      <c r="AJ91" s="150">
        <f t="shared" si="38"/>
        <v>1.7000000000000004</v>
      </c>
      <c r="AK91" s="150">
        <f t="shared" si="33"/>
        <v>1.2894695011487121E-2</v>
      </c>
      <c r="AL91" s="284">
        <f t="shared" si="34"/>
        <v>5.2240237043047977E-2</v>
      </c>
      <c r="AM91" s="198">
        <f t="shared" si="35"/>
        <v>2.7290423663138422E-3</v>
      </c>
    </row>
    <row r="92" spans="2:39" x14ac:dyDescent="0.25">
      <c r="B92" s="259">
        <f t="shared" si="40"/>
        <v>16387.582314205079</v>
      </c>
      <c r="C92" s="260">
        <f t="shared" si="46"/>
        <v>1.3126952147521096E-5</v>
      </c>
      <c r="D92" s="261">
        <f t="shared" si="47"/>
        <v>0.16613451062632881</v>
      </c>
      <c r="E92" s="259">
        <f t="shared" si="41"/>
        <v>5.25</v>
      </c>
      <c r="F92" s="260">
        <f t="shared" si="48"/>
        <v>4.0975049305168224E-2</v>
      </c>
      <c r="G92" s="261">
        <f t="shared" si="49"/>
        <v>0.16613451062632884</v>
      </c>
      <c r="I92" s="259">
        <f t="shared" si="42"/>
        <v>3518.041764104174</v>
      </c>
      <c r="J92" s="260">
        <f t="shared" si="50"/>
        <v>6.1031530210479212E-5</v>
      </c>
      <c r="K92" s="261">
        <f t="shared" si="51"/>
        <v>0.31432353550348563</v>
      </c>
      <c r="L92" s="259">
        <f t="shared" si="43"/>
        <v>1.4624999999999999</v>
      </c>
      <c r="M92" s="260">
        <f t="shared" si="52"/>
        <v>0.14681126304796682</v>
      </c>
      <c r="N92" s="261">
        <f t="shared" si="53"/>
        <v>0.31432353550348563</v>
      </c>
      <c r="P92" s="259">
        <f t="shared" si="44"/>
        <v>128.23698383045524</v>
      </c>
      <c r="Q92" s="260">
        <f t="shared" si="54"/>
        <v>1.2378448659772653E-3</v>
      </c>
      <c r="R92" s="261">
        <f t="shared" si="55"/>
        <v>7.2111727350621269E-2</v>
      </c>
      <c r="S92" s="259">
        <f t="shared" si="45"/>
        <v>0.21665595905386925</v>
      </c>
      <c r="T92" s="260">
        <f t="shared" si="56"/>
        <v>0.73267078716016387</v>
      </c>
      <c r="U92" s="261">
        <f t="shared" si="57"/>
        <v>7.2111727350621282E-2</v>
      </c>
      <c r="X92" s="49">
        <f t="shared" si="39"/>
        <v>2092</v>
      </c>
      <c r="Y92" s="197">
        <f t="shared" si="26"/>
        <v>6.9</v>
      </c>
      <c r="Z92" s="19">
        <f>'global path'!C79</f>
        <v>0</v>
      </c>
      <c r="AA92" s="198">
        <f t="shared" si="27"/>
        <v>0</v>
      </c>
      <c r="AB92" s="295">
        <v>6.9381149101415676E-3</v>
      </c>
      <c r="AC92" s="280">
        <f t="shared" si="28"/>
        <v>6.9380965820061216E-3</v>
      </c>
      <c r="AD92" s="150">
        <f t="shared" si="36"/>
        <v>1.2</v>
      </c>
      <c r="AE92" s="150">
        <f t="shared" si="29"/>
        <v>8.3257158984073459E-3</v>
      </c>
      <c r="AF92" s="280">
        <f t="shared" si="30"/>
        <v>6.9173939813477262E-3</v>
      </c>
      <c r="AG92" s="150">
        <f t="shared" si="37"/>
        <v>4</v>
      </c>
      <c r="AH92" s="150">
        <f t="shared" si="31"/>
        <v>2.7669575925390905E-2</v>
      </c>
      <c r="AI92" s="280">
        <f t="shared" si="32"/>
        <v>6.9380986487465064E-3</v>
      </c>
      <c r="AJ92" s="150">
        <f t="shared" si="38"/>
        <v>1.7000000000000004</v>
      </c>
      <c r="AK92" s="150">
        <f t="shared" si="33"/>
        <v>1.1794767702869063E-2</v>
      </c>
      <c r="AL92" s="284">
        <f t="shared" si="34"/>
        <v>4.7790059526667317E-2</v>
      </c>
      <c r="AM92" s="198">
        <f t="shared" si="35"/>
        <v>2.2838897895624054E-3</v>
      </c>
    </row>
    <row r="93" spans="2:39" x14ac:dyDescent="0.25">
      <c r="B93" s="259">
        <f t="shared" si="40"/>
        <v>21850.109752273442</v>
      </c>
      <c r="C93" s="260">
        <f t="shared" si="46"/>
        <v>1.3210732824055933E-5</v>
      </c>
      <c r="D93" s="261">
        <f t="shared" si="47"/>
        <v>0.23835084217028882</v>
      </c>
      <c r="E93" s="259">
        <f t="shared" si="41"/>
        <v>7</v>
      </c>
      <c r="F93" s="260">
        <f t="shared" si="48"/>
        <v>4.1236566016226196E-2</v>
      </c>
      <c r="G93" s="261">
        <f t="shared" si="49"/>
        <v>0.23835084217028882</v>
      </c>
      <c r="I93" s="259">
        <f t="shared" si="42"/>
        <v>4690.7223521388987</v>
      </c>
      <c r="J93" s="260">
        <f t="shared" si="50"/>
        <v>5.3000011379456514E-5</v>
      </c>
      <c r="K93" s="261">
        <f t="shared" si="51"/>
        <v>0.38097343383876903</v>
      </c>
      <c r="L93" s="259">
        <f t="shared" si="43"/>
        <v>1.95</v>
      </c>
      <c r="M93" s="260">
        <f t="shared" si="52"/>
        <v>0.12749145540576035</v>
      </c>
      <c r="N93" s="261">
        <f t="shared" si="53"/>
        <v>0.38097343383876903</v>
      </c>
      <c r="P93" s="259">
        <f t="shared" si="44"/>
        <v>170.98264510727367</v>
      </c>
      <c r="Q93" s="260">
        <f t="shared" si="54"/>
        <v>1.5660862434094145E-3</v>
      </c>
      <c r="R93" s="261">
        <f t="shared" si="55"/>
        <v>0.13250179628731423</v>
      </c>
      <c r="S93" s="259">
        <f t="shared" si="45"/>
        <v>0.28887461207182569</v>
      </c>
      <c r="T93" s="260">
        <f t="shared" si="56"/>
        <v>0.92695431572808551</v>
      </c>
      <c r="U93" s="261">
        <f t="shared" si="57"/>
        <v>0.13250179628731423</v>
      </c>
      <c r="X93" s="49">
        <f t="shared" si="39"/>
        <v>2093</v>
      </c>
      <c r="Y93" s="197">
        <f t="shared" si="26"/>
        <v>6.9</v>
      </c>
      <c r="Z93" s="19">
        <f>'global path'!C80</f>
        <v>0</v>
      </c>
      <c r="AA93" s="198">
        <f t="shared" si="27"/>
        <v>0</v>
      </c>
      <c r="AB93" s="295">
        <v>6.315065693608117E-3</v>
      </c>
      <c r="AC93" s="280">
        <f t="shared" si="28"/>
        <v>6.3150512975460281E-3</v>
      </c>
      <c r="AD93" s="150">
        <f t="shared" si="36"/>
        <v>1.2</v>
      </c>
      <c r="AE93" s="150">
        <f t="shared" si="29"/>
        <v>7.5780615570552332E-3</v>
      </c>
      <c r="AF93" s="280">
        <f t="shared" si="30"/>
        <v>6.2975413223402693E-3</v>
      </c>
      <c r="AG93" s="150">
        <f t="shared" si="37"/>
        <v>4</v>
      </c>
      <c r="AH93" s="150">
        <f t="shared" si="31"/>
        <v>2.5190165289361077E-2</v>
      </c>
      <c r="AI93" s="280">
        <f t="shared" si="32"/>
        <v>6.3150542897180756E-3</v>
      </c>
      <c r="AJ93" s="150">
        <f t="shared" si="38"/>
        <v>1.7000000000000004</v>
      </c>
      <c r="AK93" s="150">
        <f t="shared" si="33"/>
        <v>1.073559229252073E-2</v>
      </c>
      <c r="AL93" s="284">
        <f t="shared" si="34"/>
        <v>4.3503819138937042E-2</v>
      </c>
      <c r="AM93" s="198">
        <f t="shared" si="35"/>
        <v>1.8925822796733449E-3</v>
      </c>
    </row>
    <row r="94" spans="2:39" x14ac:dyDescent="0.25">
      <c r="B94" s="259">
        <f t="shared" si="40"/>
        <v>27312.637190341804</v>
      </c>
      <c r="C94" s="260">
        <f t="shared" si="46"/>
        <v>1.2817568481142324E-5</v>
      </c>
      <c r="D94" s="261">
        <f t="shared" si="47"/>
        <v>0.30960288044274464</v>
      </c>
      <c r="E94" s="259">
        <f t="shared" si="41"/>
        <v>8.75</v>
      </c>
      <c r="F94" s="260">
        <f t="shared" si="48"/>
        <v>4.0009325438605789E-2</v>
      </c>
      <c r="G94" s="261">
        <f t="shared" si="49"/>
        <v>0.30960288044274459</v>
      </c>
      <c r="I94" s="259">
        <f t="shared" si="42"/>
        <v>5863.4029401736234</v>
      </c>
      <c r="J94" s="260">
        <f t="shared" si="50"/>
        <v>4.66804869083778E-5</v>
      </c>
      <c r="K94" s="261">
        <f t="shared" si="51"/>
        <v>0.43928873929881307</v>
      </c>
      <c r="L94" s="259">
        <f t="shared" si="43"/>
        <v>2.4375</v>
      </c>
      <c r="M94" s="260">
        <f t="shared" si="52"/>
        <v>0.1122898478717205</v>
      </c>
      <c r="N94" s="261">
        <f t="shared" si="53"/>
        <v>0.43928873929881307</v>
      </c>
      <c r="P94" s="259">
        <f t="shared" si="44"/>
        <v>213.72830638409209</v>
      </c>
      <c r="Q94" s="260">
        <f t="shared" si="54"/>
        <v>1.7656502885043906E-3</v>
      </c>
      <c r="R94" s="261">
        <f t="shared" si="55"/>
        <v>0.20415360500719276</v>
      </c>
      <c r="S94" s="259">
        <f t="shared" si="45"/>
        <v>0.36109326508978212</v>
      </c>
      <c r="T94" s="260">
        <f t="shared" si="56"/>
        <v>1.0450747280894259</v>
      </c>
      <c r="U94" s="261">
        <f t="shared" si="57"/>
        <v>0.20415360500719282</v>
      </c>
      <c r="X94" s="49">
        <f t="shared" si="39"/>
        <v>2094</v>
      </c>
      <c r="Y94" s="197">
        <f t="shared" si="26"/>
        <v>6.9</v>
      </c>
      <c r="Z94" s="19">
        <f>'global path'!C81</f>
        <v>0</v>
      </c>
      <c r="AA94" s="198">
        <f t="shared" si="27"/>
        <v>0</v>
      </c>
      <c r="AB94" s="295">
        <v>5.7259994270515476E-3</v>
      </c>
      <c r="AC94" s="280">
        <f t="shared" si="28"/>
        <v>5.7259882300891036E-3</v>
      </c>
      <c r="AD94" s="150">
        <f t="shared" si="36"/>
        <v>1.2</v>
      </c>
      <c r="AE94" s="150">
        <f t="shared" si="29"/>
        <v>6.8711858761069241E-3</v>
      </c>
      <c r="AF94" s="280">
        <f t="shared" si="30"/>
        <v>5.711279242719595E-3</v>
      </c>
      <c r="AG94" s="150">
        <f t="shared" si="37"/>
        <v>4</v>
      </c>
      <c r="AH94" s="150">
        <f t="shared" si="31"/>
        <v>2.284511697087838E-2</v>
      </c>
      <c r="AI94" s="280">
        <f t="shared" si="32"/>
        <v>5.7259915453636368E-3</v>
      </c>
      <c r="AJ94" s="150">
        <f t="shared" si="38"/>
        <v>1.7000000000000004</v>
      </c>
      <c r="AK94" s="150">
        <f t="shared" si="33"/>
        <v>9.7341856271181849E-3</v>
      </c>
      <c r="AL94" s="284">
        <f t="shared" si="34"/>
        <v>3.9450488474103491E-2</v>
      </c>
      <c r="AM94" s="198">
        <f t="shared" si="35"/>
        <v>1.5563410408453724E-3</v>
      </c>
    </row>
    <row r="95" spans="2:39" x14ac:dyDescent="0.25">
      <c r="B95" s="259">
        <f t="shared" si="40"/>
        <v>32775.164628410159</v>
      </c>
      <c r="C95" s="260">
        <f t="shared" si="46"/>
        <v>1.2151705700761641E-5</v>
      </c>
      <c r="D95" s="261">
        <f t="shared" si="47"/>
        <v>0.37789148994972649</v>
      </c>
      <c r="E95" s="259">
        <f t="shared" si="41"/>
        <v>10.5</v>
      </c>
      <c r="F95" s="260">
        <f t="shared" si="48"/>
        <v>3.7930871891281241E-2</v>
      </c>
      <c r="G95" s="261">
        <f t="shared" si="49"/>
        <v>0.37789148994972649</v>
      </c>
      <c r="I95" s="259">
        <f t="shared" si="42"/>
        <v>7036.0835282083481</v>
      </c>
      <c r="J95" s="260">
        <f t="shared" si="50"/>
        <v>4.1483656080438643E-5</v>
      </c>
      <c r="K95" s="261">
        <f t="shared" si="51"/>
        <v>0.49089169517724751</v>
      </c>
      <c r="L95" s="259">
        <f t="shared" si="43"/>
        <v>2.9249999999999998</v>
      </c>
      <c r="M95" s="260">
        <f t="shared" si="52"/>
        <v>9.9788878371772444E-2</v>
      </c>
      <c r="N95" s="261">
        <f t="shared" si="53"/>
        <v>0.49089169517724751</v>
      </c>
      <c r="P95" s="259">
        <f t="shared" si="44"/>
        <v>256.47396766091049</v>
      </c>
      <c r="Q95" s="260">
        <f t="shared" si="54"/>
        <v>1.850671794696895E-3</v>
      </c>
      <c r="R95" s="261">
        <f t="shared" si="55"/>
        <v>0.2818135296438577</v>
      </c>
      <c r="S95" s="259">
        <f t="shared" si="45"/>
        <v>0.4333119181077385</v>
      </c>
      <c r="T95" s="260">
        <f t="shared" si="56"/>
        <v>1.095398298982476</v>
      </c>
      <c r="U95" s="261">
        <f t="shared" si="57"/>
        <v>0.28181352964385786</v>
      </c>
      <c r="X95" s="49">
        <f t="shared" si="39"/>
        <v>2095</v>
      </c>
      <c r="Y95" s="197">
        <f t="shared" si="26"/>
        <v>6.9</v>
      </c>
      <c r="Z95" s="19">
        <f>'global path'!C82</f>
        <v>0</v>
      </c>
      <c r="AA95" s="198">
        <f t="shared" si="27"/>
        <v>0</v>
      </c>
      <c r="AB95" s="295">
        <v>5.1758639851444393E-3</v>
      </c>
      <c r="AC95" s="280">
        <f t="shared" si="28"/>
        <v>5.1758553451818085E-3</v>
      </c>
      <c r="AD95" s="150">
        <f t="shared" si="36"/>
        <v>1.2</v>
      </c>
      <c r="AE95" s="150">
        <f t="shared" si="29"/>
        <v>6.2110264142181699E-3</v>
      </c>
      <c r="AF95" s="280">
        <f t="shared" si="30"/>
        <v>5.1635671489413289E-3</v>
      </c>
      <c r="AG95" s="150">
        <f t="shared" si="37"/>
        <v>4</v>
      </c>
      <c r="AH95" s="150">
        <f t="shared" si="31"/>
        <v>2.0654268595765315E-2</v>
      </c>
      <c r="AI95" s="280">
        <f t="shared" si="32"/>
        <v>5.1758586016131267E-3</v>
      </c>
      <c r="AJ95" s="150">
        <f t="shared" si="38"/>
        <v>1.7000000000000004</v>
      </c>
      <c r="AK95" s="150">
        <f t="shared" si="33"/>
        <v>8.7989596227423181E-3</v>
      </c>
      <c r="AL95" s="284">
        <f t="shared" si="34"/>
        <v>3.5664254632725802E-2</v>
      </c>
      <c r="AM95" s="198">
        <f t="shared" si="35"/>
        <v>1.2719390585079037E-3</v>
      </c>
    </row>
    <row r="96" spans="2:39" x14ac:dyDescent="0.25">
      <c r="B96" s="259">
        <f t="shared" si="40"/>
        <v>38237.692066478521</v>
      </c>
      <c r="C96" s="260">
        <f t="shared" si="46"/>
        <v>1.1337972558858284E-5</v>
      </c>
      <c r="D96" s="261">
        <f t="shared" si="47"/>
        <v>0.44209433144301391</v>
      </c>
      <c r="E96" s="259">
        <f t="shared" si="41"/>
        <v>12.25</v>
      </c>
      <c r="F96" s="260">
        <f t="shared" si="48"/>
        <v>3.539084925418829E-2</v>
      </c>
      <c r="G96" s="261">
        <f t="shared" si="49"/>
        <v>0.44209433144301391</v>
      </c>
      <c r="I96" s="259">
        <f t="shared" si="42"/>
        <v>8208.7641162430737</v>
      </c>
      <c r="J96" s="260">
        <f t="shared" si="50"/>
        <v>3.7093495903651719E-5</v>
      </c>
      <c r="K96" s="261">
        <f t="shared" si="51"/>
        <v>0.5368967144480441</v>
      </c>
      <c r="L96" s="259">
        <f t="shared" si="43"/>
        <v>3.4125000000000001</v>
      </c>
      <c r="M96" s="260">
        <f t="shared" si="52"/>
        <v>8.9228354027811194E-2</v>
      </c>
      <c r="N96" s="261">
        <f t="shared" si="53"/>
        <v>0.5368967144480441</v>
      </c>
      <c r="P96" s="259">
        <f t="shared" si="44"/>
        <v>299.21962893772894</v>
      </c>
      <c r="Q96" s="260">
        <f t="shared" si="54"/>
        <v>1.8446028950576765E-3</v>
      </c>
      <c r="R96" s="261">
        <f t="shared" si="55"/>
        <v>0.36107175075791254</v>
      </c>
      <c r="S96" s="259">
        <f t="shared" si="45"/>
        <v>0.50553057112569499</v>
      </c>
      <c r="T96" s="260">
        <f t="shared" si="56"/>
        <v>1.0918061642989818</v>
      </c>
      <c r="U96" s="261">
        <f t="shared" si="57"/>
        <v>0.36107175075791276</v>
      </c>
      <c r="X96" s="49">
        <f t="shared" si="39"/>
        <v>2096</v>
      </c>
      <c r="Y96" s="197">
        <f t="shared" si="26"/>
        <v>6.9</v>
      </c>
      <c r="Z96" s="19">
        <f>'global path'!C83</f>
        <v>0</v>
      </c>
      <c r="AA96" s="198">
        <f t="shared" si="27"/>
        <v>0</v>
      </c>
      <c r="AB96" s="295">
        <v>4.6677302469298795E-3</v>
      </c>
      <c r="AC96" s="280">
        <f t="shared" si="28"/>
        <v>4.6677236196723537E-3</v>
      </c>
      <c r="AD96" s="150">
        <f t="shared" si="36"/>
        <v>1.2</v>
      </c>
      <c r="AE96" s="150">
        <f t="shared" si="29"/>
        <v>5.6012683436068239E-3</v>
      </c>
      <c r="AF96" s="280">
        <f t="shared" si="30"/>
        <v>4.6575002321145934E-3</v>
      </c>
      <c r="AG96" s="150">
        <f t="shared" si="37"/>
        <v>4</v>
      </c>
      <c r="AH96" s="150">
        <f t="shared" si="31"/>
        <v>1.8630000928458373E-2</v>
      </c>
      <c r="AI96" s="280">
        <f t="shared" si="32"/>
        <v>4.6677266022818395E-3</v>
      </c>
      <c r="AJ96" s="150">
        <f t="shared" si="38"/>
        <v>1.7000000000000004</v>
      </c>
      <c r="AK96" s="150">
        <f t="shared" si="33"/>
        <v>7.9351352238791282E-3</v>
      </c>
      <c r="AL96" s="284">
        <f t="shared" si="34"/>
        <v>3.2166404495944323E-2</v>
      </c>
      <c r="AM96" s="198">
        <f t="shared" si="35"/>
        <v>1.0346775781967072E-3</v>
      </c>
    </row>
    <row r="97" spans="2:42" x14ac:dyDescent="0.25">
      <c r="B97" s="259">
        <f t="shared" si="40"/>
        <v>43700.219504546883</v>
      </c>
      <c r="C97" s="260">
        <f t="shared" si="46"/>
        <v>1.0455835101803326E-5</v>
      </c>
      <c r="D97" s="261">
        <f t="shared" si="47"/>
        <v>0.50163656570464987</v>
      </c>
      <c r="E97" s="259">
        <f t="shared" si="41"/>
        <v>14</v>
      </c>
      <c r="F97" s="260">
        <f t="shared" si="48"/>
        <v>3.2637306360867972E-2</v>
      </c>
      <c r="G97" s="261">
        <f t="shared" si="49"/>
        <v>0.50163656570464987</v>
      </c>
      <c r="I97" s="259">
        <f t="shared" si="42"/>
        <v>9381.4447042777974</v>
      </c>
      <c r="J97" s="260">
        <f t="shared" si="50"/>
        <v>3.3318038945595543E-5</v>
      </c>
      <c r="K97" s="261">
        <f t="shared" si="51"/>
        <v>0.57812882034421342</v>
      </c>
      <c r="L97" s="259">
        <f t="shared" si="43"/>
        <v>3.9</v>
      </c>
      <c r="M97" s="260">
        <f t="shared" si="52"/>
        <v>8.0146497441815068E-2</v>
      </c>
      <c r="N97" s="261">
        <f t="shared" si="53"/>
        <v>0.57812882034421365</v>
      </c>
      <c r="P97" s="259">
        <f t="shared" si="44"/>
        <v>341.96529021454734</v>
      </c>
      <c r="Q97" s="260">
        <f t="shared" si="54"/>
        <v>1.7720772603062548E-3</v>
      </c>
      <c r="R97" s="261">
        <f t="shared" si="55"/>
        <v>0.43856548968562503</v>
      </c>
      <c r="S97" s="259">
        <f t="shared" si="45"/>
        <v>0.57774922414365137</v>
      </c>
      <c r="T97" s="260">
        <f t="shared" si="56"/>
        <v>1.0488788029121705</v>
      </c>
      <c r="U97" s="261">
        <f t="shared" si="57"/>
        <v>0.43856548968562503</v>
      </c>
      <c r="X97" s="49">
        <f t="shared" si="39"/>
        <v>2097</v>
      </c>
      <c r="Y97" s="197">
        <f t="shared" si="26"/>
        <v>6.9</v>
      </c>
      <c r="Z97" s="19">
        <f>'global path'!C84</f>
        <v>0</v>
      </c>
      <c r="AA97" s="198">
        <f t="shared" si="27"/>
        <v>0</v>
      </c>
      <c r="AB97" s="295">
        <v>4.2007891999259707E-3</v>
      </c>
      <c r="AC97" s="280">
        <f t="shared" si="28"/>
        <v>4.2007841434162745E-3</v>
      </c>
      <c r="AD97" s="150">
        <f t="shared" si="36"/>
        <v>1.2</v>
      </c>
      <c r="AE97" s="150">
        <f t="shared" si="29"/>
        <v>5.0409409720995292E-3</v>
      </c>
      <c r="AF97" s="280">
        <f t="shared" si="30"/>
        <v>4.1923099114435898E-3</v>
      </c>
      <c r="AG97" s="150">
        <f t="shared" si="37"/>
        <v>4</v>
      </c>
      <c r="AH97" s="150">
        <f t="shared" si="31"/>
        <v>1.6769239645774359E-2</v>
      </c>
      <c r="AI97" s="280">
        <f t="shared" si="32"/>
        <v>4.2007867519624027E-3</v>
      </c>
      <c r="AJ97" s="150">
        <f t="shared" si="38"/>
        <v>1.7000000000000004</v>
      </c>
      <c r="AK97" s="150">
        <f t="shared" si="33"/>
        <v>7.1413374783360862E-3</v>
      </c>
      <c r="AL97" s="284">
        <f t="shared" si="34"/>
        <v>2.8951518096209976E-2</v>
      </c>
      <c r="AM97" s="198">
        <f t="shared" si="35"/>
        <v>8.3819040007517378E-4</v>
      </c>
    </row>
    <row r="98" spans="2:42" x14ac:dyDescent="0.25">
      <c r="B98" s="259">
        <f t="shared" si="40"/>
        <v>49162.746942615246</v>
      </c>
      <c r="C98" s="260">
        <f t="shared" si="46"/>
        <v>9.5566581583864956E-6</v>
      </c>
      <c r="D98" s="261">
        <f t="shared" si="47"/>
        <v>0.55629496118854993</v>
      </c>
      <c r="E98" s="259">
        <f t="shared" si="41"/>
        <v>15.75</v>
      </c>
      <c r="F98" s="260">
        <f t="shared" si="48"/>
        <v>2.9830575660814901E-2</v>
      </c>
      <c r="G98" s="261">
        <f t="shared" si="49"/>
        <v>0.55629496118854993</v>
      </c>
      <c r="I98" s="259">
        <f t="shared" si="42"/>
        <v>10554.125292312521</v>
      </c>
      <c r="J98" s="260">
        <f t="shared" si="50"/>
        <v>3.0030239084398271E-5</v>
      </c>
      <c r="K98" s="261">
        <f t="shared" si="51"/>
        <v>0.61522970044943937</v>
      </c>
      <c r="L98" s="259">
        <f t="shared" si="43"/>
        <v>4.3875000000000002</v>
      </c>
      <c r="M98" s="260">
        <f t="shared" si="52"/>
        <v>7.2237699340134423E-2</v>
      </c>
      <c r="N98" s="261">
        <f t="shared" si="53"/>
        <v>0.61522970044943948</v>
      </c>
      <c r="P98" s="259">
        <f t="shared" si="44"/>
        <v>384.71095149136573</v>
      </c>
      <c r="Q98" s="260">
        <f t="shared" si="54"/>
        <v>1.655186475614933E-3</v>
      </c>
      <c r="R98" s="261">
        <f t="shared" si="55"/>
        <v>0.51193877495456519</v>
      </c>
      <c r="S98" s="259">
        <f t="shared" si="45"/>
        <v>0.64996787716160775</v>
      </c>
      <c r="T98" s="260">
        <f t="shared" si="56"/>
        <v>0.97969205295223438</v>
      </c>
      <c r="U98" s="261">
        <f t="shared" si="57"/>
        <v>0.51193877495456519</v>
      </c>
      <c r="X98" s="49">
        <f t="shared" si="39"/>
        <v>2098</v>
      </c>
      <c r="Y98" s="197">
        <f t="shared" si="26"/>
        <v>6.9</v>
      </c>
      <c r="Z98" s="19">
        <f>'global path'!C85</f>
        <v>0</v>
      </c>
      <c r="AA98" s="198">
        <f t="shared" si="27"/>
        <v>0</v>
      </c>
      <c r="AB98" s="295">
        <v>3.7744039788667658E-3</v>
      </c>
      <c r="AC98" s="280">
        <f t="shared" si="28"/>
        <v>3.7744001369245965E-3</v>
      </c>
      <c r="AD98" s="150">
        <f t="shared" si="36"/>
        <v>1.2</v>
      </c>
      <c r="AE98" s="150">
        <f t="shared" si="29"/>
        <v>4.5292801643095158E-3</v>
      </c>
      <c r="AF98" s="280">
        <f t="shared" si="30"/>
        <v>3.7673961831304111E-3</v>
      </c>
      <c r="AG98" s="150">
        <f t="shared" si="37"/>
        <v>4</v>
      </c>
      <c r="AH98" s="150">
        <f t="shared" si="31"/>
        <v>1.5069584732521644E-2</v>
      </c>
      <c r="AI98" s="280">
        <f t="shared" si="32"/>
        <v>3.7744023449283867E-3</v>
      </c>
      <c r="AJ98" s="150">
        <f t="shared" si="38"/>
        <v>1.7000000000000004</v>
      </c>
      <c r="AK98" s="150">
        <f t="shared" si="33"/>
        <v>6.4164839863782592E-3</v>
      </c>
      <c r="AL98" s="284">
        <f t="shared" si="34"/>
        <v>2.6015348883209416E-2</v>
      </c>
      <c r="AM98" s="198">
        <f t="shared" si="35"/>
        <v>6.7679837751510538E-4</v>
      </c>
    </row>
    <row r="99" spans="2:42" x14ac:dyDescent="0.25">
      <c r="B99" s="259">
        <f t="shared" si="40"/>
        <v>54625.274380683608</v>
      </c>
      <c r="C99" s="260">
        <f t="shared" si="46"/>
        <v>8.6735310513764995E-6</v>
      </c>
      <c r="D99" s="261">
        <f t="shared" si="47"/>
        <v>0.60607353295985589</v>
      </c>
      <c r="E99" s="259">
        <f t="shared" si="41"/>
        <v>17.5</v>
      </c>
      <c r="F99" s="260">
        <f t="shared" si="48"/>
        <v>2.7073943630332591E-2</v>
      </c>
      <c r="G99" s="261">
        <f t="shared" si="49"/>
        <v>0.60607353295985567</v>
      </c>
      <c r="I99" s="259">
        <f t="shared" si="42"/>
        <v>11726.805880347247</v>
      </c>
      <c r="J99" s="260">
        <f t="shared" si="50"/>
        <v>2.7140606505588842E-5</v>
      </c>
      <c r="K99" s="261">
        <f t="shared" si="51"/>
        <v>0.648715921902566</v>
      </c>
      <c r="L99" s="259">
        <f t="shared" si="43"/>
        <v>4.875</v>
      </c>
      <c r="M99" s="260">
        <f t="shared" si="52"/>
        <v>6.5286692095575374E-2</v>
      </c>
      <c r="N99" s="261">
        <f t="shared" si="53"/>
        <v>0.648715921902566</v>
      </c>
      <c r="P99" s="259">
        <f t="shared" si="44"/>
        <v>427.45661276818419</v>
      </c>
      <c r="Q99" s="260">
        <f t="shared" si="54"/>
        <v>1.5120824028086587E-3</v>
      </c>
      <c r="R99" s="261">
        <f t="shared" si="55"/>
        <v>0.5796980657080687</v>
      </c>
      <c r="S99" s="259">
        <f t="shared" si="45"/>
        <v>0.72218653017956425</v>
      </c>
      <c r="T99" s="260">
        <f t="shared" si="56"/>
        <v>0.89498986081927923</v>
      </c>
      <c r="U99" s="261">
        <f t="shared" si="57"/>
        <v>0.57969806570806814</v>
      </c>
      <c r="X99" s="49">
        <f t="shared" si="39"/>
        <v>2099</v>
      </c>
      <c r="Y99" s="197">
        <f t="shared" si="26"/>
        <v>6.9</v>
      </c>
      <c r="Z99" s="19">
        <f>'global path'!C86</f>
        <v>0</v>
      </c>
      <c r="AA99" s="198">
        <f t="shared" si="27"/>
        <v>0</v>
      </c>
      <c r="AB99" s="295">
        <v>3.386789572647291E-3</v>
      </c>
      <c r="AC99" s="280">
        <f t="shared" si="28"/>
        <v>3.3867866634883308E-3</v>
      </c>
      <c r="AD99" s="150">
        <f t="shared" si="36"/>
        <v>1.2</v>
      </c>
      <c r="AE99" s="150">
        <f t="shared" si="29"/>
        <v>4.0641439961859966E-3</v>
      </c>
      <c r="AF99" s="280">
        <f t="shared" si="30"/>
        <v>3.3810116213600296E-3</v>
      </c>
      <c r="AG99" s="150">
        <f t="shared" si="37"/>
        <v>4</v>
      </c>
      <c r="AH99" s="150">
        <f t="shared" si="31"/>
        <v>1.3524046485440118E-2</v>
      </c>
      <c r="AI99" s="280">
        <f t="shared" si="32"/>
        <v>3.3867884876175917E-3</v>
      </c>
      <c r="AJ99" s="150">
        <f t="shared" si="38"/>
        <v>1.7000000000000004</v>
      </c>
      <c r="AK99" s="150">
        <f t="shared" si="33"/>
        <v>5.7575404289499071E-3</v>
      </c>
      <c r="AL99" s="284">
        <f t="shared" si="34"/>
        <v>2.3345730910576023E-2</v>
      </c>
      <c r="AM99" s="198">
        <f t="shared" si="35"/>
        <v>5.4502315174902475E-4</v>
      </c>
    </row>
    <row r="100" spans="2:42" ht="15.75" thickBot="1" x14ac:dyDescent="0.3">
      <c r="B100" s="259">
        <f t="shared" si="40"/>
        <v>60087.801818751963</v>
      </c>
      <c r="C100" s="260">
        <f t="shared" si="46"/>
        <v>7.8273044654169554E-6</v>
      </c>
      <c r="D100" s="261">
        <f t="shared" si="47"/>
        <v>0.65112145074222227</v>
      </c>
      <c r="E100" s="259">
        <f t="shared" si="41"/>
        <v>19.25</v>
      </c>
      <c r="F100" s="260">
        <f t="shared" si="48"/>
        <v>2.4432494519117207E-2</v>
      </c>
      <c r="G100" s="261">
        <f t="shared" si="49"/>
        <v>0.65112145074222227</v>
      </c>
      <c r="I100" s="259">
        <f t="shared" si="42"/>
        <v>12899.486468381972</v>
      </c>
      <c r="J100" s="260">
        <f t="shared" si="50"/>
        <v>2.4583069518692369E-5</v>
      </c>
      <c r="K100" s="261">
        <f t="shared" si="51"/>
        <v>0.67901384214980998</v>
      </c>
      <c r="L100" s="259">
        <f t="shared" si="43"/>
        <v>5.3624999999999998</v>
      </c>
      <c r="M100" s="260">
        <f t="shared" si="52"/>
        <v>5.913454034641781E-2</v>
      </c>
      <c r="N100" s="261">
        <f t="shared" si="53"/>
        <v>0.67901384214980998</v>
      </c>
      <c r="P100" s="259">
        <f t="shared" si="44"/>
        <v>470.20227404500258</v>
      </c>
      <c r="Q100" s="260">
        <f t="shared" si="54"/>
        <v>1.3567763645852553E-3</v>
      </c>
      <c r="R100" s="261">
        <f t="shared" si="55"/>
        <v>0.64103664089928203</v>
      </c>
      <c r="S100" s="259">
        <f t="shared" si="45"/>
        <v>0.79440518319752063</v>
      </c>
      <c r="T100" s="260">
        <f t="shared" si="56"/>
        <v>0.80306541987890911</v>
      </c>
      <c r="U100" s="261">
        <f t="shared" si="57"/>
        <v>0.64103664089928225</v>
      </c>
      <c r="X100" s="49">
        <f t="shared" si="39"/>
        <v>2100</v>
      </c>
      <c r="Y100" s="197">
        <f t="shared" si="26"/>
        <v>6.9</v>
      </c>
      <c r="Z100" s="19">
        <f>'global path'!C87</f>
        <v>0</v>
      </c>
      <c r="AA100" s="198">
        <f t="shared" si="27"/>
        <v>0</v>
      </c>
      <c r="AB100" s="295">
        <v>3.0498859703359154E-3</v>
      </c>
      <c r="AC100" s="280">
        <f t="shared" si="28"/>
        <v>3.0498837471494926E-3</v>
      </c>
      <c r="AD100" s="150">
        <f t="shared" si="36"/>
        <v>1.2</v>
      </c>
      <c r="AE100" s="150">
        <f t="shared" si="29"/>
        <v>3.6598604965793909E-3</v>
      </c>
      <c r="AF100" s="280">
        <f t="shared" si="30"/>
        <v>3.0450915533473009E-3</v>
      </c>
      <c r="AG100" s="150">
        <f t="shared" si="37"/>
        <v>4</v>
      </c>
      <c r="AH100" s="150">
        <f t="shared" si="31"/>
        <v>1.2180366213389204E-2</v>
      </c>
      <c r="AI100" s="280">
        <f t="shared" si="32"/>
        <v>3.0498852400589554E-3</v>
      </c>
      <c r="AJ100" s="150">
        <f t="shared" si="38"/>
        <v>1.7000000000000004</v>
      </c>
      <c r="AK100" s="150">
        <f t="shared" si="33"/>
        <v>5.1848049081002255E-3</v>
      </c>
      <c r="AL100" s="284">
        <f t="shared" si="34"/>
        <v>2.1025031618068818E-2</v>
      </c>
      <c r="AM100" s="198">
        <f t="shared" si="35"/>
        <v>4.4205195454079352E-4</v>
      </c>
    </row>
    <row r="101" spans="2:42" ht="15.75" thickBot="1" x14ac:dyDescent="0.3">
      <c r="B101" s="259">
        <f t="shared" si="40"/>
        <v>65550.329256820318</v>
      </c>
      <c r="C101" s="260">
        <f t="shared" si="46"/>
        <v>7.030496708258795E-6</v>
      </c>
      <c r="D101" s="261">
        <f t="shared" si="47"/>
        <v>0.69167758869460316</v>
      </c>
      <c r="E101" s="259">
        <f t="shared" si="41"/>
        <v>21</v>
      </c>
      <c r="F101" s="260">
        <f t="shared" si="48"/>
        <v>2.194530352692169E-2</v>
      </c>
      <c r="G101" s="261">
        <f t="shared" si="49"/>
        <v>0.69167758869460338</v>
      </c>
      <c r="I101" s="259">
        <f t="shared" si="42"/>
        <v>14072.167056416696</v>
      </c>
      <c r="J101" s="260">
        <f t="shared" si="50"/>
        <v>2.2307037570041193E-5</v>
      </c>
      <c r="K101" s="261">
        <f t="shared" si="51"/>
        <v>0.70648200006125406</v>
      </c>
      <c r="L101" s="259">
        <f t="shared" si="43"/>
        <v>5.85</v>
      </c>
      <c r="M101" s="260">
        <f t="shared" si="52"/>
        <v>5.3659548584509949E-2</v>
      </c>
      <c r="N101" s="261">
        <f t="shared" si="53"/>
        <v>0.70648200006125406</v>
      </c>
      <c r="P101" s="259">
        <f t="shared" si="44"/>
        <v>512.94793532182098</v>
      </c>
      <c r="Q101" s="260">
        <f t="shared" si="54"/>
        <v>1.1995102603785635E-3</v>
      </c>
      <c r="R101" s="261">
        <f t="shared" si="55"/>
        <v>0.69566425084546069</v>
      </c>
      <c r="S101" s="259">
        <f t="shared" si="45"/>
        <v>0.86662383621547701</v>
      </c>
      <c r="T101" s="260">
        <f t="shared" si="56"/>
        <v>0.70998083106675525</v>
      </c>
      <c r="U101" s="261">
        <f t="shared" si="57"/>
        <v>0.69566425084546069</v>
      </c>
      <c r="X101" s="143" t="s">
        <v>1</v>
      </c>
      <c r="Y101" s="273"/>
      <c r="Z101" s="274">
        <f>SUM(Z20:Z100)</f>
        <v>683.96620539064213</v>
      </c>
      <c r="AA101" s="275"/>
      <c r="AB101" s="278"/>
      <c r="AC101" s="281"/>
      <c r="AD101" s="276"/>
      <c r="AE101" s="274">
        <f>SUM(AE20:AE100)</f>
        <v>251.83671766083694</v>
      </c>
      <c r="AF101" s="281"/>
      <c r="AG101" s="276"/>
      <c r="AH101" s="274">
        <f>SUM(AH20:AH100)</f>
        <v>389.13562261960476</v>
      </c>
      <c r="AI101" s="281"/>
      <c r="AJ101" s="276"/>
      <c r="AK101" s="274">
        <f>SUM(AK20:AK100)</f>
        <v>44.041520129685388</v>
      </c>
      <c r="AL101" s="670" t="s">
        <v>72</v>
      </c>
      <c r="AM101" s="671">
        <f>SUM(AM20:AM100)</f>
        <v>6.4355366612206089E-2</v>
      </c>
    </row>
    <row r="102" spans="2:42" x14ac:dyDescent="0.25">
      <c r="B102" s="259">
        <f t="shared" si="40"/>
        <v>71012.856694888687</v>
      </c>
      <c r="C102" s="260">
        <f t="shared" si="46"/>
        <v>6.2899132678377711E-6</v>
      </c>
      <c r="D102" s="261">
        <f t="shared" si="47"/>
        <v>0.72803262235892841</v>
      </c>
      <c r="E102" s="259">
        <f t="shared" si="41"/>
        <v>22.75</v>
      </c>
      <c r="F102" s="260">
        <f t="shared" si="48"/>
        <v>1.9633613604933743E-2</v>
      </c>
      <c r="G102" s="261">
        <f t="shared" si="49"/>
        <v>0.72803262235892841</v>
      </c>
      <c r="I102" s="259">
        <f t="shared" si="42"/>
        <v>15244.84764445142</v>
      </c>
      <c r="J102" s="260">
        <f t="shared" si="50"/>
        <v>2.0272645173574713E-5</v>
      </c>
      <c r="K102" s="261">
        <f t="shared" si="51"/>
        <v>0.7314262582731148</v>
      </c>
      <c r="L102" s="259">
        <f t="shared" si="43"/>
        <v>6.3374999999999995</v>
      </c>
      <c r="M102" s="260">
        <f t="shared" si="52"/>
        <v>4.8765820437265468E-2</v>
      </c>
      <c r="N102" s="261">
        <f t="shared" si="53"/>
        <v>0.7314262582731148</v>
      </c>
      <c r="P102" s="259">
        <f t="shared" si="44"/>
        <v>555.69359659863937</v>
      </c>
      <c r="Q102" s="260">
        <f t="shared" si="54"/>
        <v>1.0473559250262162E-3</v>
      </c>
      <c r="R102" s="261">
        <f t="shared" si="55"/>
        <v>0.74365839126891919</v>
      </c>
      <c r="S102" s="259">
        <f t="shared" si="45"/>
        <v>0.9388424892334335</v>
      </c>
      <c r="T102" s="260">
        <f t="shared" si="56"/>
        <v>0.61992185864097837</v>
      </c>
      <c r="U102" s="261">
        <f t="shared" si="57"/>
        <v>0.74365839126891942</v>
      </c>
    </row>
    <row r="103" spans="2:42" x14ac:dyDescent="0.25">
      <c r="B103" s="259">
        <f t="shared" si="40"/>
        <v>76475.384132957042</v>
      </c>
      <c r="C103" s="260">
        <f t="shared" si="46"/>
        <v>5.6084472957465745E-6</v>
      </c>
      <c r="D103" s="261">
        <f t="shared" si="47"/>
        <v>0.76050303839373101</v>
      </c>
      <c r="E103" s="259">
        <f t="shared" si="41"/>
        <v>24.5</v>
      </c>
      <c r="F103" s="260">
        <f t="shared" si="48"/>
        <v>1.7506455564557693E-2</v>
      </c>
      <c r="G103" s="261">
        <f t="shared" si="49"/>
        <v>0.76050303839373101</v>
      </c>
      <c r="I103" s="259">
        <f t="shared" si="42"/>
        <v>16417.528232486147</v>
      </c>
      <c r="J103" s="260">
        <f t="shared" si="50"/>
        <v>1.844774733483673E-5</v>
      </c>
      <c r="K103" s="261">
        <f t="shared" si="51"/>
        <v>0.75411049122913054</v>
      </c>
      <c r="L103" s="259">
        <f t="shared" si="43"/>
        <v>6.8250000000000002</v>
      </c>
      <c r="M103" s="260">
        <f t="shared" si="52"/>
        <v>4.4376031164168953E-2</v>
      </c>
      <c r="N103" s="261">
        <f t="shared" si="53"/>
        <v>0.75411049122913054</v>
      </c>
      <c r="P103" s="259">
        <f t="shared" si="44"/>
        <v>598.43925787545788</v>
      </c>
      <c r="Q103" s="260">
        <f t="shared" si="54"/>
        <v>9.0485968378055555E-4</v>
      </c>
      <c r="R103" s="261">
        <f t="shared" si="55"/>
        <v>0.78534261801000804</v>
      </c>
      <c r="S103" s="259">
        <f t="shared" si="45"/>
        <v>1.01106114225139</v>
      </c>
      <c r="T103" s="260">
        <f t="shared" si="56"/>
        <v>0.53557943730016044</v>
      </c>
      <c r="U103" s="261">
        <f t="shared" si="57"/>
        <v>0.78534261801000815</v>
      </c>
      <c r="AA103" s="3"/>
      <c r="AD103" s="480" t="s">
        <v>41</v>
      </c>
      <c r="AE103" s="647">
        <f>'global path'!C2</f>
        <v>3</v>
      </c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2:42" x14ac:dyDescent="0.25">
      <c r="B104" s="259">
        <f t="shared" si="40"/>
        <v>81937.911571025412</v>
      </c>
      <c r="C104" s="260">
        <f t="shared" si="46"/>
        <v>4.9863378013582308E-6</v>
      </c>
      <c r="D104" s="261">
        <f t="shared" si="47"/>
        <v>0.78941340097734902</v>
      </c>
      <c r="E104" s="259">
        <f t="shared" si="41"/>
        <v>26.25</v>
      </c>
      <c r="F104" s="260">
        <f t="shared" si="48"/>
        <v>1.5564575460226743E-2</v>
      </c>
      <c r="G104" s="261">
        <f t="shared" si="49"/>
        <v>0.78941340097734902</v>
      </c>
      <c r="I104" s="259">
        <f t="shared" si="42"/>
        <v>17590.208820520871</v>
      </c>
      <c r="J104" s="260">
        <f t="shared" si="50"/>
        <v>1.6805936498939658E-5</v>
      </c>
      <c r="K104" s="261">
        <f t="shared" si="51"/>
        <v>0.77476439971835998</v>
      </c>
      <c r="L104" s="259">
        <f t="shared" si="43"/>
        <v>7.3125</v>
      </c>
      <c r="M104" s="260">
        <f t="shared" si="52"/>
        <v>4.0426657427796511E-2</v>
      </c>
      <c r="N104" s="261">
        <f t="shared" si="53"/>
        <v>0.77476439971835998</v>
      </c>
      <c r="P104" s="259">
        <f t="shared" si="44"/>
        <v>641.18491915227628</v>
      </c>
      <c r="Q104" s="260">
        <f t="shared" si="54"/>
        <v>7.7464115313304093E-4</v>
      </c>
      <c r="R104" s="261">
        <f t="shared" si="55"/>
        <v>0.82119164736939376</v>
      </c>
      <c r="S104" s="259">
        <f t="shared" si="45"/>
        <v>1.0832797952693463</v>
      </c>
      <c r="T104" s="260">
        <f t="shared" si="56"/>
        <v>0.45850409775263878</v>
      </c>
      <c r="U104" s="261">
        <f t="shared" si="57"/>
        <v>0.82119164736939376</v>
      </c>
      <c r="AA104" s="3"/>
      <c r="AD104" s="655">
        <v>2</v>
      </c>
      <c r="AE104" s="684">
        <v>269.62970205103386</v>
      </c>
      <c r="AF104" s="619"/>
      <c r="AG104" s="619"/>
      <c r="AH104" s="684">
        <v>379.81845048201433</v>
      </c>
      <c r="AI104" s="619"/>
      <c r="AJ104" s="619"/>
      <c r="AK104" s="684">
        <v>35.64500914283628</v>
      </c>
      <c r="AL104" s="619"/>
      <c r="AM104" s="648">
        <f>AE104+AH104+AK104</f>
        <v>685.09316167588452</v>
      </c>
      <c r="AN104" s="637" t="s">
        <v>79</v>
      </c>
      <c r="AO104" s="3"/>
    </row>
    <row r="105" spans="2:42" x14ac:dyDescent="0.25">
      <c r="B105" s="259">
        <f t="shared" si="40"/>
        <v>87400.439009093767</v>
      </c>
      <c r="C105" s="260">
        <f t="shared" si="46"/>
        <v>4.4220580768652843E-6</v>
      </c>
      <c r="D105" s="261">
        <f t="shared" si="47"/>
        <v>0.81508441900276762</v>
      </c>
      <c r="E105" s="259">
        <f t="shared" si="41"/>
        <v>28</v>
      </c>
      <c r="F105" s="260">
        <f t="shared" si="48"/>
        <v>1.3803207758633385E-2</v>
      </c>
      <c r="G105" s="261">
        <f t="shared" si="49"/>
        <v>0.81508441900276762</v>
      </c>
      <c r="I105" s="259">
        <f t="shared" si="42"/>
        <v>18762.889408555595</v>
      </c>
      <c r="J105" s="260">
        <f t="shared" si="50"/>
        <v>1.5325184444214432E-5</v>
      </c>
      <c r="K105" s="261">
        <f t="shared" si="51"/>
        <v>0.79358939489921465</v>
      </c>
      <c r="L105" s="259">
        <f t="shared" si="43"/>
        <v>7.8</v>
      </c>
      <c r="M105" s="260">
        <f t="shared" si="52"/>
        <v>3.6864710370834865E-2</v>
      </c>
      <c r="N105" s="261">
        <f t="shared" si="53"/>
        <v>0.79358939489921465</v>
      </c>
      <c r="P105" s="259">
        <f t="shared" si="44"/>
        <v>683.93058042909468</v>
      </c>
      <c r="Q105" s="260">
        <f t="shared" si="54"/>
        <v>6.5790743875872022E-4</v>
      </c>
      <c r="R105" s="261">
        <f t="shared" si="55"/>
        <v>0.85176032038690375</v>
      </c>
      <c r="S105" s="259">
        <f t="shared" si="45"/>
        <v>1.1554984482873027</v>
      </c>
      <c r="T105" s="260">
        <f t="shared" si="56"/>
        <v>0.38941031649658431</v>
      </c>
      <c r="U105" s="261">
        <f t="shared" si="57"/>
        <v>0.85176032038690375</v>
      </c>
      <c r="AA105" s="3"/>
      <c r="AD105" s="656">
        <v>1</v>
      </c>
      <c r="AE105" s="685">
        <v>220.84211947036036</v>
      </c>
      <c r="AF105" s="621"/>
      <c r="AG105" s="621"/>
      <c r="AH105" s="685">
        <v>404.81878572545918</v>
      </c>
      <c r="AI105" s="621"/>
      <c r="AJ105" s="621"/>
      <c r="AK105" s="685">
        <v>58.37257419502027</v>
      </c>
      <c r="AL105" s="621"/>
      <c r="AM105" s="649">
        <f>AE105+AH105+AK105</f>
        <v>684.03347939083983</v>
      </c>
      <c r="AN105" s="700" t="s">
        <v>79</v>
      </c>
      <c r="AO105" s="3"/>
    </row>
    <row r="106" spans="2:42" x14ac:dyDescent="0.25">
      <c r="B106" s="259">
        <f t="shared" si="40"/>
        <v>92862.966447162122</v>
      </c>
      <c r="C106" s="260">
        <f t="shared" si="46"/>
        <v>3.9129463701988449E-6</v>
      </c>
      <c r="D106" s="261">
        <f t="shared" si="47"/>
        <v>0.83782512117050134</v>
      </c>
      <c r="E106" s="259">
        <f t="shared" si="41"/>
        <v>29.75</v>
      </c>
      <c r="F106" s="260">
        <f t="shared" si="48"/>
        <v>1.2214043949086392E-2</v>
      </c>
      <c r="G106" s="261">
        <f t="shared" si="49"/>
        <v>0.83782512117050145</v>
      </c>
      <c r="I106" s="259">
        <f t="shared" si="42"/>
        <v>19935.569996590319</v>
      </c>
      <c r="J106" s="260">
        <f t="shared" si="50"/>
        <v>1.3986882281458956E-5</v>
      </c>
      <c r="K106" s="261">
        <f t="shared" si="51"/>
        <v>0.81076313987521298</v>
      </c>
      <c r="L106" s="259">
        <f t="shared" si="43"/>
        <v>8.2874999999999996</v>
      </c>
      <c r="M106" s="260">
        <f t="shared" si="52"/>
        <v>3.364542633557694E-2</v>
      </c>
      <c r="N106" s="261">
        <f t="shared" si="53"/>
        <v>0.81076313987521298</v>
      </c>
      <c r="P106" s="259">
        <f t="shared" si="44"/>
        <v>726.67624170591307</v>
      </c>
      <c r="Q106" s="260">
        <f t="shared" si="54"/>
        <v>5.5487242611821318E-4</v>
      </c>
      <c r="R106" s="261">
        <f t="shared" si="55"/>
        <v>0.87763252218258803</v>
      </c>
      <c r="S106" s="259">
        <f t="shared" si="45"/>
        <v>1.2277171013052592</v>
      </c>
      <c r="T106" s="260">
        <f t="shared" si="56"/>
        <v>0.32842469067926611</v>
      </c>
      <c r="U106" s="261">
        <f t="shared" si="57"/>
        <v>0.87763252218258814</v>
      </c>
      <c r="AA106" s="3"/>
      <c r="AD106" s="656">
        <v>3</v>
      </c>
      <c r="AE106" s="685">
        <v>251.65867344728332</v>
      </c>
      <c r="AG106" s="621"/>
      <c r="AH106" s="685">
        <v>388.52702916459572</v>
      </c>
      <c r="AI106" s="621"/>
      <c r="AJ106" s="621"/>
      <c r="AK106" s="685">
        <v>43.780478278414826</v>
      </c>
      <c r="AL106" s="621"/>
      <c r="AM106" s="649">
        <f>SUM(AE106:AK106)</f>
        <v>683.96618089029391</v>
      </c>
      <c r="AN106" s="700" t="s">
        <v>79</v>
      </c>
    </row>
    <row r="107" spans="2:42" x14ac:dyDescent="0.25">
      <c r="B107" s="259">
        <f t="shared" si="40"/>
        <v>98325.493885230491</v>
      </c>
      <c r="C107" s="260">
        <f t="shared" si="46"/>
        <v>3.455653932286262E-6</v>
      </c>
      <c r="D107" s="261">
        <f t="shared" si="47"/>
        <v>0.85792794932757566</v>
      </c>
      <c r="E107" s="259">
        <f t="shared" si="41"/>
        <v>31.5</v>
      </c>
      <c r="F107" s="260">
        <f t="shared" si="48"/>
        <v>1.078663109804716E-2</v>
      </c>
      <c r="G107" s="261">
        <f t="shared" si="49"/>
        <v>0.85792794932757566</v>
      </c>
      <c r="I107" s="259">
        <f t="shared" si="42"/>
        <v>21108.250584625042</v>
      </c>
      <c r="J107" s="260">
        <f t="shared" si="50"/>
        <v>1.2775143022611036E-5</v>
      </c>
      <c r="K107" s="261">
        <f t="shared" si="51"/>
        <v>0.82644312968158173</v>
      </c>
      <c r="L107" s="259">
        <f t="shared" si="43"/>
        <v>8.7750000000000004</v>
      </c>
      <c r="M107" s="260">
        <f t="shared" si="52"/>
        <v>3.0730589193811726E-2</v>
      </c>
      <c r="N107" s="261">
        <f t="shared" si="53"/>
        <v>0.82644312968158185</v>
      </c>
      <c r="P107" s="259">
        <f t="shared" si="44"/>
        <v>769.42190298273147</v>
      </c>
      <c r="Q107" s="260">
        <f t="shared" si="54"/>
        <v>4.6508556979417138E-4</v>
      </c>
      <c r="R107" s="261">
        <f t="shared" si="55"/>
        <v>0.89938605839861252</v>
      </c>
      <c r="S107" s="259">
        <f t="shared" si="45"/>
        <v>1.2999357543232155</v>
      </c>
      <c r="T107" s="260">
        <f t="shared" si="56"/>
        <v>0.27528054595832296</v>
      </c>
      <c r="U107" s="261">
        <f t="shared" si="57"/>
        <v>0.89938605839861252</v>
      </c>
      <c r="AA107" s="3"/>
      <c r="AD107" s="657">
        <v>6</v>
      </c>
      <c r="AE107" s="699">
        <v>251.60139629882309</v>
      </c>
      <c r="AF107" s="245"/>
      <c r="AG107" s="624"/>
      <c r="AH107" s="686">
        <v>384.800766542058</v>
      </c>
      <c r="AI107" s="624"/>
      <c r="AJ107" s="624"/>
      <c r="AK107" s="686">
        <v>47.421772658231703</v>
      </c>
      <c r="AL107" s="624"/>
      <c r="AM107" s="695">
        <f>SUM(AE107:AK107)</f>
        <v>683.82393549911285</v>
      </c>
      <c r="AN107" s="638" t="s">
        <v>79</v>
      </c>
    </row>
    <row r="108" spans="2:42" x14ac:dyDescent="0.25">
      <c r="B108" s="259">
        <f t="shared" si="40"/>
        <v>103788.02132329885</v>
      </c>
      <c r="C108" s="260">
        <f t="shared" si="46"/>
        <v>3.0464621345654686E-6</v>
      </c>
      <c r="D108" s="261">
        <f t="shared" si="47"/>
        <v>0.87566592215953243</v>
      </c>
      <c r="E108" s="259">
        <f t="shared" si="41"/>
        <v>33.25</v>
      </c>
      <c r="F108" s="260">
        <f t="shared" si="48"/>
        <v>9.5093617137715306E-3</v>
      </c>
      <c r="G108" s="261">
        <f t="shared" si="49"/>
        <v>0.87566592215953243</v>
      </c>
      <c r="I108" s="259">
        <f t="shared" si="42"/>
        <v>22280.93117265977</v>
      </c>
      <c r="J108" s="260">
        <f t="shared" si="50"/>
        <v>1.1676282642251356E-5</v>
      </c>
      <c r="K108" s="261">
        <f t="shared" si="51"/>
        <v>0.84076956453182605</v>
      </c>
      <c r="L108" s="259">
        <f t="shared" si="43"/>
        <v>9.2624999999999993</v>
      </c>
      <c r="M108" s="260">
        <f t="shared" si="52"/>
        <v>2.8087282040974302E-2</v>
      </c>
      <c r="N108" s="261">
        <f t="shared" si="53"/>
        <v>0.84076956453182605</v>
      </c>
      <c r="P108" s="259">
        <f t="shared" si="44"/>
        <v>812.16756425954998</v>
      </c>
      <c r="Q108" s="260">
        <f t="shared" si="54"/>
        <v>3.8768129573961543E-4</v>
      </c>
      <c r="R108" s="261">
        <f t="shared" si="55"/>
        <v>0.91756984359427451</v>
      </c>
      <c r="S108" s="259">
        <f t="shared" si="45"/>
        <v>1.372154407341172</v>
      </c>
      <c r="T108" s="260">
        <f t="shared" si="56"/>
        <v>0.22946555576054967</v>
      </c>
      <c r="U108" s="261">
        <f t="shared" si="57"/>
        <v>0.91756984359427463</v>
      </c>
      <c r="AA108" s="3"/>
      <c r="AD108" s="656"/>
      <c r="AE108" s="3"/>
      <c r="AF108" s="3"/>
      <c r="AG108" s="3"/>
      <c r="AH108" s="3"/>
      <c r="AI108" s="3"/>
      <c r="AJ108" s="3"/>
      <c r="AK108" s="3"/>
      <c r="AL108" s="3"/>
      <c r="AM108" s="475"/>
      <c r="AO108" s="3"/>
    </row>
    <row r="109" spans="2:42" x14ac:dyDescent="0.25">
      <c r="B109" s="259">
        <f t="shared" si="40"/>
        <v>109250.54876136722</v>
      </c>
      <c r="C109" s="260">
        <f t="shared" si="46"/>
        <v>2.6815049599300951E-6</v>
      </c>
      <c r="D109" s="261">
        <f t="shared" si="47"/>
        <v>0.89129125886346117</v>
      </c>
      <c r="E109" s="259">
        <f t="shared" si="41"/>
        <v>35</v>
      </c>
      <c r="F109" s="260">
        <f t="shared" si="48"/>
        <v>8.3701682393911674E-3</v>
      </c>
      <c r="G109" s="261">
        <f t="shared" si="49"/>
        <v>0.89129125886346094</v>
      </c>
      <c r="I109" s="259">
        <f t="shared" si="42"/>
        <v>23453.611760694494</v>
      </c>
      <c r="J109" s="260">
        <f t="shared" si="50"/>
        <v>1.0678425746869667E-5</v>
      </c>
      <c r="K109" s="261">
        <f t="shared" si="51"/>
        <v>0.85386769179084865</v>
      </c>
      <c r="L109" s="259">
        <f t="shared" si="43"/>
        <v>9.75</v>
      </c>
      <c r="M109" s="260">
        <f t="shared" si="52"/>
        <v>2.5686938634101059E-2</v>
      </c>
      <c r="N109" s="261">
        <f t="shared" si="53"/>
        <v>0.85386769179084865</v>
      </c>
      <c r="P109" s="259">
        <f t="shared" si="44"/>
        <v>854.91322553636837</v>
      </c>
      <c r="Q109" s="260">
        <f t="shared" si="54"/>
        <v>3.215623446093897E-4</v>
      </c>
      <c r="R109" s="261">
        <f t="shared" si="55"/>
        <v>0.93269029041372897</v>
      </c>
      <c r="S109" s="259">
        <f t="shared" si="45"/>
        <v>1.4443730603591285</v>
      </c>
      <c r="T109" s="260">
        <f t="shared" si="56"/>
        <v>0.19033026077950899</v>
      </c>
      <c r="U109" s="261">
        <f t="shared" si="57"/>
        <v>0.93269029041372908</v>
      </c>
      <c r="AA109" s="3"/>
      <c r="AD109" s="655">
        <v>2</v>
      </c>
      <c r="AE109" s="702">
        <f>$AM109*'input data'!$C$11*$Z$101+(1-$AM109)*'input data'!$C$10*$Z$101</f>
        <v>318.32593578131457</v>
      </c>
      <c r="AF109" s="625"/>
      <c r="AG109" s="618"/>
      <c r="AH109" s="619">
        <f>$AM109*'input data'!$D$11*$Z$101+(1-$AM109)*'input data'!$D$10*$Z$101</f>
        <v>328.46271526575771</v>
      </c>
      <c r="AI109" s="625"/>
      <c r="AJ109" s="618"/>
      <c r="AK109" s="619">
        <f>$AM109*'input data'!$E$11*$Z$101+(1-$AM109)*'input data'!$E$10*$Z$101</f>
        <v>37.177554343569845</v>
      </c>
      <c r="AL109" s="618"/>
      <c r="AM109" s="650">
        <v>0.11492598734126944</v>
      </c>
      <c r="AN109" s="618" t="str">
        <f>RF!M108</f>
        <v>share population key</v>
      </c>
      <c r="AO109" s="232"/>
      <c r="AP109" s="677" t="s">
        <v>170</v>
      </c>
    </row>
    <row r="110" spans="2:42" x14ac:dyDescent="0.25">
      <c r="B110" s="259">
        <f t="shared" si="40"/>
        <v>114713.07619943557</v>
      </c>
      <c r="C110" s="260">
        <f t="shared" si="46"/>
        <v>2.3569227714884623E-6</v>
      </c>
      <c r="D110" s="261">
        <f t="shared" si="47"/>
        <v>0.90503502054355445</v>
      </c>
      <c r="E110" s="259">
        <f t="shared" si="41"/>
        <v>36.75</v>
      </c>
      <c r="F110" s="260">
        <f t="shared" si="48"/>
        <v>7.3570030335221998E-3</v>
      </c>
      <c r="G110" s="261">
        <f t="shared" si="49"/>
        <v>0.90503502054355445</v>
      </c>
      <c r="I110" s="259">
        <f t="shared" si="42"/>
        <v>24626.292348729217</v>
      </c>
      <c r="J110" s="260">
        <f t="shared" si="50"/>
        <v>9.771200310837731E-6</v>
      </c>
      <c r="K110" s="261">
        <f t="shared" si="51"/>
        <v>0.86584974056677433</v>
      </c>
      <c r="L110" s="259">
        <f t="shared" si="43"/>
        <v>10.237499999999999</v>
      </c>
      <c r="M110" s="260">
        <f t="shared" si="52"/>
        <v>2.3504609079627231E-2</v>
      </c>
      <c r="N110" s="261">
        <f t="shared" si="53"/>
        <v>0.86584974056677433</v>
      </c>
      <c r="P110" s="259">
        <f t="shared" si="44"/>
        <v>897.65888681318677</v>
      </c>
      <c r="Q110" s="260">
        <f t="shared" si="54"/>
        <v>2.6553020319378687E-4</v>
      </c>
      <c r="R110" s="261">
        <f t="shared" si="55"/>
        <v>0.94520436009207875</v>
      </c>
      <c r="S110" s="259">
        <f t="shared" si="45"/>
        <v>1.5165917133770848</v>
      </c>
      <c r="T110" s="260">
        <f t="shared" si="56"/>
        <v>0.15716527033070329</v>
      </c>
      <c r="U110" s="261">
        <f t="shared" si="57"/>
        <v>0.94520436009207875</v>
      </c>
      <c r="AA110" s="3"/>
      <c r="AD110" s="656">
        <v>1</v>
      </c>
      <c r="AE110" s="703">
        <f>$AM110*'input data'!$C$11*$Z$101+(1-$AM110)*'input data'!$C$10*$Z$101</f>
        <v>276.21039345281736</v>
      </c>
      <c r="AF110" s="519"/>
      <c r="AG110" s="11"/>
      <c r="AH110" s="621">
        <f>$AM110*'input data'!$D$11*$Z$101+(1-$AM110)*'input data'!$D$10*$Z$101</f>
        <v>342.83519638873224</v>
      </c>
      <c r="AI110" s="519"/>
      <c r="AJ110" s="11"/>
      <c r="AK110" s="621">
        <f>$AM110*'input data'!$E$11*$Z$101+(1-$AM110)*'input data'!$E$10*$Z$101</f>
        <v>64.920615549092517</v>
      </c>
      <c r="AL110" s="11"/>
      <c r="AM110" s="696">
        <v>0.30188682781792603</v>
      </c>
      <c r="AN110" s="11" t="str">
        <f>RF!M109</f>
        <v>share population key</v>
      </c>
      <c r="AO110" s="236"/>
      <c r="AP110" s="681" t="s">
        <v>170</v>
      </c>
    </row>
    <row r="111" spans="2:42" x14ac:dyDescent="0.25">
      <c r="B111" s="259">
        <f t="shared" si="40"/>
        <v>120175.60363750393</v>
      </c>
      <c r="C111" s="260">
        <f t="shared" si="46"/>
        <v>2.0689660744280265E-6</v>
      </c>
      <c r="D111" s="261">
        <f t="shared" si="47"/>
        <v>0.91710744776775177</v>
      </c>
      <c r="E111" s="259">
        <f t="shared" si="41"/>
        <v>38.5</v>
      </c>
      <c r="F111" s="260">
        <f t="shared" si="48"/>
        <v>6.4581622571403879E-3</v>
      </c>
      <c r="G111" s="261">
        <f t="shared" si="49"/>
        <v>0.91710744776775177</v>
      </c>
      <c r="I111" s="259">
        <f t="shared" si="42"/>
        <v>25798.972936763945</v>
      </c>
      <c r="J111" s="260">
        <f t="shared" si="50"/>
        <v>8.9454974319622013E-6</v>
      </c>
      <c r="K111" s="261">
        <f t="shared" si="51"/>
        <v>0.87681653838141071</v>
      </c>
      <c r="L111" s="259">
        <f t="shared" si="43"/>
        <v>10.725</v>
      </c>
      <c r="M111" s="260">
        <f t="shared" si="52"/>
        <v>2.1518381925695499E-2</v>
      </c>
      <c r="N111" s="261">
        <f t="shared" si="53"/>
        <v>0.8768165383814106</v>
      </c>
      <c r="P111" s="259">
        <f t="shared" si="44"/>
        <v>940.40454809000516</v>
      </c>
      <c r="Q111" s="260">
        <f t="shared" si="54"/>
        <v>2.183744319952509E-4</v>
      </c>
      <c r="R111" s="261">
        <f t="shared" si="55"/>
        <v>0.95551727082143367</v>
      </c>
      <c r="S111" s="259">
        <f t="shared" si="45"/>
        <v>1.5888103663950413</v>
      </c>
      <c r="T111" s="260">
        <f t="shared" si="56"/>
        <v>0.12925413465224378</v>
      </c>
      <c r="U111" s="261">
        <f t="shared" si="57"/>
        <v>0.95551727082143367</v>
      </c>
      <c r="AA111" s="3"/>
      <c r="AD111" s="656">
        <f>AD106</f>
        <v>3</v>
      </c>
      <c r="AE111" s="703">
        <f>$AM111*'input data'!$C$11*$Z$101+(1-$AM111)*'input data'!$C$10*$Z$101</f>
        <v>304.08371949532182</v>
      </c>
      <c r="AF111" s="519"/>
      <c r="AG111" s="11"/>
      <c r="AH111" s="621">
        <f>$AM111*'input data'!$D$11*$Z$101+(1-$AM111)*'input data'!$D$10*$Z$101</f>
        <v>333.32305834582877</v>
      </c>
      <c r="AI111" s="519"/>
      <c r="AJ111" s="11"/>
      <c r="AK111" s="621">
        <f>$AM111*'input data'!$E$11*$Z$101+(1-$AM111)*'input data'!$E$10*$Z$101</f>
        <v>46.559427549491581</v>
      </c>
      <c r="AL111" s="11"/>
      <c r="AM111" s="680">
        <v>0.17815054957794807</v>
      </c>
      <c r="AN111" s="462" t="s">
        <v>200</v>
      </c>
      <c r="AO111" s="97"/>
      <c r="AP111" s="681" t="s">
        <v>170</v>
      </c>
    </row>
    <row r="112" spans="2:42" x14ac:dyDescent="0.25">
      <c r="B112" s="259">
        <f t="shared" si="40"/>
        <v>125638.1310755723</v>
      </c>
      <c r="C112" s="260">
        <f t="shared" si="46"/>
        <v>1.8140629207486163E-6</v>
      </c>
      <c r="D112" s="261">
        <f t="shared" si="47"/>
        <v>0.92769876033568321</v>
      </c>
      <c r="E112" s="259">
        <f t="shared" si="41"/>
        <v>40.25</v>
      </c>
      <c r="F112" s="260">
        <f t="shared" si="48"/>
        <v>5.6624962736981409E-3</v>
      </c>
      <c r="G112" s="261">
        <f t="shared" si="49"/>
        <v>0.92769876033568321</v>
      </c>
      <c r="I112" s="259">
        <f t="shared" si="42"/>
        <v>26971.653524798669</v>
      </c>
      <c r="J112" s="260">
        <f t="shared" si="50"/>
        <v>8.1932794607711875E-6</v>
      </c>
      <c r="K112" s="261">
        <f t="shared" si="51"/>
        <v>0.8868588758271756</v>
      </c>
      <c r="L112" s="259">
        <f t="shared" si="43"/>
        <v>11.2125</v>
      </c>
      <c r="M112" s="260">
        <f t="shared" si="52"/>
        <v>1.9708922617415362E-2</v>
      </c>
      <c r="N112" s="261">
        <f t="shared" si="53"/>
        <v>0.8868588758271756</v>
      </c>
      <c r="P112" s="259">
        <f t="shared" si="44"/>
        <v>983.15020936682356</v>
      </c>
      <c r="Q112" s="260">
        <f t="shared" si="54"/>
        <v>1.7893091056675665E-4</v>
      </c>
      <c r="R112" s="261">
        <f t="shared" si="55"/>
        <v>0.96398332779998519</v>
      </c>
      <c r="S112" s="259">
        <f t="shared" si="45"/>
        <v>1.6610290194129977</v>
      </c>
      <c r="T112" s="260">
        <f t="shared" si="56"/>
        <v>0.10590781986943922</v>
      </c>
      <c r="U112" s="261">
        <f t="shared" si="57"/>
        <v>0.9639833277999853</v>
      </c>
      <c r="AA112" s="3"/>
      <c r="AD112" s="657">
        <f>AD107</f>
        <v>6</v>
      </c>
      <c r="AE112" s="704">
        <f>$AM112*'input data'!$C$11*$Z$101+(1-$AM112)*'input data'!$C$10*$Z$101</f>
        <v>298.34483488787106</v>
      </c>
      <c r="AF112" s="627"/>
      <c r="AG112" s="35"/>
      <c r="AH112" s="624">
        <f>$AM112*'input data'!$D$11*$Z$101+(1-$AM112)*'input data'!$D$10*$Z$101</f>
        <v>335.28152797787493</v>
      </c>
      <c r="AI112" s="627"/>
      <c r="AJ112" s="35"/>
      <c r="AK112" s="624">
        <f>$AM112*'input data'!$E$11*$Z$101+(1-$AM112)*'input data'!$E$10*$Z$101</f>
        <v>50.339842524896213</v>
      </c>
      <c r="AL112" s="35"/>
      <c r="AM112" s="628">
        <v>0.20362681392802243</v>
      </c>
      <c r="AN112" s="623" t="s">
        <v>200</v>
      </c>
      <c r="AO112" s="60"/>
      <c r="AP112" s="678" t="s">
        <v>170</v>
      </c>
    </row>
    <row r="113" spans="2:41" x14ac:dyDescent="0.25">
      <c r="B113" s="259">
        <f t="shared" si="40"/>
        <v>131100.65851364064</v>
      </c>
      <c r="C113" s="260">
        <f t="shared" si="46"/>
        <v>1.5888599812696596E-6</v>
      </c>
      <c r="D113" s="261">
        <f t="shared" si="47"/>
        <v>0.9369802494290761</v>
      </c>
      <c r="E113" s="259">
        <f t="shared" si="41"/>
        <v>42</v>
      </c>
      <c r="F113" s="260">
        <f t="shared" si="48"/>
        <v>4.9595378531053086E-3</v>
      </c>
      <c r="G113" s="261">
        <f t="shared" si="49"/>
        <v>0.93698024942907621</v>
      </c>
      <c r="I113" s="259">
        <f t="shared" si="42"/>
        <v>28144.334112833392</v>
      </c>
      <c r="J113" s="260">
        <f t="shared" si="50"/>
        <v>7.5074247415095854E-6</v>
      </c>
      <c r="K113" s="261">
        <f t="shared" si="51"/>
        <v>0.89605866865390427</v>
      </c>
      <c r="L113" s="259">
        <f t="shared" si="43"/>
        <v>11.7</v>
      </c>
      <c r="M113" s="260">
        <f t="shared" si="52"/>
        <v>1.8059100021538259E-2</v>
      </c>
      <c r="N113" s="261">
        <f t="shared" si="53"/>
        <v>0.89605866865390427</v>
      </c>
      <c r="P113" s="259">
        <f t="shared" si="44"/>
        <v>1025.895870643642</v>
      </c>
      <c r="Q113" s="260">
        <f t="shared" si="54"/>
        <v>1.4611717857203874E-4</v>
      </c>
      <c r="R113" s="261">
        <f t="shared" si="55"/>
        <v>0.97090872752007074</v>
      </c>
      <c r="S113" s="259">
        <f t="shared" si="45"/>
        <v>1.733247672430954</v>
      </c>
      <c r="T113" s="260">
        <f t="shared" si="56"/>
        <v>8.6485626094573942E-2</v>
      </c>
      <c r="U113" s="261">
        <f t="shared" si="57"/>
        <v>0.97090872752007074</v>
      </c>
      <c r="AA113" s="3"/>
      <c r="AD113" s="656"/>
      <c r="AE113" s="604"/>
      <c r="AF113" s="615"/>
      <c r="AG113" s="3"/>
      <c r="AH113" s="604"/>
      <c r="AI113" s="615"/>
      <c r="AJ113" s="3"/>
      <c r="AK113" s="604"/>
      <c r="AL113" s="3"/>
      <c r="AM113" s="652"/>
      <c r="AO113" s="3"/>
    </row>
    <row r="114" spans="2:41" x14ac:dyDescent="0.25">
      <c r="B114" s="259">
        <f t="shared" si="40"/>
        <v>136563.18595170902</v>
      </c>
      <c r="C114" s="260">
        <f t="shared" si="46"/>
        <v>1.3902446814858615E-6</v>
      </c>
      <c r="D114" s="261">
        <f t="shared" si="47"/>
        <v>0.9451055395195922</v>
      </c>
      <c r="E114" s="259">
        <f t="shared" si="41"/>
        <v>43.75</v>
      </c>
      <c r="F114" s="260">
        <f t="shared" si="48"/>
        <v>4.3395712675686439E-3</v>
      </c>
      <c r="G114" s="261">
        <f t="shared" si="49"/>
        <v>0.9451055395195922</v>
      </c>
      <c r="I114" s="259">
        <f t="shared" si="42"/>
        <v>29317.014700868116</v>
      </c>
      <c r="J114" s="260">
        <f t="shared" si="50"/>
        <v>6.8816004972145533E-6</v>
      </c>
      <c r="K114" s="261">
        <f t="shared" si="51"/>
        <v>0.90448995499046458</v>
      </c>
      <c r="L114" s="259">
        <f t="shared" si="43"/>
        <v>12.1875</v>
      </c>
      <c r="M114" s="260">
        <f t="shared" si="52"/>
        <v>1.6553680651679215E-2</v>
      </c>
      <c r="N114" s="261">
        <f t="shared" si="53"/>
        <v>0.90448995499046458</v>
      </c>
      <c r="P114" s="259">
        <f t="shared" si="44"/>
        <v>1068.6415319204605</v>
      </c>
      <c r="Q114" s="260">
        <f t="shared" si="54"/>
        <v>1.1895134796584667E-4</v>
      </c>
      <c r="R114" s="261">
        <f t="shared" si="55"/>
        <v>0.97655550132501456</v>
      </c>
      <c r="S114" s="259">
        <f t="shared" si="45"/>
        <v>1.8054663254489105</v>
      </c>
      <c r="T114" s="260">
        <f t="shared" si="56"/>
        <v>7.0406381399896731E-2</v>
      </c>
      <c r="U114" s="261">
        <f t="shared" si="57"/>
        <v>0.97655550132501467</v>
      </c>
      <c r="AD114" s="655">
        <v>2</v>
      </c>
      <c r="AE114" s="701">
        <f>(AE104-AE109)^2/AE104^2</f>
        <v>3.2617846373206062E-2</v>
      </c>
      <c r="AF114" s="618"/>
      <c r="AG114" s="618"/>
      <c r="AH114" s="629">
        <f>(AH104-AH109)^2/AH104^2</f>
        <v>1.8282087646901271E-2</v>
      </c>
      <c r="AI114" s="618"/>
      <c r="AJ114" s="618"/>
      <c r="AK114" s="629">
        <f>(AK104-AK109)^2/AK104^2</f>
        <v>1.8485411550537235E-3</v>
      </c>
      <c r="AL114" s="618"/>
      <c r="AM114" s="653">
        <f>AE114+AH114+AK114</f>
        <v>5.2748475175161055E-2</v>
      </c>
      <c r="AN114" s="634" t="s">
        <v>184</v>
      </c>
      <c r="AO114" s="11"/>
    </row>
    <row r="115" spans="2:41" x14ac:dyDescent="0.25">
      <c r="B115" s="259">
        <f t="shared" si="40"/>
        <v>142025.71338977737</v>
      </c>
      <c r="C115" s="260">
        <f t="shared" si="46"/>
        <v>1.2153538734509789E-6</v>
      </c>
      <c r="D115" s="261">
        <f t="shared" si="47"/>
        <v>0.95221193228851175</v>
      </c>
      <c r="E115" s="259">
        <f t="shared" si="41"/>
        <v>45.5</v>
      </c>
      <c r="F115" s="260">
        <f t="shared" si="48"/>
        <v>3.7936593603935054E-3</v>
      </c>
      <c r="G115" s="261">
        <f t="shared" si="49"/>
        <v>0.95221193228851175</v>
      </c>
      <c r="I115" s="259">
        <f t="shared" si="42"/>
        <v>30489.69528890284</v>
      </c>
      <c r="J115" s="260">
        <f t="shared" si="50"/>
        <v>6.3101576582956802E-6</v>
      </c>
      <c r="K115" s="261">
        <f t="shared" si="51"/>
        <v>0.91221975688603885</v>
      </c>
      <c r="L115" s="259">
        <f t="shared" si="43"/>
        <v>12.674999999999999</v>
      </c>
      <c r="M115" s="260">
        <f t="shared" si="52"/>
        <v>1.5179075678609226E-2</v>
      </c>
      <c r="N115" s="261">
        <f t="shared" si="53"/>
        <v>0.91221975688603896</v>
      </c>
      <c r="P115" s="259">
        <f t="shared" si="44"/>
        <v>1111.3871931972787</v>
      </c>
      <c r="Q115" s="260">
        <f t="shared" si="54"/>
        <v>9.6559586202882021E-5</v>
      </c>
      <c r="R115" s="261">
        <f t="shared" si="55"/>
        <v>0.98114600764558557</v>
      </c>
      <c r="S115" s="259">
        <f t="shared" si="45"/>
        <v>1.877684978466867</v>
      </c>
      <c r="T115" s="260">
        <f t="shared" si="56"/>
        <v>5.7152871071022023E-2</v>
      </c>
      <c r="U115" s="261">
        <f t="shared" si="57"/>
        <v>0.98114600764558557</v>
      </c>
      <c r="AD115" s="656">
        <v>1</v>
      </c>
      <c r="AE115" s="431">
        <f>(AE105-AE110)^2/AE105^2</f>
        <v>6.2857652479552606E-2</v>
      </c>
      <c r="AF115" s="11"/>
      <c r="AG115" s="11"/>
      <c r="AH115" s="682">
        <f>(AH105-AH110)^2/AH105^2</f>
        <v>2.3444022400971248E-2</v>
      </c>
      <c r="AI115" s="11"/>
      <c r="AJ115" s="11"/>
      <c r="AK115" s="682">
        <f>(AK105-AK110)^2/AK105^2</f>
        <v>1.2583606681884397E-2</v>
      </c>
      <c r="AL115" s="11"/>
      <c r="AM115" s="697">
        <f>AE115+AH115+AK115</f>
        <v>9.888528156240825E-2</v>
      </c>
      <c r="AN115" s="97" t="s">
        <v>184</v>
      </c>
      <c r="AO115" s="11"/>
    </row>
    <row r="116" spans="2:41" x14ac:dyDescent="0.25">
      <c r="B116" s="259">
        <f t="shared" si="40"/>
        <v>147488.24082784573</v>
      </c>
      <c r="C116" s="260">
        <f t="shared" si="46"/>
        <v>1.0615730951132585E-6</v>
      </c>
      <c r="D116" s="261">
        <f t="shared" si="47"/>
        <v>0.95842177063050049</v>
      </c>
      <c r="E116" s="259">
        <f t="shared" si="41"/>
        <v>47.25</v>
      </c>
      <c r="F116" s="260">
        <f t="shared" si="48"/>
        <v>3.313641234040759E-3</v>
      </c>
      <c r="G116" s="261">
        <f t="shared" si="49"/>
        <v>0.95842177063050049</v>
      </c>
      <c r="I116" s="259">
        <f t="shared" si="42"/>
        <v>31662.375876937567</v>
      </c>
      <c r="J116" s="260">
        <f t="shared" si="50"/>
        <v>5.7880430227817215E-6</v>
      </c>
      <c r="K116" s="261">
        <f t="shared" si="51"/>
        <v>0.91930882906987188</v>
      </c>
      <c r="L116" s="259">
        <f t="shared" si="43"/>
        <v>13.1625</v>
      </c>
      <c r="M116" s="260">
        <f t="shared" si="52"/>
        <v>1.3923129631848111E-2</v>
      </c>
      <c r="N116" s="261">
        <f t="shared" si="53"/>
        <v>0.91930882906987188</v>
      </c>
      <c r="P116" s="259">
        <f t="shared" si="44"/>
        <v>1154.1328544740973</v>
      </c>
      <c r="Q116" s="260">
        <f t="shared" si="54"/>
        <v>7.8175944550795383E-5</v>
      </c>
      <c r="R116" s="261">
        <f t="shared" si="55"/>
        <v>0.98486756896721517</v>
      </c>
      <c r="S116" s="259">
        <f t="shared" si="45"/>
        <v>1.9499036314848235</v>
      </c>
      <c r="T116" s="260">
        <f t="shared" si="56"/>
        <v>4.6271735986723003E-2</v>
      </c>
      <c r="U116" s="261">
        <f t="shared" si="57"/>
        <v>0.98486756896721517</v>
      </c>
      <c r="AD116" s="656">
        <f>AD107</f>
        <v>6</v>
      </c>
      <c r="AE116" s="431">
        <f>(AE106-AE111)^2/AE106^2</f>
        <v>4.339641315089092E-2</v>
      </c>
      <c r="AF116" s="11"/>
      <c r="AG116" s="11"/>
      <c r="AH116" s="682">
        <f>(AH106-AH111)^2/AH106^2</f>
        <v>2.0188226128816732E-2</v>
      </c>
      <c r="AI116" s="11"/>
      <c r="AJ116" s="11"/>
      <c r="AK116" s="682">
        <f>(AK106-AK111)^2/AK106^2</f>
        <v>4.0290275260433349E-3</v>
      </c>
      <c r="AL116" s="11"/>
      <c r="AM116" s="697">
        <f>AE116+AH116+AK116</f>
        <v>6.7613666805750983E-2</v>
      </c>
      <c r="AN116" s="97" t="s">
        <v>184</v>
      </c>
      <c r="AO116" s="11"/>
    </row>
    <row r="117" spans="2:41" x14ac:dyDescent="0.25">
      <c r="B117" s="259">
        <f t="shared" si="40"/>
        <v>152950.76826591408</v>
      </c>
      <c r="C117" s="260">
        <f t="shared" si="46"/>
        <v>9.2652941300448145E-7</v>
      </c>
      <c r="D117" s="261">
        <f t="shared" si="47"/>
        <v>0.96384377992050596</v>
      </c>
      <c r="E117" s="259">
        <f t="shared" si="41"/>
        <v>49</v>
      </c>
      <c r="F117" s="260">
        <f t="shared" si="48"/>
        <v>2.8921099089796298E-3</v>
      </c>
      <c r="G117" s="261">
        <f t="shared" si="49"/>
        <v>0.96384377992050596</v>
      </c>
      <c r="I117" s="259">
        <f t="shared" si="42"/>
        <v>32835.056464972295</v>
      </c>
      <c r="J117" s="260">
        <f t="shared" si="50"/>
        <v>5.3107252684986436E-6</v>
      </c>
      <c r="K117" s="261">
        <f t="shared" si="51"/>
        <v>0.92581231312040235</v>
      </c>
      <c r="L117" s="259">
        <f t="shared" si="43"/>
        <v>13.65</v>
      </c>
      <c r="M117" s="260">
        <f t="shared" si="52"/>
        <v>1.2774942422059203E-2</v>
      </c>
      <c r="N117" s="261">
        <f t="shared" si="53"/>
        <v>0.92581231312040235</v>
      </c>
      <c r="P117" s="259">
        <f t="shared" si="44"/>
        <v>1196.8785157509158</v>
      </c>
      <c r="Q117" s="260">
        <f t="shared" si="54"/>
        <v>6.3137318372077713E-5</v>
      </c>
      <c r="R117" s="261">
        <f t="shared" si="55"/>
        <v>0.98787698899666432</v>
      </c>
      <c r="S117" s="259">
        <f t="shared" si="45"/>
        <v>2.02212228450278</v>
      </c>
      <c r="T117" s="260">
        <f t="shared" si="56"/>
        <v>3.7370489648822967E-2</v>
      </c>
      <c r="U117" s="261">
        <f t="shared" si="57"/>
        <v>0.98787698899666432</v>
      </c>
      <c r="AD117" s="657">
        <f>AD108</f>
        <v>0</v>
      </c>
      <c r="AE117" s="432">
        <f>(AE107-AE112)^2/AE107^2</f>
        <v>3.4515583568901914E-2</v>
      </c>
      <c r="AF117" s="35"/>
      <c r="AG117" s="35"/>
      <c r="AH117" s="631">
        <f>(AH107-AH112)^2/AH107^2</f>
        <v>1.6560599684850307E-2</v>
      </c>
      <c r="AI117" s="35"/>
      <c r="AJ117" s="35"/>
      <c r="AK117" s="631">
        <f>(AK107-AK112)^2/AK107^2</f>
        <v>3.7864811875036319E-3</v>
      </c>
      <c r="AL117" s="35"/>
      <c r="AM117" s="654">
        <f>AE117+AH117+AK117</f>
        <v>5.4862664441255857E-2</v>
      </c>
      <c r="AN117" s="60" t="s">
        <v>184</v>
      </c>
      <c r="AO117" s="11"/>
    </row>
    <row r="118" spans="2:41" x14ac:dyDescent="0.25">
      <c r="B118" s="259">
        <f t="shared" si="40"/>
        <v>158413.29570398244</v>
      </c>
      <c r="C118" s="260">
        <f t="shared" si="46"/>
        <v>8.0808005637997529E-7</v>
      </c>
      <c r="D118" s="261">
        <f t="shared" si="47"/>
        <v>0.96857435783222545</v>
      </c>
      <c r="E118" s="259">
        <f t="shared" si="41"/>
        <v>50.75</v>
      </c>
      <c r="F118" s="260">
        <f t="shared" si="48"/>
        <v>2.5223768457893936E-3</v>
      </c>
      <c r="G118" s="261">
        <f t="shared" si="49"/>
        <v>0.96857435783222534</v>
      </c>
      <c r="I118" s="259">
        <f t="shared" si="42"/>
        <v>34007.737053007018</v>
      </c>
      <c r="J118" s="260">
        <f t="shared" si="50"/>
        <v>4.8741321566393911E-6</v>
      </c>
      <c r="K118" s="261">
        <f t="shared" si="51"/>
        <v>0.93178031165965125</v>
      </c>
      <c r="L118" s="259">
        <f t="shared" si="43"/>
        <v>14.137499999999999</v>
      </c>
      <c r="M118" s="260">
        <f t="shared" si="52"/>
        <v>1.1724718284321728E-2</v>
      </c>
      <c r="N118" s="261">
        <f t="shared" si="53"/>
        <v>0.93178031165965125</v>
      </c>
      <c r="P118" s="259">
        <f t="shared" si="44"/>
        <v>1239.624177027734</v>
      </c>
      <c r="Q118" s="260">
        <f t="shared" si="54"/>
        <v>5.0875550746258247E-5</v>
      </c>
      <c r="R118" s="261">
        <f t="shared" si="55"/>
        <v>0.9903047873511257</v>
      </c>
      <c r="S118" s="259">
        <f t="shared" si="45"/>
        <v>2.094340937520736</v>
      </c>
      <c r="T118" s="260">
        <f t="shared" si="56"/>
        <v>3.0112844377344208E-2</v>
      </c>
      <c r="U118" s="261">
        <f t="shared" si="57"/>
        <v>0.9903047873511257</v>
      </c>
    </row>
    <row r="119" spans="2:41" x14ac:dyDescent="0.25">
      <c r="B119" s="262">
        <f t="shared" si="40"/>
        <v>163875.82314205082</v>
      </c>
      <c r="C119" s="263">
        <f t="shared" si="46"/>
        <v>7.0429846109136119E-7</v>
      </c>
      <c r="D119" s="264">
        <f t="shared" si="47"/>
        <v>0.97269879437013784</v>
      </c>
      <c r="E119" s="262">
        <f t="shared" si="41"/>
        <v>52.5</v>
      </c>
      <c r="F119" s="263">
        <f t="shared" si="48"/>
        <v>2.1984283818862185E-3</v>
      </c>
      <c r="G119" s="264">
        <f t="shared" si="49"/>
        <v>0.97269879437013784</v>
      </c>
      <c r="I119" s="262">
        <f t="shared" si="42"/>
        <v>35180.417641041742</v>
      </c>
      <c r="J119" s="263">
        <f t="shared" si="50"/>
        <v>4.4745968674340528E-6</v>
      </c>
      <c r="K119" s="264">
        <f t="shared" si="51"/>
        <v>0.93725839443905767</v>
      </c>
      <c r="L119" s="262">
        <f t="shared" si="43"/>
        <v>14.625</v>
      </c>
      <c r="M119" s="263">
        <f t="shared" si="52"/>
        <v>1.0763636688658261E-2</v>
      </c>
      <c r="N119" s="264">
        <f t="shared" si="53"/>
        <v>0.93725839443905767</v>
      </c>
      <c r="P119" s="262">
        <f t="shared" si="44"/>
        <v>1282.3698383045526</v>
      </c>
      <c r="Q119" s="263">
        <f t="shared" si="54"/>
        <v>4.0908094500583081E-5</v>
      </c>
      <c r="R119" s="264">
        <f t="shared" si="55"/>
        <v>0.99225906174629519</v>
      </c>
      <c r="S119" s="262">
        <f t="shared" si="45"/>
        <v>2.1665595905386925</v>
      </c>
      <c r="T119" s="263">
        <f t="shared" si="56"/>
        <v>2.4213184238803521E-2</v>
      </c>
      <c r="U119" s="264">
        <f t="shared" si="57"/>
        <v>0.99225906174629519</v>
      </c>
    </row>
  </sheetData>
  <mergeCells count="7">
    <mergeCell ref="D2:E2"/>
    <mergeCell ref="AL15:AM15"/>
    <mergeCell ref="Y15:AA15"/>
    <mergeCell ref="X4:AF6"/>
    <mergeCell ref="AC15:AE15"/>
    <mergeCell ref="AF15:AH15"/>
    <mergeCell ref="AI15:AK15"/>
  </mergeCells>
  <conditionalFormatting sqref="AM114:AM117">
    <cfRule type="cellIs" dxfId="24" priority="1" operator="between">
      <formula>-0.001</formula>
      <formula>0.001</formula>
    </cfRule>
  </conditionalFormatting>
  <hyperlinks>
    <hyperlink ref="C4" r:id="rId1"/>
    <hyperlink ref="T3" r:id="rId2"/>
  </hyperlinks>
  <pageMargins left="0.7" right="0.7" top="0.78740157499999996" bottom="0.78740157499999996" header="0.3" footer="0.3"/>
  <pageSetup paperSize="9" orientation="portrait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43349" r:id="rId6" name="Button 341">
              <controlPr defaultSize="0" print="0" autoFill="0" autoPict="0" macro="[0]!Solver_EPM">
                <anchor moveWithCells="1" sizeWithCells="1">
                  <from>
                    <xdr:col>33</xdr:col>
                    <xdr:colOff>361950</xdr:colOff>
                    <xdr:row>1</xdr:row>
                    <xdr:rowOff>171450</xdr:rowOff>
                  </from>
                  <to>
                    <xdr:col>35</xdr:col>
                    <xdr:colOff>219075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tabColor rgb="FF00B0F0"/>
    <pageSetUpPr fitToPage="1"/>
  </sheetPr>
  <dimension ref="A1:AR43"/>
  <sheetViews>
    <sheetView zoomScaleNormal="10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4.42578125" style="3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5.140625" style="3" customWidth="1"/>
    <col min="10" max="10" width="5" style="3" customWidth="1"/>
    <col min="11" max="11" width="5.28515625" style="3" bestFit="1" customWidth="1"/>
    <col min="12" max="13" width="4.42578125" style="3" bestFit="1" customWidth="1"/>
    <col min="14" max="14" width="7.28515625" style="3" bestFit="1" customWidth="1"/>
    <col min="15" max="15" width="4.42578125" style="3" customWidth="1"/>
    <col min="16" max="16" width="5.28515625" style="3" bestFit="1" customWidth="1"/>
    <col min="17" max="18" width="4.42578125" style="3" bestFit="1" customWidth="1"/>
    <col min="19" max="19" width="5.42578125" style="3" bestFit="1" customWidth="1"/>
    <col min="20" max="20" width="4.42578125" style="3" customWidth="1"/>
    <col min="21" max="21" width="4.85546875" style="3" bestFit="1" customWidth="1"/>
    <col min="22" max="22" width="4.42578125" style="3" bestFit="1" customWidth="1"/>
    <col min="23" max="23" width="4.28515625" style="3" customWidth="1"/>
    <col min="24" max="24" width="5.42578125" style="3" customWidth="1"/>
    <col min="25" max="25" width="7.28515625" style="3" bestFit="1" customWidth="1"/>
    <col min="26" max="26" width="6.42578125" style="3" customWidth="1"/>
    <col min="27" max="27" width="6.28515625" style="3" customWidth="1"/>
    <col min="28" max="28" width="7.42578125" style="3" bestFit="1" customWidth="1"/>
    <col min="29" max="29" width="6.7109375" style="3" customWidth="1"/>
    <col min="30" max="30" width="4.28515625" style="3" customWidth="1"/>
    <col min="31" max="36" width="8.42578125" style="1" bestFit="1" customWidth="1"/>
    <col min="37" max="37" width="8.42578125" style="3" bestFit="1" customWidth="1"/>
    <col min="38" max="44" width="8.42578125" style="1" bestFit="1" customWidth="1"/>
    <col min="45" max="45" width="8.42578125" style="3" bestFit="1" customWidth="1"/>
    <col min="46" max="16384" width="11.7109375" style="3"/>
  </cols>
  <sheetData>
    <row r="1" spans="1:44" ht="15.75" x14ac:dyDescent="0.25">
      <c r="A1" s="167" t="s">
        <v>42</v>
      </c>
      <c r="D1" s="1"/>
      <c r="F1" s="16"/>
    </row>
    <row r="2" spans="1:44" ht="15.75" x14ac:dyDescent="0.25">
      <c r="A2" s="166" t="s">
        <v>39</v>
      </c>
      <c r="D2" s="1"/>
      <c r="F2" s="16"/>
    </row>
    <row r="3" spans="1:44" ht="16.5" thickBot="1" x14ac:dyDescent="0.3">
      <c r="A3" s="51"/>
      <c r="D3" s="1"/>
      <c r="F3" s="16"/>
    </row>
    <row r="4" spans="1:44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AE4" s="10"/>
      <c r="AF4" s="10"/>
      <c r="AG4" s="10"/>
      <c r="AH4" s="10"/>
      <c r="AI4" s="10"/>
      <c r="AJ4" s="10"/>
      <c r="AL4" s="10"/>
      <c r="AM4" s="10"/>
      <c r="AN4" s="10"/>
      <c r="AO4" s="10"/>
      <c r="AP4" s="10"/>
      <c r="AQ4" s="10"/>
      <c r="AR4" s="10"/>
    </row>
    <row r="5" spans="1:44" ht="13.5" thickBot="1" x14ac:dyDescent="0.25">
      <c r="A5" s="44"/>
      <c r="B5" s="87"/>
      <c r="C5" s="88"/>
      <c r="D5" s="90"/>
      <c r="E5" s="87"/>
      <c r="F5" s="88"/>
      <c r="G5" s="90"/>
      <c r="H5" s="87"/>
      <c r="I5" s="88"/>
      <c r="J5" s="90"/>
      <c r="K5" s="87"/>
      <c r="L5" s="89"/>
      <c r="M5" s="90"/>
      <c r="N5" s="125"/>
    </row>
    <row r="6" spans="1:44" s="43" customFormat="1" ht="46.5" x14ac:dyDescent="0.25">
      <c r="A6" s="46" t="s">
        <v>10</v>
      </c>
      <c r="B6" s="126" t="s">
        <v>13</v>
      </c>
      <c r="C6" s="20" t="s">
        <v>12</v>
      </c>
      <c r="D6" s="14" t="s">
        <v>11</v>
      </c>
      <c r="E6" s="13" t="s">
        <v>13</v>
      </c>
      <c r="F6" s="20" t="s">
        <v>12</v>
      </c>
      <c r="G6" s="14" t="s">
        <v>11</v>
      </c>
      <c r="H6" s="13" t="s">
        <v>13</v>
      </c>
      <c r="I6" s="20" t="s">
        <v>12</v>
      </c>
      <c r="J6" s="14" t="s">
        <v>11</v>
      </c>
      <c r="K6" s="13" t="s">
        <v>22</v>
      </c>
      <c r="L6" s="20" t="s">
        <v>23</v>
      </c>
      <c r="M6" s="14" t="s">
        <v>11</v>
      </c>
      <c r="N6" s="91"/>
      <c r="AE6" s="10"/>
      <c r="AF6" s="10"/>
      <c r="AG6" s="10"/>
      <c r="AH6" s="10"/>
      <c r="AI6" s="10"/>
      <c r="AJ6" s="10"/>
      <c r="AL6" s="10"/>
      <c r="AM6" s="10"/>
      <c r="AN6" s="10"/>
      <c r="AO6" s="10"/>
      <c r="AP6" s="10"/>
      <c r="AQ6" s="10"/>
      <c r="AR6" s="10"/>
    </row>
    <row r="7" spans="1:44" s="43" customFormat="1" x14ac:dyDescent="0.2">
      <c r="A7" s="47"/>
      <c r="B7" s="127" t="s">
        <v>6</v>
      </c>
      <c r="C7" s="108" t="s">
        <v>21</v>
      </c>
      <c r="D7" s="30" t="s">
        <v>0</v>
      </c>
      <c r="E7" s="109" t="s">
        <v>6</v>
      </c>
      <c r="F7" s="108" t="s">
        <v>21</v>
      </c>
      <c r="G7" s="30" t="s">
        <v>0</v>
      </c>
      <c r="H7" s="109" t="s">
        <v>6</v>
      </c>
      <c r="I7" s="108" t="s">
        <v>21</v>
      </c>
      <c r="J7" s="30" t="s">
        <v>0</v>
      </c>
      <c r="K7" s="29" t="s">
        <v>6</v>
      </c>
      <c r="L7" s="108" t="s">
        <v>21</v>
      </c>
      <c r="M7" s="30" t="s">
        <v>0</v>
      </c>
      <c r="N7" s="33"/>
      <c r="O7" s="3"/>
      <c r="P7" s="3"/>
      <c r="Q7" s="3"/>
      <c r="R7" s="3"/>
      <c r="S7" s="3"/>
      <c r="AE7" s="10"/>
      <c r="AF7" s="10"/>
      <c r="AG7" s="10"/>
      <c r="AH7" s="10"/>
      <c r="AI7" s="10"/>
      <c r="AJ7" s="10"/>
      <c r="AL7" s="10"/>
      <c r="AM7" s="10"/>
      <c r="AN7" s="10"/>
      <c r="AO7" s="10"/>
      <c r="AP7" s="10"/>
      <c r="AQ7" s="10"/>
      <c r="AR7" s="10"/>
    </row>
    <row r="8" spans="1:44" s="43" customFormat="1" x14ac:dyDescent="0.2">
      <c r="A8" s="48">
        <v>2019</v>
      </c>
      <c r="B8" s="131">
        <f>RF!B9</f>
        <v>1.2</v>
      </c>
      <c r="C8" s="132">
        <f>RF!C9</f>
        <v>21</v>
      </c>
      <c r="D8" s="130">
        <f>C8/B8</f>
        <v>17.5</v>
      </c>
      <c r="E8" s="133">
        <f>RF!E9</f>
        <v>4</v>
      </c>
      <c r="F8" s="132">
        <f>RF!F9</f>
        <v>19.5</v>
      </c>
      <c r="G8" s="130">
        <f>F8/E8</f>
        <v>4.875</v>
      </c>
      <c r="H8" s="137">
        <f>K8-E8-B8</f>
        <v>1.7000000000000004</v>
      </c>
      <c r="I8" s="117">
        <f>'global path'!$C$6-C8-F8</f>
        <v>1.2277171013052595</v>
      </c>
      <c r="J8" s="130">
        <f>I8/H8</f>
        <v>0.72218653017956425</v>
      </c>
      <c r="K8" s="133">
        <f>RF!K9</f>
        <v>6.9</v>
      </c>
      <c r="L8" s="32">
        <f>I8+F8+C8</f>
        <v>41.727717101305259</v>
      </c>
      <c r="M8" s="31">
        <f>L8/K8</f>
        <v>6.047495232073226</v>
      </c>
      <c r="N8" s="158"/>
      <c r="AE8" s="10"/>
      <c r="AF8" s="10"/>
      <c r="AG8" s="10"/>
      <c r="AH8" s="10"/>
      <c r="AI8" s="10"/>
      <c r="AJ8" s="10"/>
      <c r="AL8" s="10"/>
      <c r="AM8" s="10"/>
      <c r="AN8" s="10"/>
      <c r="AO8" s="10"/>
      <c r="AP8" s="10"/>
      <c r="AQ8" s="10"/>
      <c r="AR8" s="10"/>
    </row>
    <row r="9" spans="1:44" x14ac:dyDescent="0.2">
      <c r="A9" s="49">
        <f>A8+1</f>
        <v>2020</v>
      </c>
      <c r="B9" s="128">
        <f>B$8*(B$39/B$8)^(($A9-2019)/31)</f>
        <v>1.2</v>
      </c>
      <c r="C9" s="5">
        <f>B9/$K9*'global path'!$C7</f>
        <v>7.1118543929181133</v>
      </c>
      <c r="D9" s="4">
        <f t="shared" ref="D9:D39" si="0">C9/B9</f>
        <v>5.9265453274317617</v>
      </c>
      <c r="E9" s="128">
        <f>E$8*(E$39/E$8)^(($A9-2019)/31)</f>
        <v>4</v>
      </c>
      <c r="F9" s="5">
        <f>E9/$K9*'global path'!$C7</f>
        <v>23.706181309727043</v>
      </c>
      <c r="G9" s="4">
        <f t="shared" ref="G9:G39" si="1">F9/E9</f>
        <v>5.9265453274317608</v>
      </c>
      <c r="H9" s="128">
        <f>H$8*(H$39/H$8)^(($A9-2019)/31)</f>
        <v>1.7000000000000004</v>
      </c>
      <c r="I9" s="5">
        <f>H9/$K9*'global path'!$C7</f>
        <v>10.075127056633995</v>
      </c>
      <c r="J9" s="4">
        <f t="shared" ref="J9:J39" si="2">I9/H9</f>
        <v>5.9265453274317608</v>
      </c>
      <c r="K9" s="129">
        <f>B9+E9+H9</f>
        <v>6.9</v>
      </c>
      <c r="L9" s="19">
        <f>I9+F9+C9</f>
        <v>40.89316275927915</v>
      </c>
      <c r="M9" s="4">
        <f t="shared" ref="M9:M39" si="3">L9/K9</f>
        <v>5.9265453274317608</v>
      </c>
      <c r="N9" s="159"/>
    </row>
    <row r="10" spans="1:44" x14ac:dyDescent="0.2">
      <c r="A10" s="49">
        <f t="shared" ref="A10:A39" si="4">A9+1</f>
        <v>2021</v>
      </c>
      <c r="B10" s="128">
        <f t="shared" ref="B10:B38" si="5">B$8*(B$39/B$8)^(($A10-2019)/31)</f>
        <v>1.2</v>
      </c>
      <c r="C10" s="5">
        <f>B10/$K10*'global path'!$C8</f>
        <v>6.9462828774903569</v>
      </c>
      <c r="D10" s="4">
        <f t="shared" si="0"/>
        <v>5.7885690645752979</v>
      </c>
      <c r="E10" s="128">
        <f t="shared" ref="E10:E38" si="6">E$8*(E$39/E$8)^(($A10-2019)/31)</f>
        <v>4</v>
      </c>
      <c r="F10" s="5">
        <f>E10/$K10*'global path'!$C8</f>
        <v>23.154276258301191</v>
      </c>
      <c r="G10" s="4">
        <f t="shared" si="1"/>
        <v>5.7885690645752979</v>
      </c>
      <c r="H10" s="128">
        <f t="shared" ref="H10:H38" si="7">H$8*(H$39/H$8)^(($A10-2019)/31)</f>
        <v>1.7000000000000004</v>
      </c>
      <c r="I10" s="5">
        <f>H10/$K10*'global path'!$C8</f>
        <v>9.8405674097780071</v>
      </c>
      <c r="J10" s="4">
        <f t="shared" si="2"/>
        <v>5.788569064575297</v>
      </c>
      <c r="K10" s="129">
        <f t="shared" ref="K10:K38" si="8">B10+E10+H10</f>
        <v>6.9</v>
      </c>
      <c r="L10" s="19">
        <f t="shared" ref="L10:L39" si="9">I10+F10+C10</f>
        <v>39.941126545569553</v>
      </c>
      <c r="M10" s="4">
        <f t="shared" si="3"/>
        <v>5.788569064575297</v>
      </c>
      <c r="N10" s="160"/>
    </row>
    <row r="11" spans="1:44" x14ac:dyDescent="0.2">
      <c r="A11" s="49">
        <f t="shared" si="4"/>
        <v>2022</v>
      </c>
      <c r="B11" s="128">
        <f t="shared" si="5"/>
        <v>1.2</v>
      </c>
      <c r="C11" s="5">
        <f>B11/$K11*'global path'!$C9</f>
        <v>6.7617748652616552</v>
      </c>
      <c r="D11" s="4">
        <f t="shared" si="0"/>
        <v>5.6348123877180463</v>
      </c>
      <c r="E11" s="128">
        <f t="shared" si="6"/>
        <v>4</v>
      </c>
      <c r="F11" s="5">
        <f>E11/$K11*'global path'!$C9</f>
        <v>22.539249550872185</v>
      </c>
      <c r="G11" s="4">
        <f t="shared" si="1"/>
        <v>5.6348123877180463</v>
      </c>
      <c r="H11" s="128">
        <f t="shared" si="7"/>
        <v>1.7000000000000004</v>
      </c>
      <c r="I11" s="5">
        <f>H11/$K11*'global path'!$C9</f>
        <v>9.5791810591206801</v>
      </c>
      <c r="J11" s="4">
        <f t="shared" si="2"/>
        <v>5.6348123877180454</v>
      </c>
      <c r="K11" s="129">
        <f t="shared" si="8"/>
        <v>6.9</v>
      </c>
      <c r="L11" s="19">
        <f t="shared" si="9"/>
        <v>38.88020547525452</v>
      </c>
      <c r="M11" s="4">
        <f t="shared" si="3"/>
        <v>5.6348123877180463</v>
      </c>
      <c r="N11" s="160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AE11" s="58"/>
      <c r="AF11" s="28"/>
      <c r="AL11" s="28"/>
      <c r="AM11" s="28"/>
      <c r="AN11" s="28"/>
    </row>
    <row r="12" spans="1:44" s="7" customFormat="1" x14ac:dyDescent="0.2">
      <c r="A12" s="49">
        <f t="shared" si="4"/>
        <v>2023</v>
      </c>
      <c r="B12" s="128">
        <f t="shared" si="5"/>
        <v>1.2</v>
      </c>
      <c r="C12" s="5">
        <f>B12/$K12*'global path'!$C10</f>
        <v>6.5599819820271854</v>
      </c>
      <c r="D12" s="4">
        <f t="shared" si="0"/>
        <v>5.4666516516893218</v>
      </c>
      <c r="E12" s="128">
        <f t="shared" si="6"/>
        <v>4</v>
      </c>
      <c r="F12" s="5">
        <f>E12/$K12*'global path'!$C10</f>
        <v>21.866606606757287</v>
      </c>
      <c r="G12" s="4">
        <f t="shared" si="1"/>
        <v>5.4666516516893218</v>
      </c>
      <c r="H12" s="128">
        <f t="shared" si="7"/>
        <v>1.7000000000000004</v>
      </c>
      <c r="I12" s="5">
        <f>H12/$K12*'global path'!$C10</f>
        <v>9.2933078078718481</v>
      </c>
      <c r="J12" s="4">
        <f t="shared" si="2"/>
        <v>5.4666516516893209</v>
      </c>
      <c r="K12" s="129">
        <f t="shared" si="8"/>
        <v>6.9</v>
      </c>
      <c r="L12" s="19">
        <f t="shared" si="9"/>
        <v>37.719896396656324</v>
      </c>
      <c r="M12" s="4">
        <f t="shared" si="3"/>
        <v>5.4666516516893218</v>
      </c>
      <c r="N12" s="160"/>
      <c r="AE12" s="1"/>
      <c r="AF12" s="1"/>
      <c r="AG12" s="1"/>
      <c r="AH12" s="1"/>
      <c r="AI12" s="1"/>
      <c r="AJ12" s="1"/>
      <c r="AL12" s="1"/>
      <c r="AM12" s="1"/>
      <c r="AN12" s="1"/>
      <c r="AO12" s="1"/>
      <c r="AP12" s="1"/>
      <c r="AQ12" s="1"/>
      <c r="AR12" s="1"/>
    </row>
    <row r="13" spans="1:44" s="7" customFormat="1" x14ac:dyDescent="0.2">
      <c r="A13" s="49">
        <f t="shared" si="4"/>
        <v>2024</v>
      </c>
      <c r="B13" s="128">
        <f t="shared" si="5"/>
        <v>1.2</v>
      </c>
      <c r="C13" s="5">
        <f>B13/$K13*'global path'!$C11</f>
        <v>6.3426875401260272</v>
      </c>
      <c r="D13" s="4">
        <f t="shared" si="0"/>
        <v>5.2855729501050233</v>
      </c>
      <c r="E13" s="128">
        <f t="shared" si="6"/>
        <v>4</v>
      </c>
      <c r="F13" s="5">
        <f>E13/$K13*'global path'!$C11</f>
        <v>21.142291800420093</v>
      </c>
      <c r="G13" s="4">
        <f t="shared" si="1"/>
        <v>5.2855729501050233</v>
      </c>
      <c r="H13" s="128">
        <f t="shared" si="7"/>
        <v>1.7000000000000004</v>
      </c>
      <c r="I13" s="5">
        <f>H13/$K13*'global path'!$C11</f>
        <v>8.9854740151785411</v>
      </c>
      <c r="J13" s="4">
        <f t="shared" si="2"/>
        <v>5.2855729501050233</v>
      </c>
      <c r="K13" s="129">
        <f t="shared" si="8"/>
        <v>6.9</v>
      </c>
      <c r="L13" s="19">
        <f t="shared" si="9"/>
        <v>36.470453355724665</v>
      </c>
      <c r="M13" s="4">
        <f t="shared" si="3"/>
        <v>5.2855729501050233</v>
      </c>
      <c r="N13" s="160"/>
      <c r="AE13" s="1"/>
      <c r="AF13" s="1"/>
      <c r="AG13" s="1"/>
      <c r="AH13" s="1"/>
      <c r="AI13" s="1"/>
      <c r="AJ13" s="1"/>
      <c r="AL13" s="1"/>
      <c r="AM13" s="1"/>
      <c r="AN13" s="1"/>
      <c r="AO13" s="1"/>
      <c r="AP13" s="1"/>
      <c r="AQ13" s="1"/>
      <c r="AR13" s="1"/>
    </row>
    <row r="14" spans="1:44" s="7" customFormat="1" x14ac:dyDescent="0.2">
      <c r="A14" s="49">
        <f t="shared" si="4"/>
        <v>2025</v>
      </c>
      <c r="B14" s="128">
        <f t="shared" si="5"/>
        <v>1.2</v>
      </c>
      <c r="C14" s="5">
        <f>B14/$K14*'global path'!$C12</f>
        <v>6.1117800680129664</v>
      </c>
      <c r="D14" s="4">
        <f t="shared" si="0"/>
        <v>5.0931500566774721</v>
      </c>
      <c r="E14" s="128">
        <f t="shared" si="6"/>
        <v>4</v>
      </c>
      <c r="F14" s="5">
        <f>E14/$K14*'global path'!$C12</f>
        <v>20.372600226709892</v>
      </c>
      <c r="G14" s="4">
        <f t="shared" si="1"/>
        <v>5.093150056677473</v>
      </c>
      <c r="H14" s="128">
        <f t="shared" si="7"/>
        <v>1.7000000000000004</v>
      </c>
      <c r="I14" s="5">
        <f>H14/$K14*'global path'!$C12</f>
        <v>8.6583550963517038</v>
      </c>
      <c r="J14" s="4">
        <f t="shared" si="2"/>
        <v>5.0931500566774712</v>
      </c>
      <c r="K14" s="129">
        <f t="shared" si="8"/>
        <v>6.9</v>
      </c>
      <c r="L14" s="19">
        <f t="shared" si="9"/>
        <v>35.142735391074567</v>
      </c>
      <c r="M14" s="4">
        <f t="shared" si="3"/>
        <v>5.093150056677473</v>
      </c>
      <c r="N14" s="160"/>
      <c r="AE14" s="1"/>
      <c r="AF14" s="1"/>
      <c r="AG14" s="1"/>
      <c r="AH14" s="1"/>
      <c r="AI14" s="1"/>
      <c r="AJ14" s="1"/>
      <c r="AL14" s="1"/>
      <c r="AM14" s="1"/>
      <c r="AN14" s="1"/>
      <c r="AO14" s="1"/>
      <c r="AP14" s="1"/>
      <c r="AQ14" s="1"/>
      <c r="AR14" s="1"/>
    </row>
    <row r="15" spans="1:44" s="7" customFormat="1" x14ac:dyDescent="0.2">
      <c r="A15" s="49">
        <f t="shared" si="4"/>
        <v>2026</v>
      </c>
      <c r="B15" s="128">
        <f t="shared" si="5"/>
        <v>1.2</v>
      </c>
      <c r="C15" s="5">
        <f>B15/$K15*'global path'!$C13</f>
        <v>5.8692257299875177</v>
      </c>
      <c r="D15" s="4">
        <f t="shared" si="0"/>
        <v>4.8910214416562647</v>
      </c>
      <c r="E15" s="128">
        <f t="shared" si="6"/>
        <v>4</v>
      </c>
      <c r="F15" s="5">
        <f>E15/$K15*'global path'!$C13</f>
        <v>19.564085766625059</v>
      </c>
      <c r="G15" s="4">
        <f t="shared" si="1"/>
        <v>4.8910214416562647</v>
      </c>
      <c r="H15" s="128">
        <f t="shared" si="7"/>
        <v>1.7000000000000004</v>
      </c>
      <c r="I15" s="5">
        <f>H15/$K15*'global path'!$C13</f>
        <v>8.3147364508156514</v>
      </c>
      <c r="J15" s="4">
        <f t="shared" si="2"/>
        <v>4.8910214416562647</v>
      </c>
      <c r="K15" s="129">
        <f t="shared" si="8"/>
        <v>6.9</v>
      </c>
      <c r="L15" s="19">
        <f t="shared" si="9"/>
        <v>33.748047947428226</v>
      </c>
      <c r="M15" s="4">
        <f t="shared" si="3"/>
        <v>4.8910214416562647</v>
      </c>
      <c r="N15" s="160"/>
      <c r="AE15" s="1"/>
      <c r="AF15" s="1"/>
      <c r="AG15" s="1"/>
      <c r="AH15" s="1"/>
      <c r="AI15" s="1"/>
      <c r="AJ15" s="1"/>
      <c r="AL15" s="1"/>
      <c r="AM15" s="1"/>
      <c r="AN15" s="1"/>
      <c r="AO15" s="1"/>
      <c r="AP15" s="1"/>
      <c r="AQ15" s="1"/>
      <c r="AR15" s="1"/>
    </row>
    <row r="16" spans="1:44" s="7" customFormat="1" x14ac:dyDescent="0.2">
      <c r="A16" s="49">
        <f t="shared" si="4"/>
        <v>2027</v>
      </c>
      <c r="B16" s="128">
        <f t="shared" si="5"/>
        <v>1.2</v>
      </c>
      <c r="C16" s="5">
        <f>B16/$K16*'global path'!$C14</f>
        <v>5.6170402048737778</v>
      </c>
      <c r="D16" s="4">
        <f t="shared" si="0"/>
        <v>4.6808668373948148</v>
      </c>
      <c r="E16" s="128">
        <f t="shared" si="6"/>
        <v>4</v>
      </c>
      <c r="F16" s="5">
        <f>E16/$K16*'global path'!$C14</f>
        <v>18.723467349579259</v>
      </c>
      <c r="G16" s="4">
        <f t="shared" si="1"/>
        <v>4.6808668373948148</v>
      </c>
      <c r="H16" s="128">
        <f t="shared" si="7"/>
        <v>1.7000000000000004</v>
      </c>
      <c r="I16" s="5">
        <f>H16/$K16*'global path'!$C14</f>
        <v>7.9574736235711869</v>
      </c>
      <c r="J16" s="4">
        <f t="shared" si="2"/>
        <v>4.6808668373948148</v>
      </c>
      <c r="K16" s="129">
        <f t="shared" si="8"/>
        <v>6.9</v>
      </c>
      <c r="L16" s="19">
        <f t="shared" si="9"/>
        <v>32.297981178024223</v>
      </c>
      <c r="M16" s="4">
        <f t="shared" si="3"/>
        <v>4.6808668373948148</v>
      </c>
      <c r="N16" s="160"/>
      <c r="AE16" s="1"/>
      <c r="AF16" s="1"/>
      <c r="AG16" s="1"/>
      <c r="AH16" s="1"/>
      <c r="AI16" s="1"/>
      <c r="AJ16" s="1"/>
      <c r="AL16" s="1"/>
      <c r="AM16" s="1"/>
      <c r="AN16" s="1"/>
      <c r="AO16" s="1"/>
      <c r="AP16" s="1"/>
      <c r="AQ16" s="1"/>
      <c r="AR16" s="1"/>
    </row>
    <row r="17" spans="1:14" x14ac:dyDescent="0.2">
      <c r="A17" s="49">
        <f t="shared" si="4"/>
        <v>2028</v>
      </c>
      <c r="B17" s="128">
        <f t="shared" si="5"/>
        <v>1.2</v>
      </c>
      <c r="C17" s="5">
        <f>B17/$K17*'global path'!$C15</f>
        <v>5.3572605916291201</v>
      </c>
      <c r="D17" s="4">
        <f t="shared" si="0"/>
        <v>4.4643838263575999</v>
      </c>
      <c r="E17" s="128">
        <f t="shared" si="6"/>
        <v>4</v>
      </c>
      <c r="F17" s="5">
        <f>E17/$K17*'global path'!$C15</f>
        <v>17.8575353054304</v>
      </c>
      <c r="G17" s="4">
        <f t="shared" si="1"/>
        <v>4.4643838263575999</v>
      </c>
      <c r="H17" s="128">
        <f t="shared" si="7"/>
        <v>1.7000000000000004</v>
      </c>
      <c r="I17" s="5">
        <f>H17/$K17*'global path'!$C15</f>
        <v>7.5894525048079213</v>
      </c>
      <c r="J17" s="4">
        <f t="shared" si="2"/>
        <v>4.4643838263575999</v>
      </c>
      <c r="K17" s="129">
        <f t="shared" si="8"/>
        <v>6.9</v>
      </c>
      <c r="L17" s="19">
        <f t="shared" si="9"/>
        <v>30.80424840186744</v>
      </c>
      <c r="M17" s="4">
        <f t="shared" si="3"/>
        <v>4.4643838263575999</v>
      </c>
      <c r="N17" s="160"/>
    </row>
    <row r="18" spans="1:14" x14ac:dyDescent="0.2">
      <c r="A18" s="49">
        <f t="shared" si="4"/>
        <v>2029</v>
      </c>
      <c r="B18" s="128">
        <f t="shared" si="5"/>
        <v>1.2</v>
      </c>
      <c r="C18" s="5">
        <f>B18/$K18*'global path'!$C16</f>
        <v>5.0919178941545402</v>
      </c>
      <c r="D18" s="4">
        <f t="shared" si="0"/>
        <v>4.2432649117954506</v>
      </c>
      <c r="E18" s="128">
        <f t="shared" si="6"/>
        <v>4</v>
      </c>
      <c r="F18" s="5">
        <f>E18/$K18*'global path'!$C16</f>
        <v>16.973059647181802</v>
      </c>
      <c r="G18" s="4">
        <f t="shared" si="1"/>
        <v>4.2432649117954506</v>
      </c>
      <c r="H18" s="128">
        <f t="shared" si="7"/>
        <v>1.7000000000000004</v>
      </c>
      <c r="I18" s="5">
        <f>H18/$K18*'global path'!$C16</f>
        <v>7.213550350052266</v>
      </c>
      <c r="J18" s="4">
        <f t="shared" si="2"/>
        <v>4.2432649117954497</v>
      </c>
      <c r="K18" s="129">
        <f t="shared" si="8"/>
        <v>6.9</v>
      </c>
      <c r="L18" s="19">
        <f t="shared" si="9"/>
        <v>29.27852789138861</v>
      </c>
      <c r="M18" s="4">
        <f t="shared" si="3"/>
        <v>4.2432649117954506</v>
      </c>
      <c r="N18" s="160"/>
    </row>
    <row r="19" spans="1:14" x14ac:dyDescent="0.2">
      <c r="A19" s="49">
        <f t="shared" si="4"/>
        <v>2030</v>
      </c>
      <c r="B19" s="128">
        <f t="shared" si="5"/>
        <v>1.2</v>
      </c>
      <c r="C19" s="5">
        <f>B19/$K19*'global path'!$C17</f>
        <v>4.8230106077951209</v>
      </c>
      <c r="D19" s="4">
        <f t="shared" si="0"/>
        <v>4.0191755064959347</v>
      </c>
      <c r="E19" s="128">
        <f t="shared" si="6"/>
        <v>4</v>
      </c>
      <c r="F19" s="5">
        <f>E19/$K19*'global path'!$C17</f>
        <v>16.076702025983739</v>
      </c>
      <c r="G19" s="4">
        <f t="shared" si="1"/>
        <v>4.0191755064959347</v>
      </c>
      <c r="H19" s="128">
        <f t="shared" si="7"/>
        <v>1.7000000000000004</v>
      </c>
      <c r="I19" s="5">
        <f>H19/$K19*'global path'!$C17</f>
        <v>6.8325983610430896</v>
      </c>
      <c r="J19" s="4">
        <f t="shared" si="2"/>
        <v>4.0191755064959338</v>
      </c>
      <c r="K19" s="129">
        <f t="shared" si="8"/>
        <v>6.9</v>
      </c>
      <c r="L19" s="19">
        <f t="shared" si="9"/>
        <v>27.732310994821951</v>
      </c>
      <c r="M19" s="4">
        <f t="shared" si="3"/>
        <v>4.0191755064959347</v>
      </c>
      <c r="N19" s="160"/>
    </row>
    <row r="20" spans="1:14" x14ac:dyDescent="0.2">
      <c r="A20" s="49">
        <f t="shared" si="4"/>
        <v>2031</v>
      </c>
      <c r="B20" s="128">
        <f t="shared" si="5"/>
        <v>1.2</v>
      </c>
      <c r="C20" s="5">
        <f>B20/$K20*'global path'!$C18</f>
        <v>4.5524798874090591</v>
      </c>
      <c r="D20" s="4">
        <f t="shared" si="0"/>
        <v>3.7937332395075494</v>
      </c>
      <c r="E20" s="128">
        <f t="shared" si="6"/>
        <v>4</v>
      </c>
      <c r="F20" s="5">
        <f>E20/$K20*'global path'!$C18</f>
        <v>15.174932958030197</v>
      </c>
      <c r="G20" s="4">
        <f t="shared" si="1"/>
        <v>3.7937332395075494</v>
      </c>
      <c r="H20" s="128">
        <f t="shared" si="7"/>
        <v>1.7000000000000004</v>
      </c>
      <c r="I20" s="5">
        <f>H20/$K20*'global path'!$C18</f>
        <v>6.4493465071628346</v>
      </c>
      <c r="J20" s="4">
        <f t="shared" si="2"/>
        <v>3.7937332395075489</v>
      </c>
      <c r="K20" s="129">
        <f t="shared" si="8"/>
        <v>6.9</v>
      </c>
      <c r="L20" s="19">
        <f t="shared" si="9"/>
        <v>26.176759352602094</v>
      </c>
      <c r="M20" s="4">
        <f t="shared" si="3"/>
        <v>3.7937332395075498</v>
      </c>
      <c r="N20" s="160"/>
    </row>
    <row r="21" spans="1:14" x14ac:dyDescent="0.2">
      <c r="A21" s="49">
        <f t="shared" si="4"/>
        <v>2032</v>
      </c>
      <c r="B21" s="128">
        <f t="shared" si="5"/>
        <v>1.2</v>
      </c>
      <c r="C21" s="5">
        <f>B21/$K21*'global path'!$C19</f>
        <v>4.2821867230890129</v>
      </c>
      <c r="D21" s="4">
        <f t="shared" si="0"/>
        <v>3.5684889359075109</v>
      </c>
      <c r="E21" s="128">
        <f t="shared" si="6"/>
        <v>4</v>
      </c>
      <c r="F21" s="5">
        <f>E21/$K21*'global path'!$C19</f>
        <v>14.273955743630045</v>
      </c>
      <c r="G21" s="4">
        <f t="shared" si="1"/>
        <v>3.5684889359075114</v>
      </c>
      <c r="H21" s="128">
        <f t="shared" si="7"/>
        <v>1.7000000000000004</v>
      </c>
      <c r="I21" s="5">
        <f>H21/$K21*'global path'!$C19</f>
        <v>6.0664311910427697</v>
      </c>
      <c r="J21" s="4">
        <f t="shared" si="2"/>
        <v>3.5684889359075109</v>
      </c>
      <c r="K21" s="129">
        <f t="shared" si="8"/>
        <v>6.9</v>
      </c>
      <c r="L21" s="19">
        <f t="shared" si="9"/>
        <v>24.622573657761826</v>
      </c>
      <c r="M21" s="4">
        <f t="shared" si="3"/>
        <v>3.5684889359075109</v>
      </c>
      <c r="N21" s="160"/>
    </row>
    <row r="22" spans="1:14" x14ac:dyDescent="0.2">
      <c r="A22" s="49">
        <f t="shared" si="4"/>
        <v>2033</v>
      </c>
      <c r="B22" s="128">
        <f t="shared" si="5"/>
        <v>1.2</v>
      </c>
      <c r="C22" s="5">
        <f>B22/$K22*'global path'!$C20</f>
        <v>4.0138914865992179</v>
      </c>
      <c r="D22" s="4">
        <f t="shared" si="0"/>
        <v>3.3449095721660149</v>
      </c>
      <c r="E22" s="128">
        <f t="shared" si="6"/>
        <v>4</v>
      </c>
      <c r="F22" s="5">
        <f>E22/$K22*'global path'!$C20</f>
        <v>13.379638288664061</v>
      </c>
      <c r="G22" s="4">
        <f t="shared" si="1"/>
        <v>3.3449095721660154</v>
      </c>
      <c r="H22" s="128">
        <f t="shared" si="7"/>
        <v>1.7000000000000004</v>
      </c>
      <c r="I22" s="5">
        <f>H22/$K22*'global path'!$C20</f>
        <v>5.6863462726822265</v>
      </c>
      <c r="J22" s="4">
        <f t="shared" si="2"/>
        <v>3.3449095721660149</v>
      </c>
      <c r="K22" s="129">
        <f t="shared" si="8"/>
        <v>6.9</v>
      </c>
      <c r="L22" s="19">
        <f t="shared" si="9"/>
        <v>23.079876047945504</v>
      </c>
      <c r="M22" s="4">
        <f t="shared" si="3"/>
        <v>3.3449095721660149</v>
      </c>
      <c r="N22" s="160"/>
    </row>
    <row r="23" spans="1:14" x14ac:dyDescent="0.2">
      <c r="A23" s="49">
        <f t="shared" si="4"/>
        <v>2034</v>
      </c>
      <c r="B23" s="128">
        <f t="shared" si="5"/>
        <v>1.2</v>
      </c>
      <c r="C23" s="5">
        <f>B23/$K23*'global path'!$C21</f>
        <v>3.7492361415426614</v>
      </c>
      <c r="D23" s="4">
        <f t="shared" si="0"/>
        <v>3.1243634512855514</v>
      </c>
      <c r="E23" s="128">
        <f t="shared" si="6"/>
        <v>4</v>
      </c>
      <c r="F23" s="5">
        <f>E23/$K23*'global path'!$C21</f>
        <v>12.497453805142205</v>
      </c>
      <c r="G23" s="4">
        <f t="shared" si="1"/>
        <v>3.1243634512855514</v>
      </c>
      <c r="H23" s="128">
        <f t="shared" si="7"/>
        <v>1.7000000000000004</v>
      </c>
      <c r="I23" s="5">
        <f>H23/$K23*'global path'!$C21</f>
        <v>5.3114178671854377</v>
      </c>
      <c r="J23" s="4">
        <f t="shared" si="2"/>
        <v>3.1243634512855509</v>
      </c>
      <c r="K23" s="129">
        <f t="shared" si="8"/>
        <v>6.9</v>
      </c>
      <c r="L23" s="19">
        <f t="shared" si="9"/>
        <v>21.558107813870304</v>
      </c>
      <c r="M23" s="4">
        <f t="shared" si="3"/>
        <v>3.1243634512855514</v>
      </c>
      <c r="N23" s="160"/>
    </row>
    <row r="24" spans="1:14" x14ac:dyDescent="0.2">
      <c r="A24" s="49">
        <f t="shared" si="4"/>
        <v>2035</v>
      </c>
      <c r="B24" s="128">
        <f t="shared" si="5"/>
        <v>1.2</v>
      </c>
      <c r="C24" s="5">
        <f>B24/$K24*'global path'!$C22</f>
        <v>3.4897293355421248</v>
      </c>
      <c r="D24" s="4">
        <f t="shared" si="0"/>
        <v>2.9081077796184376</v>
      </c>
      <c r="E24" s="128">
        <f t="shared" si="6"/>
        <v>4</v>
      </c>
      <c r="F24" s="5">
        <f>E24/$K24*'global path'!$C22</f>
        <v>11.63243111847375</v>
      </c>
      <c r="G24" s="4">
        <f t="shared" si="1"/>
        <v>2.9081077796184376</v>
      </c>
      <c r="H24" s="128">
        <f t="shared" si="7"/>
        <v>1.7000000000000004</v>
      </c>
      <c r="I24" s="5">
        <f>H24/$K24*'global path'!$C22</f>
        <v>4.9437832253513445</v>
      </c>
      <c r="J24" s="4">
        <f t="shared" si="2"/>
        <v>2.9081077796184371</v>
      </c>
      <c r="K24" s="129">
        <f t="shared" si="8"/>
        <v>6.9</v>
      </c>
      <c r="L24" s="19">
        <f t="shared" si="9"/>
        <v>20.065943679367219</v>
      </c>
      <c r="M24" s="4">
        <f t="shared" si="3"/>
        <v>2.9081077796184376</v>
      </c>
      <c r="N24" s="160"/>
    </row>
    <row r="25" spans="1:14" x14ac:dyDescent="0.2">
      <c r="A25" s="49">
        <f t="shared" si="4"/>
        <v>2036</v>
      </c>
      <c r="B25" s="128">
        <f t="shared" si="5"/>
        <v>1.2</v>
      </c>
      <c r="C25" s="5">
        <f>B25/$K25*'global path'!$C23</f>
        <v>3.236734515714959</v>
      </c>
      <c r="D25" s="4">
        <f t="shared" si="0"/>
        <v>2.6972787630957993</v>
      </c>
      <c r="E25" s="128">
        <f t="shared" si="6"/>
        <v>4</v>
      </c>
      <c r="F25" s="5">
        <f>E25/$K25*'global path'!$C23</f>
        <v>10.789115052383197</v>
      </c>
      <c r="G25" s="4">
        <f t="shared" si="1"/>
        <v>2.6972787630957993</v>
      </c>
      <c r="H25" s="128">
        <f t="shared" si="7"/>
        <v>1.7000000000000004</v>
      </c>
      <c r="I25" s="5">
        <f>H25/$K25*'global path'!$C23</f>
        <v>4.5853738972628593</v>
      </c>
      <c r="J25" s="4">
        <f t="shared" si="2"/>
        <v>2.6972787630957988</v>
      </c>
      <c r="K25" s="129">
        <f t="shared" si="8"/>
        <v>6.9</v>
      </c>
      <c r="L25" s="19">
        <f t="shared" si="9"/>
        <v>18.611223465361014</v>
      </c>
      <c r="M25" s="4">
        <f t="shared" si="3"/>
        <v>2.6972787630957988</v>
      </c>
      <c r="N25" s="160"/>
    </row>
    <row r="26" spans="1:14" x14ac:dyDescent="0.2">
      <c r="A26" s="49">
        <f t="shared" si="4"/>
        <v>2037</v>
      </c>
      <c r="B26" s="128">
        <f t="shared" si="5"/>
        <v>1.2</v>
      </c>
      <c r="C26" s="5">
        <f>B26/$K26*'global path'!$C24</f>
        <v>2.9914611318231046</v>
      </c>
      <c r="D26" s="4">
        <f t="shared" si="0"/>
        <v>2.4928842765192538</v>
      </c>
      <c r="E26" s="128">
        <f t="shared" si="6"/>
        <v>4</v>
      </c>
      <c r="F26" s="5">
        <f>E26/$K26*'global path'!$C24</f>
        <v>9.9715371060770153</v>
      </c>
      <c r="G26" s="4">
        <f t="shared" si="1"/>
        <v>2.4928842765192538</v>
      </c>
      <c r="H26" s="128">
        <f t="shared" si="7"/>
        <v>1.7000000000000004</v>
      </c>
      <c r="I26" s="5">
        <f>H26/$K26*'global path'!$C24</f>
        <v>4.2379032700827324</v>
      </c>
      <c r="J26" s="4">
        <f t="shared" si="2"/>
        <v>2.4928842765192538</v>
      </c>
      <c r="K26" s="129">
        <f t="shared" si="8"/>
        <v>6.9</v>
      </c>
      <c r="L26" s="19">
        <f t="shared" si="9"/>
        <v>17.200901507982852</v>
      </c>
      <c r="M26" s="4">
        <f t="shared" si="3"/>
        <v>2.4928842765192538</v>
      </c>
      <c r="N26" s="160"/>
    </row>
    <row r="27" spans="1:14" x14ac:dyDescent="0.2">
      <c r="A27" s="49">
        <f t="shared" si="4"/>
        <v>2038</v>
      </c>
      <c r="B27" s="128">
        <f t="shared" si="5"/>
        <v>1.2</v>
      </c>
      <c r="C27" s="5">
        <f>B27/$K27*'global path'!$C25</f>
        <v>2.7549589169526514</v>
      </c>
      <c r="D27" s="4">
        <f t="shared" si="0"/>
        <v>2.2957990974605429</v>
      </c>
      <c r="E27" s="128">
        <f t="shared" si="6"/>
        <v>4</v>
      </c>
      <c r="F27" s="5">
        <f>E27/$K27*'global path'!$C25</f>
        <v>9.1831963898421716</v>
      </c>
      <c r="G27" s="4">
        <f t="shared" si="1"/>
        <v>2.2957990974605429</v>
      </c>
      <c r="H27" s="128">
        <f t="shared" si="7"/>
        <v>1.7000000000000004</v>
      </c>
      <c r="I27" s="5">
        <f>H27/$K27*'global path'!$C25</f>
        <v>3.9028584656829235</v>
      </c>
      <c r="J27" s="4">
        <f t="shared" si="2"/>
        <v>2.2957990974605429</v>
      </c>
      <c r="K27" s="129">
        <f t="shared" si="8"/>
        <v>6.9</v>
      </c>
      <c r="L27" s="19">
        <f t="shared" si="9"/>
        <v>15.841013772477746</v>
      </c>
      <c r="M27" s="4">
        <f t="shared" si="3"/>
        <v>2.2957990974605429</v>
      </c>
      <c r="N27" s="160"/>
    </row>
    <row r="28" spans="1:14" x14ac:dyDescent="0.2">
      <c r="A28" s="49">
        <f t="shared" si="4"/>
        <v>2039</v>
      </c>
      <c r="B28" s="128">
        <f t="shared" si="5"/>
        <v>1.2</v>
      </c>
      <c r="C28" s="5">
        <f>B28/$K28*'global path'!$C26</f>
        <v>2.5281151654966716</v>
      </c>
      <c r="D28" s="4">
        <f t="shared" si="0"/>
        <v>2.1067626379138931</v>
      </c>
      <c r="E28" s="128">
        <f t="shared" si="6"/>
        <v>4</v>
      </c>
      <c r="F28" s="5">
        <f>E28/$K28*'global path'!$C26</f>
        <v>8.4270505516555723</v>
      </c>
      <c r="G28" s="4">
        <f t="shared" si="1"/>
        <v>2.1067626379138931</v>
      </c>
      <c r="H28" s="128">
        <f t="shared" si="7"/>
        <v>1.7000000000000004</v>
      </c>
      <c r="I28" s="5">
        <f>H28/$K28*'global path'!$C26</f>
        <v>3.581496484453619</v>
      </c>
      <c r="J28" s="4">
        <f t="shared" si="2"/>
        <v>2.1067626379138931</v>
      </c>
      <c r="K28" s="129">
        <f t="shared" si="8"/>
        <v>6.9</v>
      </c>
      <c r="L28" s="19">
        <f t="shared" si="9"/>
        <v>14.536662201605864</v>
      </c>
      <c r="M28" s="4">
        <f t="shared" si="3"/>
        <v>2.1067626379138931</v>
      </c>
      <c r="N28" s="160"/>
    </row>
    <row r="29" spans="1:14" x14ac:dyDescent="0.2">
      <c r="A29" s="49">
        <f t="shared" si="4"/>
        <v>2040</v>
      </c>
      <c r="B29" s="128">
        <f t="shared" si="5"/>
        <v>1.2</v>
      </c>
      <c r="C29" s="5">
        <f>B29/$K29*'global path'!$C27</f>
        <v>2.3116548644012047</v>
      </c>
      <c r="D29" s="4">
        <f t="shared" si="0"/>
        <v>1.9263790536676706</v>
      </c>
      <c r="E29" s="128">
        <f t="shared" si="6"/>
        <v>4</v>
      </c>
      <c r="F29" s="5">
        <f>E29/$K29*'global path'!$C27</f>
        <v>7.7055162146706824</v>
      </c>
      <c r="G29" s="4">
        <f t="shared" si="1"/>
        <v>1.9263790536676706</v>
      </c>
      <c r="H29" s="128">
        <f t="shared" si="7"/>
        <v>1.7000000000000004</v>
      </c>
      <c r="I29" s="5">
        <f>H29/$K29*'global path'!$C27</f>
        <v>3.2748443912350407</v>
      </c>
      <c r="J29" s="4">
        <f t="shared" si="2"/>
        <v>1.9263790536676706</v>
      </c>
      <c r="K29" s="129">
        <f t="shared" si="8"/>
        <v>6.9</v>
      </c>
      <c r="L29" s="19">
        <f t="shared" si="9"/>
        <v>13.292015470306929</v>
      </c>
      <c r="M29" s="4">
        <f t="shared" si="3"/>
        <v>1.9263790536676708</v>
      </c>
      <c r="N29" s="160"/>
    </row>
    <row r="30" spans="1:14" x14ac:dyDescent="0.2">
      <c r="A30" s="49">
        <f t="shared" si="4"/>
        <v>2041</v>
      </c>
      <c r="B30" s="128">
        <f t="shared" si="5"/>
        <v>1.2</v>
      </c>
      <c r="C30" s="5">
        <f>B30/$K30*'global path'!$C28</f>
        <v>2.1061434775994163</v>
      </c>
      <c r="D30" s="4">
        <f t="shared" si="0"/>
        <v>1.7551195646661804</v>
      </c>
      <c r="E30" s="128">
        <f t="shared" si="6"/>
        <v>4</v>
      </c>
      <c r="F30" s="5">
        <f>E30/$K30*'global path'!$C28</f>
        <v>7.0204782586647223</v>
      </c>
      <c r="G30" s="4">
        <f t="shared" si="1"/>
        <v>1.7551195646661806</v>
      </c>
      <c r="H30" s="128">
        <f t="shared" si="7"/>
        <v>1.7000000000000004</v>
      </c>
      <c r="I30" s="5">
        <f>H30/$K30*'global path'!$C28</f>
        <v>2.9837032599325073</v>
      </c>
      <c r="J30" s="4">
        <f t="shared" si="2"/>
        <v>1.7551195646661804</v>
      </c>
      <c r="K30" s="129">
        <f t="shared" si="8"/>
        <v>6.9</v>
      </c>
      <c r="L30" s="19">
        <f t="shared" si="9"/>
        <v>12.110324996196645</v>
      </c>
      <c r="M30" s="4">
        <f t="shared" si="3"/>
        <v>1.7551195646661804</v>
      </c>
      <c r="N30" s="160"/>
    </row>
    <row r="31" spans="1:14" x14ac:dyDescent="0.2">
      <c r="A31" s="49">
        <f t="shared" si="4"/>
        <v>2042</v>
      </c>
      <c r="B31" s="128">
        <f t="shared" si="5"/>
        <v>1.2</v>
      </c>
      <c r="C31" s="5">
        <f>B31/$K31*'global path'!$C29</f>
        <v>1.9119921364704318</v>
      </c>
      <c r="D31" s="4">
        <f t="shared" si="0"/>
        <v>1.5933267803920266</v>
      </c>
      <c r="E31" s="128">
        <f t="shared" si="6"/>
        <v>4</v>
      </c>
      <c r="F31" s="5">
        <f>E31/$K31*'global path'!$C29</f>
        <v>6.3733071215681063</v>
      </c>
      <c r="G31" s="4">
        <f t="shared" si="1"/>
        <v>1.5933267803920266</v>
      </c>
      <c r="H31" s="128">
        <f t="shared" si="7"/>
        <v>1.7000000000000004</v>
      </c>
      <c r="I31" s="5">
        <f>H31/$K31*'global path'!$C29</f>
        <v>2.7086555266664454</v>
      </c>
      <c r="J31" s="4">
        <f t="shared" si="2"/>
        <v>1.5933267803920264</v>
      </c>
      <c r="K31" s="129">
        <f t="shared" si="8"/>
        <v>6.9</v>
      </c>
      <c r="L31" s="19">
        <f t="shared" si="9"/>
        <v>10.993954784704982</v>
      </c>
      <c r="M31" s="4">
        <f t="shared" si="3"/>
        <v>1.5933267803920264</v>
      </c>
      <c r="N31" s="160"/>
    </row>
    <row r="32" spans="1:14" x14ac:dyDescent="0.2">
      <c r="A32" s="49">
        <f t="shared" si="4"/>
        <v>2043</v>
      </c>
      <c r="B32" s="128">
        <f t="shared" si="5"/>
        <v>1.2</v>
      </c>
      <c r="C32" s="5">
        <f>B32/$K32*'global path'!$C30</f>
        <v>1.7294649518177427</v>
      </c>
      <c r="D32" s="4">
        <f t="shared" si="0"/>
        <v>1.4412207931814522</v>
      </c>
      <c r="E32" s="128">
        <f t="shared" si="6"/>
        <v>4</v>
      </c>
      <c r="F32" s="5">
        <f>E32/$K32*'global path'!$C30</f>
        <v>5.7648831727258099</v>
      </c>
      <c r="G32" s="4">
        <f t="shared" si="1"/>
        <v>1.4412207931814525</v>
      </c>
      <c r="H32" s="128">
        <f t="shared" si="7"/>
        <v>1.7000000000000004</v>
      </c>
      <c r="I32" s="5">
        <f>H32/$K32*'global path'!$C30</f>
        <v>2.4500753484084692</v>
      </c>
      <c r="J32" s="4">
        <f t="shared" si="2"/>
        <v>1.441220793181452</v>
      </c>
      <c r="K32" s="129">
        <f t="shared" si="8"/>
        <v>6.9</v>
      </c>
      <c r="L32" s="19">
        <f t="shared" si="9"/>
        <v>9.9444234729520211</v>
      </c>
      <c r="M32" s="4">
        <f t="shared" si="3"/>
        <v>1.4412207931814522</v>
      </c>
      <c r="N32" s="160"/>
    </row>
    <row r="33" spans="1:14" x14ac:dyDescent="0.2">
      <c r="A33" s="49">
        <f t="shared" si="4"/>
        <v>2044</v>
      </c>
      <c r="B33" s="128">
        <f t="shared" si="5"/>
        <v>1.2</v>
      </c>
      <c r="C33" s="5">
        <f>B33/$K33*'global path'!$C31</f>
        <v>1.5586881356954956</v>
      </c>
      <c r="D33" s="4">
        <f t="shared" si="0"/>
        <v>1.2989067797462464</v>
      </c>
      <c r="E33" s="128">
        <f t="shared" si="6"/>
        <v>4</v>
      </c>
      <c r="F33" s="5">
        <f>E33/$K33*'global path'!$C31</f>
        <v>5.1956271189849863</v>
      </c>
      <c r="G33" s="4">
        <f t="shared" si="1"/>
        <v>1.2989067797462466</v>
      </c>
      <c r="H33" s="128">
        <f t="shared" si="7"/>
        <v>1.7000000000000004</v>
      </c>
      <c r="I33" s="5">
        <f>H33/$K33*'global path'!$C31</f>
        <v>2.2081415255686192</v>
      </c>
      <c r="J33" s="4">
        <f t="shared" si="2"/>
        <v>1.2989067797462464</v>
      </c>
      <c r="K33" s="129">
        <f t="shared" si="8"/>
        <v>6.9</v>
      </c>
      <c r="L33" s="19">
        <f t="shared" si="9"/>
        <v>8.9624567802491004</v>
      </c>
      <c r="M33" s="4">
        <f t="shared" si="3"/>
        <v>1.2989067797462464</v>
      </c>
      <c r="N33" s="160"/>
    </row>
    <row r="34" spans="1:14" x14ac:dyDescent="0.2">
      <c r="A34" s="49">
        <f t="shared" si="4"/>
        <v>2045</v>
      </c>
      <c r="B34" s="128">
        <f t="shared" si="5"/>
        <v>1.2</v>
      </c>
      <c r="C34" s="5">
        <f>B34/$K34*'global path'!$C32</f>
        <v>1.3996606044838857</v>
      </c>
      <c r="D34" s="4">
        <f t="shared" si="0"/>
        <v>1.1663838370699049</v>
      </c>
      <c r="E34" s="128">
        <f t="shared" si="6"/>
        <v>4</v>
      </c>
      <c r="F34" s="5">
        <f>E34/$K34*'global path'!$C32</f>
        <v>4.6655353482796196</v>
      </c>
      <c r="G34" s="4">
        <f t="shared" si="1"/>
        <v>1.1663838370699049</v>
      </c>
      <c r="H34" s="128">
        <f t="shared" si="7"/>
        <v>1.7000000000000004</v>
      </c>
      <c r="I34" s="5">
        <f>H34/$K34*'global path'!$C32</f>
        <v>1.9828525230188385</v>
      </c>
      <c r="J34" s="4">
        <f t="shared" si="2"/>
        <v>1.1663838370699047</v>
      </c>
      <c r="K34" s="129">
        <f t="shared" si="8"/>
        <v>6.9</v>
      </c>
      <c r="L34" s="19">
        <f t="shared" si="9"/>
        <v>8.0480484757823429</v>
      </c>
      <c r="M34" s="4">
        <f t="shared" si="3"/>
        <v>1.1663838370699047</v>
      </c>
      <c r="N34" s="160"/>
    </row>
    <row r="35" spans="1:14" x14ac:dyDescent="0.2">
      <c r="A35" s="49">
        <f t="shared" si="4"/>
        <v>2046</v>
      </c>
      <c r="B35" s="128">
        <f t="shared" si="5"/>
        <v>1.2</v>
      </c>
      <c r="C35" s="5">
        <f>B35/$K35*'global path'!$C33</f>
        <v>1.2522657276512916</v>
      </c>
      <c r="D35" s="4">
        <f t="shared" si="0"/>
        <v>1.043554773042743</v>
      </c>
      <c r="E35" s="128">
        <f t="shared" si="6"/>
        <v>4</v>
      </c>
      <c r="F35" s="5">
        <f>E35/$K35*'global path'!$C33</f>
        <v>4.1742190921709721</v>
      </c>
      <c r="G35" s="4">
        <f t="shared" si="1"/>
        <v>1.043554773042743</v>
      </c>
      <c r="H35" s="128">
        <f t="shared" si="7"/>
        <v>1.7000000000000004</v>
      </c>
      <c r="I35" s="5">
        <f>H35/$K35*'global path'!$C33</f>
        <v>1.7740431141726634</v>
      </c>
      <c r="J35" s="4">
        <f t="shared" si="2"/>
        <v>1.0435547730427428</v>
      </c>
      <c r="K35" s="129">
        <f t="shared" si="8"/>
        <v>6.9</v>
      </c>
      <c r="L35" s="19">
        <f t="shared" si="9"/>
        <v>7.2005279339949269</v>
      </c>
      <c r="M35" s="4">
        <f t="shared" si="3"/>
        <v>1.043554773042743</v>
      </c>
      <c r="N35" s="160"/>
    </row>
    <row r="36" spans="1:14" x14ac:dyDescent="0.2">
      <c r="A36" s="49">
        <f t="shared" si="4"/>
        <v>2047</v>
      </c>
      <c r="B36" s="128">
        <f t="shared" si="5"/>
        <v>1.2</v>
      </c>
      <c r="C36" s="5">
        <f>B36/$K36*'global path'!$C34</f>
        <v>1.116283889058558</v>
      </c>
      <c r="D36" s="4">
        <f t="shared" si="0"/>
        <v>0.93023657421546502</v>
      </c>
      <c r="E36" s="128">
        <f t="shared" si="6"/>
        <v>4</v>
      </c>
      <c r="F36" s="5">
        <f>E36/$K36*'global path'!$C34</f>
        <v>3.7209462968618601</v>
      </c>
      <c r="G36" s="4">
        <f t="shared" si="1"/>
        <v>0.93023657421546502</v>
      </c>
      <c r="H36" s="128">
        <f t="shared" si="7"/>
        <v>1.7000000000000004</v>
      </c>
      <c r="I36" s="5">
        <f>H36/$K36*'global path'!$C34</f>
        <v>1.5814021761662909</v>
      </c>
      <c r="J36" s="4">
        <f t="shared" si="2"/>
        <v>0.93023657421546502</v>
      </c>
      <c r="K36" s="129">
        <f t="shared" si="8"/>
        <v>6.9</v>
      </c>
      <c r="L36" s="19">
        <f t="shared" si="9"/>
        <v>6.4186323620867096</v>
      </c>
      <c r="M36" s="4">
        <f t="shared" si="3"/>
        <v>0.93023657421546513</v>
      </c>
      <c r="N36" s="160"/>
    </row>
    <row r="37" spans="1:14" x14ac:dyDescent="0.2">
      <c r="A37" s="49">
        <f t="shared" si="4"/>
        <v>2048</v>
      </c>
      <c r="B37" s="128">
        <f t="shared" si="5"/>
        <v>1.2</v>
      </c>
      <c r="C37" s="5">
        <f>B37/$K37*'global path'!$C35</f>
        <v>0.99140553861614988</v>
      </c>
      <c r="D37" s="4">
        <f t="shared" si="0"/>
        <v>0.82617128218012492</v>
      </c>
      <c r="E37" s="128">
        <f t="shared" si="6"/>
        <v>4</v>
      </c>
      <c r="F37" s="5">
        <f>E37/$K37*'global path'!$C35</f>
        <v>3.3046851287205001</v>
      </c>
      <c r="G37" s="4">
        <f t="shared" si="1"/>
        <v>0.82617128218012503</v>
      </c>
      <c r="H37" s="128">
        <f t="shared" si="7"/>
        <v>1.7000000000000004</v>
      </c>
      <c r="I37" s="5">
        <f>H37/$K37*'global path'!$C35</f>
        <v>1.4044911797062127</v>
      </c>
      <c r="J37" s="4">
        <f t="shared" si="2"/>
        <v>0.82617128218012492</v>
      </c>
      <c r="K37" s="129">
        <f t="shared" si="8"/>
        <v>6.9</v>
      </c>
      <c r="L37" s="19">
        <f t="shared" si="9"/>
        <v>5.7005818470428631</v>
      </c>
      <c r="M37" s="4">
        <f t="shared" si="3"/>
        <v>0.82617128218012503</v>
      </c>
      <c r="N37" s="160"/>
    </row>
    <row r="38" spans="1:14" x14ac:dyDescent="0.2">
      <c r="A38" s="49">
        <f t="shared" si="4"/>
        <v>2049</v>
      </c>
      <c r="B38" s="128">
        <f t="shared" si="5"/>
        <v>1.2</v>
      </c>
      <c r="C38" s="5">
        <f>B38/$K38*'global path'!$C36</f>
        <v>0.87724443054324153</v>
      </c>
      <c r="D38" s="4">
        <f t="shared" si="0"/>
        <v>0.73103702545270133</v>
      </c>
      <c r="E38" s="128">
        <f t="shared" si="6"/>
        <v>4</v>
      </c>
      <c r="F38" s="5">
        <f>E38/$K38*'global path'!$C36</f>
        <v>2.9241481018108053</v>
      </c>
      <c r="G38" s="4">
        <f t="shared" si="1"/>
        <v>0.73103702545270133</v>
      </c>
      <c r="H38" s="128">
        <f t="shared" si="7"/>
        <v>1.7000000000000004</v>
      </c>
      <c r="I38" s="5">
        <f>H38/$K38*'global path'!$C36</f>
        <v>1.2427629432695924</v>
      </c>
      <c r="J38" s="4">
        <f t="shared" si="2"/>
        <v>0.73103702545270122</v>
      </c>
      <c r="K38" s="129">
        <f t="shared" si="8"/>
        <v>6.9</v>
      </c>
      <c r="L38" s="19">
        <f t="shared" si="9"/>
        <v>5.0441554756236391</v>
      </c>
      <c r="M38" s="4">
        <f t="shared" si="3"/>
        <v>0.73103702545270133</v>
      </c>
      <c r="N38" s="160"/>
    </row>
    <row r="39" spans="1:14" ht="13.5" thickBot="1" x14ac:dyDescent="0.25">
      <c r="A39" s="49">
        <f t="shared" si="4"/>
        <v>2050</v>
      </c>
      <c r="B39" s="139">
        <f>RF!B40</f>
        <v>1.2</v>
      </c>
      <c r="C39" s="5">
        <f>B39/$K39*'global path'!$C37</f>
        <v>0.77335076918943702</v>
      </c>
      <c r="D39" s="140">
        <f t="shared" si="0"/>
        <v>0.64445897432453092</v>
      </c>
      <c r="E39" s="141">
        <f>RF!E40</f>
        <v>4</v>
      </c>
      <c r="F39" s="5">
        <f>E39/$K39*'global path'!$C37</f>
        <v>2.5778358972981237</v>
      </c>
      <c r="G39" s="140">
        <f t="shared" si="1"/>
        <v>0.64445897432453092</v>
      </c>
      <c r="H39" s="149">
        <f>K39-E39-B39</f>
        <v>1.7000000000000004</v>
      </c>
      <c r="I39" s="5">
        <f>H39/$K39*'global path'!$C37</f>
        <v>1.0955802563517028</v>
      </c>
      <c r="J39" s="140">
        <f t="shared" si="2"/>
        <v>0.64445897432453092</v>
      </c>
      <c r="K39" s="141">
        <f>RF!K40</f>
        <v>6.9</v>
      </c>
      <c r="L39" s="19">
        <f t="shared" si="9"/>
        <v>4.4467669228392639</v>
      </c>
      <c r="M39" s="4">
        <f t="shared" si="3"/>
        <v>0.64445897432453092</v>
      </c>
      <c r="N39" s="161"/>
    </row>
    <row r="40" spans="1:14" ht="13.5" thickBot="1" x14ac:dyDescent="0.25">
      <c r="A40" s="143" t="s">
        <v>1</v>
      </c>
      <c r="B40" s="144"/>
      <c r="C40" s="145">
        <f>SUM(C9:C39)</f>
        <v>114.2197645839727</v>
      </c>
      <c r="D40" s="146"/>
      <c r="E40" s="144"/>
      <c r="F40" s="145">
        <f>SUM(F9:F39)</f>
        <v>380.73254861324233</v>
      </c>
      <c r="G40" s="146"/>
      <c r="H40" s="144"/>
      <c r="I40" s="145">
        <f>SUM(I9:I39)</f>
        <v>161.81133316062795</v>
      </c>
      <c r="J40" s="146"/>
      <c r="K40" s="144"/>
      <c r="L40" s="147">
        <f>SUM(L9:L39)</f>
        <v>656.76364635784307</v>
      </c>
      <c r="M40" s="148"/>
      <c r="N40" s="138"/>
    </row>
    <row r="41" spans="1:1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4" x14ac:dyDescent="0.2">
      <c r="A42" s="7"/>
      <c r="B42" s="7"/>
      <c r="C42" s="7"/>
      <c r="D42" s="7"/>
      <c r="E42" s="7"/>
      <c r="F42" s="7"/>
      <c r="G42" s="7"/>
      <c r="H42" s="7"/>
      <c r="I42" s="7"/>
      <c r="J42" s="7" t="s">
        <v>41</v>
      </c>
      <c r="K42" s="114"/>
      <c r="L42" s="113">
        <f>'global path'!C89</f>
        <v>656.76364635784296</v>
      </c>
      <c r="M42" s="7"/>
      <c r="N42" s="7"/>
    </row>
    <row r="43" spans="1:14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113">
        <f>L40-L42</f>
        <v>0</v>
      </c>
      <c r="M43" s="7"/>
      <c r="N43" s="7"/>
    </row>
  </sheetData>
  <sheetProtection selectLockedCells="1"/>
  <mergeCells count="4">
    <mergeCell ref="B4:D4"/>
    <mergeCell ref="E4:G4"/>
    <mergeCell ref="H4:J4"/>
    <mergeCell ref="K4:N4"/>
  </mergeCells>
  <conditionalFormatting sqref="L43">
    <cfRule type="cellIs" dxfId="23" priority="1" stopIfTrue="1" operator="equal">
      <formula>0</formula>
    </cfRule>
  </conditionalFormatting>
  <conditionalFormatting sqref="N8:N39">
    <cfRule type="expression" dxfId="22" priority="2" stopIfTrue="1">
      <formula>AND(N8=-100,N9=-100)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7030A0"/>
    <pageSetUpPr fitToPage="1"/>
  </sheetPr>
  <dimension ref="A1:AY53"/>
  <sheetViews>
    <sheetView zoomScale="120" zoomScaleNormal="120" workbookViewId="0"/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4.42578125" style="3" customWidth="1"/>
    <col min="4" max="4" width="5.42578125" style="3" bestFit="1" customWidth="1"/>
    <col min="5" max="5" width="6.7109375" style="3" bestFit="1" customWidth="1"/>
    <col min="6" max="6" width="4.42578125" style="3" customWidth="1"/>
    <col min="7" max="7" width="6" style="3" customWidth="1"/>
    <col min="8" max="8" width="4.42578125" style="3" bestFit="1" customWidth="1"/>
    <col min="9" max="9" width="7.28515625" style="3" bestFit="1" customWidth="1"/>
    <col min="10" max="10" width="4.7109375" style="3" customWidth="1"/>
    <col min="11" max="11" width="5.28515625" style="3" customWidth="1"/>
    <col min="12" max="12" width="4.42578125" style="3" customWidth="1"/>
    <col min="13" max="13" width="6.7109375" style="3" bestFit="1" customWidth="1"/>
    <col min="14" max="14" width="5.28515625" style="3" bestFit="1" customWidth="1"/>
    <col min="15" max="16" width="4.42578125" style="3" bestFit="1" customWidth="1"/>
    <col min="17" max="17" width="8.85546875" style="3" bestFit="1" customWidth="1"/>
    <col min="18" max="18" width="4.42578125" style="3" customWidth="1"/>
    <col min="19" max="19" width="5.28515625" style="3" bestFit="1" customWidth="1"/>
    <col min="20" max="21" width="4.42578125" style="3" bestFit="1" customWidth="1"/>
    <col min="22" max="22" width="10.42578125" style="3" bestFit="1" customWidth="1"/>
    <col min="23" max="23" width="4.42578125" style="3" customWidth="1"/>
    <col min="24" max="24" width="4.85546875" style="3" bestFit="1" customWidth="1"/>
    <col min="25" max="25" width="4.42578125" style="3" bestFit="1" customWidth="1"/>
    <col min="26" max="26" width="4.28515625" style="3" customWidth="1"/>
    <col min="27" max="27" width="5.42578125" style="3" customWidth="1"/>
    <col min="28" max="28" width="7.28515625" style="3" bestFit="1" customWidth="1"/>
    <col min="29" max="29" width="6.42578125" style="3" customWidth="1"/>
    <col min="30" max="31" width="30.28515625" style="1" bestFit="1" customWidth="1"/>
    <col min="32" max="32" width="22.42578125" style="1" bestFit="1" customWidth="1"/>
    <col min="33" max="33" width="23.28515625" style="1" customWidth="1"/>
    <col min="34" max="34" width="23.42578125" style="1" customWidth="1"/>
    <col min="35" max="35" width="20.42578125" style="1" bestFit="1" customWidth="1"/>
    <col min="36" max="36" width="21.42578125" style="1" bestFit="1" customWidth="1"/>
    <col min="37" max="37" width="21.7109375" style="1" customWidth="1"/>
    <col min="38" max="43" width="8.42578125" style="1" bestFit="1" customWidth="1"/>
    <col min="44" max="44" width="8.42578125" style="3" bestFit="1" customWidth="1"/>
    <col min="45" max="51" width="8.42578125" style="1" bestFit="1" customWidth="1"/>
    <col min="52" max="52" width="8.42578125" style="3" bestFit="1" customWidth="1"/>
    <col min="53" max="16384" width="11.7109375" style="3"/>
  </cols>
  <sheetData>
    <row r="1" spans="1:51" ht="15.75" x14ac:dyDescent="0.25">
      <c r="A1" s="51" t="s">
        <v>229</v>
      </c>
      <c r="G1" s="1"/>
      <c r="H1" s="763"/>
      <c r="I1" s="763"/>
      <c r="J1" s="763"/>
      <c r="K1" s="763"/>
      <c r="L1" s="763"/>
      <c r="M1" s="425"/>
      <c r="N1" s="7" t="s">
        <v>111</v>
      </c>
    </row>
    <row r="2" spans="1:51" ht="15.75" x14ac:dyDescent="0.2">
      <c r="A2" s="424"/>
    </row>
    <row r="3" spans="1:51" s="43" customFormat="1" ht="13.5" thickBot="1" x14ac:dyDescent="0.3">
      <c r="A3" s="101"/>
      <c r="B3" s="101"/>
      <c r="C3" s="101"/>
      <c r="D3" s="101"/>
      <c r="E3" s="101"/>
      <c r="F3" s="101"/>
      <c r="G3" s="102"/>
      <c r="H3" s="102"/>
      <c r="I3" s="102"/>
      <c r="J3" s="102"/>
      <c r="K3" s="107"/>
      <c r="S3" s="794" t="s">
        <v>158</v>
      </c>
      <c r="T3" s="795"/>
      <c r="U3" s="796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S3" s="10"/>
      <c r="AT3" s="10"/>
      <c r="AU3" s="10"/>
      <c r="AV3" s="10"/>
      <c r="AW3" s="10"/>
      <c r="AX3" s="10"/>
      <c r="AY3" s="10"/>
    </row>
    <row r="4" spans="1:51" s="43" customFormat="1" ht="16.5" thickBot="1" x14ac:dyDescent="0.3">
      <c r="A4" s="6"/>
      <c r="B4" s="754" t="s">
        <v>7</v>
      </c>
      <c r="C4" s="755"/>
      <c r="D4" s="755"/>
      <c r="E4" s="797"/>
      <c r="F4" s="756" t="s">
        <v>8</v>
      </c>
      <c r="G4" s="757"/>
      <c r="H4" s="757"/>
      <c r="I4" s="793"/>
      <c r="J4" s="758" t="s">
        <v>9</v>
      </c>
      <c r="K4" s="759"/>
      <c r="L4" s="759"/>
      <c r="M4" s="798"/>
      <c r="N4" s="751" t="s">
        <v>5</v>
      </c>
      <c r="O4" s="752"/>
      <c r="P4" s="752"/>
      <c r="Q4" s="753"/>
      <c r="S4" s="469" t="s">
        <v>129</v>
      </c>
      <c r="T4" s="470" t="s">
        <v>130</v>
      </c>
      <c r="U4" s="471" t="s">
        <v>131</v>
      </c>
      <c r="V4" s="479" t="s">
        <v>154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S4" s="10"/>
      <c r="AT4" s="10"/>
      <c r="AU4" s="10"/>
      <c r="AV4" s="10"/>
      <c r="AW4" s="10"/>
      <c r="AX4" s="10"/>
      <c r="AY4" s="10"/>
    </row>
    <row r="5" spans="1:51" ht="13.5" thickBot="1" x14ac:dyDescent="0.25">
      <c r="A5" s="44"/>
      <c r="B5" s="87"/>
      <c r="C5" s="88"/>
      <c r="D5" s="90"/>
      <c r="E5" s="90"/>
      <c r="F5" s="87"/>
      <c r="G5" s="88"/>
      <c r="H5" s="90"/>
      <c r="I5" s="90"/>
      <c r="J5" s="87"/>
      <c r="K5" s="88"/>
      <c r="L5" s="90"/>
      <c r="M5" s="90"/>
      <c r="N5" s="87"/>
      <c r="O5" s="89"/>
      <c r="P5" s="90"/>
      <c r="Q5" s="125"/>
      <c r="S5" s="462"/>
      <c r="T5" s="11"/>
      <c r="U5" s="97"/>
      <c r="V5" s="480"/>
    </row>
    <row r="6" spans="1:51" s="43" customFormat="1" ht="46.5" x14ac:dyDescent="0.25">
      <c r="A6" s="46" t="s">
        <v>10</v>
      </c>
      <c r="B6" s="126" t="s">
        <v>13</v>
      </c>
      <c r="C6" s="20" t="s">
        <v>12</v>
      </c>
      <c r="D6" s="14" t="s">
        <v>11</v>
      </c>
      <c r="E6" s="426" t="s">
        <v>151</v>
      </c>
      <c r="F6" s="13" t="s">
        <v>13</v>
      </c>
      <c r="G6" s="20" t="s">
        <v>12</v>
      </c>
      <c r="H6" s="14" t="s">
        <v>11</v>
      </c>
      <c r="I6" s="426" t="s">
        <v>151</v>
      </c>
      <c r="J6" s="13" t="s">
        <v>13</v>
      </c>
      <c r="K6" s="20" t="s">
        <v>12</v>
      </c>
      <c r="L6" s="14" t="s">
        <v>11</v>
      </c>
      <c r="M6" s="426" t="s">
        <v>151</v>
      </c>
      <c r="N6" s="13" t="s">
        <v>22</v>
      </c>
      <c r="O6" s="20" t="s">
        <v>23</v>
      </c>
      <c r="P6" s="14" t="s">
        <v>11</v>
      </c>
      <c r="Q6" s="91"/>
      <c r="S6" s="76"/>
      <c r="T6" s="52"/>
      <c r="U6" s="94"/>
      <c r="V6" s="476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S6" s="10"/>
      <c r="AT6" s="10"/>
      <c r="AU6" s="10"/>
      <c r="AV6" s="10"/>
      <c r="AW6" s="10"/>
      <c r="AX6" s="10"/>
      <c r="AY6" s="10"/>
    </row>
    <row r="7" spans="1:51" s="43" customFormat="1" x14ac:dyDescent="0.2">
      <c r="A7" s="47"/>
      <c r="B7" s="127" t="s">
        <v>6</v>
      </c>
      <c r="C7" s="108" t="s">
        <v>21</v>
      </c>
      <c r="D7" s="30" t="s">
        <v>0</v>
      </c>
      <c r="E7" s="30"/>
      <c r="F7" s="109" t="s">
        <v>6</v>
      </c>
      <c r="G7" s="108" t="s">
        <v>21</v>
      </c>
      <c r="H7" s="30" t="s">
        <v>0</v>
      </c>
      <c r="I7" s="30"/>
      <c r="J7" s="109" t="s">
        <v>6</v>
      </c>
      <c r="K7" s="108" t="s">
        <v>21</v>
      </c>
      <c r="L7" s="30" t="s">
        <v>0</v>
      </c>
      <c r="M7" s="30"/>
      <c r="N7" s="29" t="s">
        <v>6</v>
      </c>
      <c r="O7" s="108" t="s">
        <v>21</v>
      </c>
      <c r="P7" s="30" t="s">
        <v>0</v>
      </c>
      <c r="Q7" s="33"/>
      <c r="R7" s="3"/>
      <c r="S7" s="462"/>
      <c r="T7" s="11"/>
      <c r="U7" s="97"/>
      <c r="V7" s="475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S7" s="10"/>
      <c r="AT7" s="10"/>
      <c r="AU7" s="10"/>
      <c r="AV7" s="10"/>
      <c r="AW7" s="10"/>
      <c r="AX7" s="10"/>
      <c r="AY7" s="10"/>
    </row>
    <row r="8" spans="1:51" s="43" customFormat="1" x14ac:dyDescent="0.2">
      <c r="A8" s="48">
        <v>2019</v>
      </c>
      <c r="B8" s="131">
        <f>RF!B9</f>
        <v>1.2</v>
      </c>
      <c r="C8" s="132">
        <f>RF!C9</f>
        <v>21</v>
      </c>
      <c r="D8" s="130">
        <f>C8/B8</f>
        <v>17.5</v>
      </c>
      <c r="E8" s="130"/>
      <c r="F8" s="133">
        <f>RF!E9</f>
        <v>4</v>
      </c>
      <c r="G8" s="132">
        <f>RF!F9</f>
        <v>19.5</v>
      </c>
      <c r="H8" s="130">
        <f>G8/F8</f>
        <v>4.875</v>
      </c>
      <c r="I8" s="130"/>
      <c r="J8" s="137">
        <f>N8-F8-B8</f>
        <v>1.7000000000000004</v>
      </c>
      <c r="K8" s="117">
        <f>'global path'!$C$6-C8-G8</f>
        <v>1.2277171013052595</v>
      </c>
      <c r="L8" s="130">
        <f>K8/J8</f>
        <v>0.72218653017956425</v>
      </c>
      <c r="M8" s="130"/>
      <c r="N8" s="133">
        <f>RF!K9</f>
        <v>6.9</v>
      </c>
      <c r="O8" s="32">
        <f>K8+G8+C8</f>
        <v>41.727717101305259</v>
      </c>
      <c r="P8" s="31">
        <f>O8/N8</f>
        <v>6.047495232073226</v>
      </c>
      <c r="Q8" s="115"/>
      <c r="S8" s="472">
        <f>C8-RF!C9</f>
        <v>0</v>
      </c>
      <c r="T8" s="473">
        <f>G8-RF!F9</f>
        <v>0</v>
      </c>
      <c r="U8" s="474">
        <f>K8-RF!I9</f>
        <v>0</v>
      </c>
      <c r="V8" s="481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S8" s="10"/>
      <c r="AT8" s="10"/>
      <c r="AU8" s="10"/>
      <c r="AV8" s="10"/>
      <c r="AW8" s="10"/>
      <c r="AX8" s="10"/>
      <c r="AY8" s="10"/>
    </row>
    <row r="9" spans="1:51" x14ac:dyDescent="0.2">
      <c r="A9" s="49">
        <f>A8+1</f>
        <v>2020</v>
      </c>
      <c r="B9" s="128">
        <f>B$8*(B$39/B$8)^(($A9-2019)/31)</f>
        <v>1.2</v>
      </c>
      <c r="C9" s="5">
        <f>((1-E9)*(C8/$O8)+E9*(B9/$N9))*'global path'!$C7</f>
        <v>20.547215458313012</v>
      </c>
      <c r="D9" s="4">
        <f t="shared" ref="D9:D39" si="0">C9/B9</f>
        <v>17.122679548594178</v>
      </c>
      <c r="E9" s="427">
        <f>((RF!C10/RF!$L10)-(RF!C9/RF!$L9))/((RF!B10/RF!$K10)-(RF!C9/RF!$L9))</f>
        <v>2.4342283372512557E-3</v>
      </c>
      <c r="F9" s="128">
        <f>F$8*(F$39/F$8)^(($A9-2019)/31)</f>
        <v>4</v>
      </c>
      <c r="G9" s="5">
        <f>((1-I9)*(G8/$O8)+I9*(F9/$N9))*'global path'!$C7</f>
        <v>19.121188154787276</v>
      </c>
      <c r="H9" s="4">
        <f t="shared" ref="H9:H39" si="1">G9/F9</f>
        <v>4.7802970386968191</v>
      </c>
      <c r="I9" s="427">
        <f>((RF!F10/RF!$L10)-(RF!F9/RF!$L9))/((RF!E10/RF!$K10)-(RF!F9/RF!$L9))</f>
        <v>2.4342283372506129E-3</v>
      </c>
      <c r="J9" s="128">
        <f>J$8*(J$39/J$8)^(($A9-2019)/31)</f>
        <v>1.7000000000000004</v>
      </c>
      <c r="K9" s="5">
        <f>((1-M9)*(K8/$O8)+M9*(J9/$N9))*'global path'!$C7</f>
        <v>1.2247591461788554</v>
      </c>
      <c r="L9" s="4">
        <f t="shared" ref="L9:L39" si="2">K9/J9</f>
        <v>0.72044655657579715</v>
      </c>
      <c r="M9" s="427">
        <f>((RF!I10/RF!$L10)-(RF!I9/RF!$L9))/((RF!H10/RF!$K10)-(RF!I9/RF!$L9))</f>
        <v>2.4342283372510922E-3</v>
      </c>
      <c r="N9" s="129">
        <f>B9+F9+J9</f>
        <v>6.9</v>
      </c>
      <c r="O9" s="19">
        <f>K9+G9+C9</f>
        <v>40.893162759279143</v>
      </c>
      <c r="P9" s="4">
        <f t="shared" ref="P9:P39" si="3">O9/N9</f>
        <v>5.9265453274317599</v>
      </c>
      <c r="Q9" s="118"/>
      <c r="S9" s="463">
        <f>C9-RF!C10</f>
        <v>0</v>
      </c>
      <c r="T9" s="464">
        <f>G9-RF!F10</f>
        <v>0</v>
      </c>
      <c r="U9" s="465">
        <f>K9-RF!I10</f>
        <v>0</v>
      </c>
      <c r="V9" s="477">
        <f t="shared" ref="V9:V39" si="4">E9-M9</f>
        <v>1.6349768761081407E-16</v>
      </c>
    </row>
    <row r="10" spans="1:51" x14ac:dyDescent="0.2">
      <c r="A10" s="49">
        <f t="shared" ref="A10:A39" si="5">A9+1</f>
        <v>2021</v>
      </c>
      <c r="B10" s="128">
        <f t="shared" ref="B10:B38" si="6">B$8*(B$39/B$8)^(($A10-2019)/31)</f>
        <v>1.2</v>
      </c>
      <c r="C10" s="5">
        <f>((1-E10)*(C9/$O9)+E10*(B10/$N10))*'global path'!$C8</f>
        <v>20.030691537716812</v>
      </c>
      <c r="D10" s="4">
        <f t="shared" si="0"/>
        <v>16.692242948097345</v>
      </c>
      <c r="E10" s="427">
        <f>((RF!C11/RF!$L11)-(RF!C10/RF!$L10))/((RF!B11/RF!$K11)-(RF!C10/RF!$L10))</f>
        <v>2.9081910749434135E-3</v>
      </c>
      <c r="F10" s="128">
        <f t="shared" ref="F10:F38" si="7">F$8*(F$39/F$8)^(($A10-2019)/31)</f>
        <v>4</v>
      </c>
      <c r="G10" s="5">
        <f>((1-I10)*(G9/$O9)+I10*(F10/$N10))*'global path'!$C8</f>
        <v>18.689050214016273</v>
      </c>
      <c r="H10" s="4">
        <f t="shared" si="1"/>
        <v>4.6722625535040683</v>
      </c>
      <c r="I10" s="427">
        <f>((RF!F11/RF!$L11)-(RF!F10/RF!$L10))/((RF!E11/RF!$K11)-(RF!F10/RF!$L10))</f>
        <v>2.9081910749439019E-3</v>
      </c>
      <c r="J10" s="128">
        <f t="shared" ref="J10:J38" si="8">J$8*(J$39/J$8)^(($A10-2019)/31)</f>
        <v>1.7000000000000004</v>
      </c>
      <c r="K10" s="5">
        <f>((1-M10)*(K9/$O9)+M10*(J10/$N10))*'global path'!$C8</f>
        <v>1.2213847938364684</v>
      </c>
      <c r="L10" s="4">
        <f t="shared" si="2"/>
        <v>0.7184616434332165</v>
      </c>
      <c r="M10" s="427">
        <f>((RF!I11/RF!$L11)-(RF!I10/RF!$L10))/((RF!H11/RF!$K11)-(RF!I10/RF!$L10))</f>
        <v>2.908191074943623E-3</v>
      </c>
      <c r="N10" s="129">
        <f t="shared" ref="N10:N38" si="9">B10+F10+J10</f>
        <v>6.9</v>
      </c>
      <c r="O10" s="19">
        <f t="shared" ref="O10:O39" si="10">K10+G10+C10</f>
        <v>39.941126545569553</v>
      </c>
      <c r="P10" s="4">
        <f t="shared" si="3"/>
        <v>5.788569064575297</v>
      </c>
      <c r="Q10" s="119"/>
      <c r="S10" s="463">
        <f>C10-RF!C11</f>
        <v>0</v>
      </c>
      <c r="T10" s="464">
        <f>G10-RF!F11</f>
        <v>0</v>
      </c>
      <c r="U10" s="465">
        <f>K10-RF!I11</f>
        <v>0</v>
      </c>
      <c r="V10" s="477">
        <f t="shared" si="4"/>
        <v>-2.0946785972419946E-16</v>
      </c>
    </row>
    <row r="11" spans="1:51" x14ac:dyDescent="0.2">
      <c r="A11" s="49">
        <f t="shared" si="5"/>
        <v>2022</v>
      </c>
      <c r="B11" s="128">
        <f t="shared" si="6"/>
        <v>1.2</v>
      </c>
      <c r="C11" s="5">
        <f>((1-E11)*(C10/$O10)+E11*(B11/$N11))*'global path'!$C9</f>
        <v>19.455092518697356</v>
      </c>
      <c r="D11" s="4">
        <f t="shared" si="0"/>
        <v>16.212577098914466</v>
      </c>
      <c r="E11" s="427">
        <f>((RF!C12/RF!$L12)-(RF!C11/RF!$L11))/((RF!B12/RF!$K12)-(RF!C11/RF!$L11))</f>
        <v>3.4185311741033453E-3</v>
      </c>
      <c r="F11" s="128">
        <f t="shared" si="7"/>
        <v>4</v>
      </c>
      <c r="G11" s="5">
        <f>((1-I11)*(G10/$O10)+I11*(F11/$N11))*'global path'!$C9</f>
        <v>18.207488441423497</v>
      </c>
      <c r="H11" s="4">
        <f t="shared" si="1"/>
        <v>4.5518721103558741</v>
      </c>
      <c r="I11" s="427">
        <f>((RF!F12/RF!$L12)-(RF!F11/RF!$L11))/((RF!E12/RF!$K12)-(RF!F11/RF!$L11))</f>
        <v>3.4185311741038631E-3</v>
      </c>
      <c r="J11" s="128">
        <f t="shared" si="8"/>
        <v>1.7000000000000004</v>
      </c>
      <c r="K11" s="5">
        <f>((1-M11)*(K10/$O10)+M11*(J11/$N11))*'global path'!$C9</f>
        <v>1.2176245151336698</v>
      </c>
      <c r="L11" s="4">
        <f t="shared" si="2"/>
        <v>0.71624971478451149</v>
      </c>
      <c r="M11" s="427">
        <f>((RF!I12/RF!$L12)-(RF!I11/RF!$L11))/((RF!H12/RF!$K12)-(RF!I11/RF!$L11))</f>
        <v>3.4185311741034784E-3</v>
      </c>
      <c r="N11" s="129">
        <f t="shared" si="9"/>
        <v>6.9</v>
      </c>
      <c r="O11" s="19">
        <f t="shared" si="10"/>
        <v>38.88020547525452</v>
      </c>
      <c r="P11" s="4">
        <f t="shared" si="3"/>
        <v>5.6348123877180463</v>
      </c>
      <c r="Q11" s="119"/>
      <c r="R11" s="11"/>
      <c r="S11" s="463">
        <f>C11-RF!C12</f>
        <v>0</v>
      </c>
      <c r="T11" s="464">
        <f>G11-RF!F12</f>
        <v>0</v>
      </c>
      <c r="U11" s="465">
        <f>K11-RF!I12</f>
        <v>0</v>
      </c>
      <c r="V11" s="477">
        <f t="shared" si="4"/>
        <v>-1.3314002678121994E-16</v>
      </c>
      <c r="W11" s="11"/>
      <c r="X11" s="11"/>
      <c r="Y11" s="11"/>
      <c r="Z11" s="11"/>
      <c r="AA11" s="11"/>
      <c r="AB11" s="11"/>
      <c r="AD11" s="28"/>
      <c r="AE11" s="28"/>
      <c r="AF11" s="28"/>
      <c r="AG11" s="28"/>
      <c r="AH11" s="28"/>
      <c r="AI11" s="28"/>
      <c r="AJ11" s="28"/>
      <c r="AK11" s="28"/>
      <c r="AL11" s="58"/>
      <c r="AM11" s="28"/>
      <c r="AS11" s="28"/>
      <c r="AT11" s="28"/>
      <c r="AU11" s="28"/>
    </row>
    <row r="12" spans="1:51" s="7" customFormat="1" x14ac:dyDescent="0.2">
      <c r="A12" s="49">
        <f t="shared" si="5"/>
        <v>2023</v>
      </c>
      <c r="B12" s="128">
        <f t="shared" si="6"/>
        <v>1.2</v>
      </c>
      <c r="C12" s="5">
        <f>((1-E12)*(C11/$O11)+E12*(B12/$N12))*'global path'!$C10</f>
        <v>18.825570883122545</v>
      </c>
      <c r="D12" s="4">
        <f t="shared" si="0"/>
        <v>15.687975735935455</v>
      </c>
      <c r="E12" s="427">
        <f>((RF!C13/RF!$L13)-(RF!C12/RF!$L12))/((RF!B13/RF!$K13)-(RF!C12/RF!$L12))</f>
        <v>3.9725298728115407E-3</v>
      </c>
      <c r="F12" s="128">
        <f t="shared" si="7"/>
        <v>4</v>
      </c>
      <c r="G12" s="5">
        <f>((1-I12)*(G11/$O11)+I12*(F12/$N12))*'global path'!$C10</f>
        <v>17.680813543281143</v>
      </c>
      <c r="H12" s="4">
        <f t="shared" si="1"/>
        <v>4.4202033858202858</v>
      </c>
      <c r="I12" s="427">
        <f>((RF!F13/RF!$L13)-(RF!F12/RF!$L12))/((RF!E13/RF!$K13)-(RF!F12/RF!$L12))</f>
        <v>3.9725298728103976E-3</v>
      </c>
      <c r="J12" s="128">
        <f t="shared" si="8"/>
        <v>1.7000000000000004</v>
      </c>
      <c r="K12" s="5">
        <f>((1-M12)*(K11/$O11)+M12*(J12/$N12))*'global path'!$C10</f>
        <v>1.2135119702526249</v>
      </c>
      <c r="L12" s="4">
        <f t="shared" si="2"/>
        <v>0.71383057073683798</v>
      </c>
      <c r="M12" s="427">
        <f>((RF!I13/RF!$L13)-(RF!I12/RF!$L12))/((RF!H13/RF!$K13)-(RF!I12/RF!$L12))</f>
        <v>3.9725298728112623E-3</v>
      </c>
      <c r="N12" s="129">
        <f t="shared" si="9"/>
        <v>6.9</v>
      </c>
      <c r="O12" s="19">
        <f t="shared" si="10"/>
        <v>37.71989639665631</v>
      </c>
      <c r="P12" s="4">
        <f t="shared" si="3"/>
        <v>5.46665165168932</v>
      </c>
      <c r="Q12" s="119"/>
      <c r="S12" s="463">
        <f>C12-RF!C13</f>
        <v>0</v>
      </c>
      <c r="T12" s="464">
        <f>G12-RF!F13</f>
        <v>0</v>
      </c>
      <c r="U12" s="465">
        <f>K12-RF!I13</f>
        <v>0</v>
      </c>
      <c r="V12" s="477">
        <f t="shared" si="4"/>
        <v>2.7842311789427754E-16</v>
      </c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S12" s="1"/>
      <c r="AT12" s="1"/>
      <c r="AU12" s="1"/>
      <c r="AV12" s="1"/>
      <c r="AW12" s="1"/>
      <c r="AX12" s="1"/>
      <c r="AY12" s="1"/>
    </row>
    <row r="13" spans="1:51" s="7" customFormat="1" x14ac:dyDescent="0.2">
      <c r="A13" s="49">
        <f t="shared" si="5"/>
        <v>2024</v>
      </c>
      <c r="B13" s="128">
        <f t="shared" si="6"/>
        <v>1.2</v>
      </c>
      <c r="C13" s="5">
        <f>((1-E13)*(C12/$O12)+E13*(B13/$N13))*'global path'!$C11</f>
        <v>18.147689927786828</v>
      </c>
      <c r="D13" s="4">
        <f t="shared" si="0"/>
        <v>15.123074939822358</v>
      </c>
      <c r="E13" s="427">
        <f>((RF!C14/RF!$L14)-(RF!C13/RF!$L13))/((RF!B14/RF!$K14)-(RF!C13/RF!$L13))</f>
        <v>4.5785295035192996E-3</v>
      </c>
      <c r="F13" s="128">
        <f t="shared" si="7"/>
        <v>4</v>
      </c>
      <c r="G13" s="5">
        <f>((1-I13)*(G12/$O12)+I13*(F13/$N13))*'global path'!$C11</f>
        <v>17.113679924786709</v>
      </c>
      <c r="H13" s="4">
        <f t="shared" si="1"/>
        <v>4.2784199811966772</v>
      </c>
      <c r="I13" s="427">
        <f>((RF!F14/RF!$L14)-(RF!F13/RF!$L13))/((RF!E14/RF!$K14)-(RF!F13/RF!$L13))</f>
        <v>4.5785295035200785E-3</v>
      </c>
      <c r="J13" s="128">
        <f t="shared" si="8"/>
        <v>1.7000000000000004</v>
      </c>
      <c r="K13" s="5">
        <f>((1-M13)*(K12/$O12)+M13*(J13/$N13))*'global path'!$C11</f>
        <v>1.209083503151128</v>
      </c>
      <c r="L13" s="4">
        <f t="shared" si="2"/>
        <v>0.71122559008889863</v>
      </c>
      <c r="M13" s="427">
        <f>((RF!I14/RF!$L14)-(RF!I13/RF!$L13))/((RF!H14/RF!$K14)-(RF!I13/RF!$L13))</f>
        <v>4.5785295035193786E-3</v>
      </c>
      <c r="N13" s="129">
        <f t="shared" si="9"/>
        <v>6.9</v>
      </c>
      <c r="O13" s="19">
        <f t="shared" si="10"/>
        <v>36.470453355724665</v>
      </c>
      <c r="P13" s="4">
        <f t="shared" si="3"/>
        <v>5.2855729501050233</v>
      </c>
      <c r="Q13" s="119"/>
      <c r="S13" s="463">
        <f>C13-RF!C14</f>
        <v>0</v>
      </c>
      <c r="T13" s="464">
        <f>G13-RF!F14</f>
        <v>0</v>
      </c>
      <c r="U13" s="465">
        <f>K13-RF!I14</f>
        <v>0</v>
      </c>
      <c r="V13" s="477">
        <f t="shared" si="4"/>
        <v>-7.8929918156944723E-17</v>
      </c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S13" s="1"/>
      <c r="AT13" s="1"/>
      <c r="AU13" s="1"/>
      <c r="AV13" s="1"/>
      <c r="AW13" s="1"/>
      <c r="AX13" s="1"/>
      <c r="AY13" s="1"/>
    </row>
    <row r="14" spans="1:51" s="7" customFormat="1" x14ac:dyDescent="0.2">
      <c r="A14" s="49">
        <f t="shared" si="5"/>
        <v>2025</v>
      </c>
      <c r="B14" s="128">
        <f t="shared" si="6"/>
        <v>1.2</v>
      </c>
      <c r="C14" s="5">
        <f>((1-E14)*(C13/$O13)+E14*(B14/$N14))*'global path'!$C12</f>
        <v>17.427341186140875</v>
      </c>
      <c r="D14" s="4">
        <f t="shared" si="0"/>
        <v>14.522784321784064</v>
      </c>
      <c r="E14" s="427">
        <f>((RF!C15/RF!$L15)-(RF!C14/RF!$L14))/((RF!B15/RF!$K15)-(RF!C14/RF!$L14))</f>
        <v>5.2461814913838199E-3</v>
      </c>
      <c r="F14" s="128">
        <f t="shared" si="7"/>
        <v>4</v>
      </c>
      <c r="G14" s="5">
        <f>((1-I14)*(G13/$O13)+I14*(F14/$N14))*'global path'!$C12</f>
        <v>16.511016602839184</v>
      </c>
      <c r="H14" s="4">
        <f t="shared" si="1"/>
        <v>4.1277541507097961</v>
      </c>
      <c r="I14" s="427">
        <f>((RF!F15/RF!$L15)-(RF!F14/RF!$L14))/((RF!E15/RF!$K15)-(RF!F14/RF!$L14))</f>
        <v>5.2461814913837401E-3</v>
      </c>
      <c r="J14" s="128">
        <f t="shared" si="8"/>
        <v>1.7000000000000004</v>
      </c>
      <c r="K14" s="5">
        <f>((1-M14)*(K13/$O13)+M14*(J14/$N14))*'global path'!$C12</f>
        <v>1.2043776020944974</v>
      </c>
      <c r="L14" s="4">
        <f t="shared" si="2"/>
        <v>0.70845741299676301</v>
      </c>
      <c r="M14" s="427">
        <f>((RF!I15/RF!$L15)-(RF!I14/RF!$L14))/((RF!H15/RF!$K15)-(RF!I14/RF!$L14))</f>
        <v>5.2461814913837617E-3</v>
      </c>
      <c r="N14" s="129">
        <f t="shared" si="9"/>
        <v>6.9</v>
      </c>
      <c r="O14" s="19">
        <f t="shared" si="10"/>
        <v>35.142735391074552</v>
      </c>
      <c r="P14" s="4">
        <f t="shared" si="3"/>
        <v>5.0931500566774712</v>
      </c>
      <c r="Q14" s="119"/>
      <c r="S14" s="463">
        <f>C14-RF!C15</f>
        <v>0</v>
      </c>
      <c r="T14" s="464">
        <f>G14-RF!F15</f>
        <v>0</v>
      </c>
      <c r="U14" s="465">
        <f>K14-RF!I15</f>
        <v>0</v>
      </c>
      <c r="V14" s="477">
        <f t="shared" si="4"/>
        <v>5.8113236445223038E-17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S14" s="1"/>
      <c r="AT14" s="1"/>
      <c r="AU14" s="1"/>
      <c r="AV14" s="1"/>
      <c r="AW14" s="1"/>
      <c r="AX14" s="1"/>
      <c r="AY14" s="1"/>
    </row>
    <row r="15" spans="1:51" s="7" customFormat="1" x14ac:dyDescent="0.2">
      <c r="A15" s="49">
        <f t="shared" si="5"/>
        <v>2026</v>
      </c>
      <c r="B15" s="128">
        <f t="shared" si="6"/>
        <v>1.2</v>
      </c>
      <c r="C15" s="5">
        <f>((1-E15)*(C14/$O14)+E15*(B15/$N15))*'global path'!$C13</f>
        <v>16.670658387708752</v>
      </c>
      <c r="D15" s="4">
        <f t="shared" si="0"/>
        <v>13.892215323090626</v>
      </c>
      <c r="E15" s="427">
        <f>((RF!C16/RF!$L16)-(RF!C15/RF!$L15))/((RF!B16/RF!$K16)-(RF!C15/RF!$L15))</f>
        <v>5.9867518897152323E-3</v>
      </c>
      <c r="F15" s="128">
        <f t="shared" si="7"/>
        <v>4</v>
      </c>
      <c r="G15" s="5">
        <f>((1-I15)*(G14/$O14)+I15*(F15/$N15))*'global path'!$C13</f>
        <v>15.877955222150629</v>
      </c>
      <c r="H15" s="4">
        <f t="shared" si="1"/>
        <v>3.9694888055376572</v>
      </c>
      <c r="I15" s="427">
        <f>((RF!F16/RF!$L16)-(RF!F15/RF!$L15))/((RF!E16/RF!$K16)-(RF!F15/RF!$L15))</f>
        <v>5.986751889714737E-3</v>
      </c>
      <c r="J15" s="128">
        <f t="shared" si="8"/>
        <v>1.7000000000000004</v>
      </c>
      <c r="K15" s="5">
        <f>((1-M15)*(K14/$O14)+M15*(J15/$N15))*'global path'!$C13</f>
        <v>1.1994343375688472</v>
      </c>
      <c r="L15" s="4">
        <f t="shared" si="2"/>
        <v>0.70554961033461583</v>
      </c>
      <c r="M15" s="427">
        <f>((RF!I16/RF!$L16)-(RF!I15/RF!$L15))/((RF!H16/RF!$K16)-(RF!I15/RF!$L15))</f>
        <v>5.9867518897151924E-3</v>
      </c>
      <c r="N15" s="129">
        <f t="shared" si="9"/>
        <v>6.9</v>
      </c>
      <c r="O15" s="19">
        <f t="shared" si="10"/>
        <v>33.748047947428226</v>
      </c>
      <c r="P15" s="4">
        <f t="shared" si="3"/>
        <v>4.8910214416562647</v>
      </c>
      <c r="Q15" s="119"/>
      <c r="S15" s="463">
        <f>C15-RF!C16</f>
        <v>0</v>
      </c>
      <c r="T15" s="464">
        <f>G15-RF!F16</f>
        <v>0</v>
      </c>
      <c r="U15" s="465">
        <f>K15-RF!I16</f>
        <v>0</v>
      </c>
      <c r="V15" s="477">
        <f t="shared" si="4"/>
        <v>3.9898639947466563E-17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S15" s="1"/>
      <c r="AT15" s="1"/>
      <c r="AU15" s="1"/>
      <c r="AV15" s="1"/>
      <c r="AW15" s="1"/>
      <c r="AX15" s="1"/>
      <c r="AY15" s="1"/>
    </row>
    <row r="16" spans="1:51" s="7" customFormat="1" x14ac:dyDescent="0.2">
      <c r="A16" s="49">
        <f t="shared" si="5"/>
        <v>2027</v>
      </c>
      <c r="B16" s="128">
        <f t="shared" si="6"/>
        <v>1.2</v>
      </c>
      <c r="C16" s="5">
        <f>((1-E16)*(C15/$O15)+E16*(B16/$N16))*'global path'!$C14</f>
        <v>15.883929729625063</v>
      </c>
      <c r="D16" s="4">
        <f t="shared" si="0"/>
        <v>13.236608108020887</v>
      </c>
      <c r="E16" s="427">
        <f>((RF!C17/RF!$L17)-(RF!C16/RF!$L16))/((RF!B17/RF!$K17)-(RF!C16/RF!$L16))</f>
        <v>6.8135019067749585E-3</v>
      </c>
      <c r="F16" s="128">
        <f t="shared" si="7"/>
        <v>4</v>
      </c>
      <c r="G16" s="5">
        <f>((1-I16)*(G15/$O15)+I16*(F16/$N16))*'global path'!$C14</f>
        <v>15.219756659231411</v>
      </c>
      <c r="H16" s="4">
        <f t="shared" si="1"/>
        <v>3.8049391648078528</v>
      </c>
      <c r="I16" s="427">
        <f>((RF!F17/RF!$L17)-(RF!F16/RF!$L16))/((RF!E17/RF!$K17)-(RF!F16/RF!$L16))</f>
        <v>6.8135019067757782E-3</v>
      </c>
      <c r="J16" s="128">
        <f t="shared" si="8"/>
        <v>1.7000000000000004</v>
      </c>
      <c r="K16" s="5">
        <f>((1-M16)*(K15/$O15)+M16*(J16/$N16))*'global path'!$C14</f>
        <v>1.194294789167752</v>
      </c>
      <c r="L16" s="4">
        <f t="shared" si="2"/>
        <v>0.70252634656926571</v>
      </c>
      <c r="M16" s="427">
        <f>((RF!I17/RF!$L17)-(RF!I16/RF!$L16))/((RF!H17/RF!$K17)-(RF!I16/RF!$L16))</f>
        <v>6.8135019067750236E-3</v>
      </c>
      <c r="N16" s="129">
        <f t="shared" si="9"/>
        <v>6.9</v>
      </c>
      <c r="O16" s="19">
        <f t="shared" si="10"/>
        <v>32.29798117802423</v>
      </c>
      <c r="P16" s="4">
        <f t="shared" si="3"/>
        <v>4.6808668373948157</v>
      </c>
      <c r="Q16" s="119"/>
      <c r="S16" s="463">
        <f>C16-RF!C17</f>
        <v>0</v>
      </c>
      <c r="T16" s="464">
        <f>G16-RF!F17</f>
        <v>0</v>
      </c>
      <c r="U16" s="465">
        <f>K16-RF!I17</f>
        <v>0</v>
      </c>
      <c r="V16" s="477">
        <f t="shared" si="4"/>
        <v>-6.5052130349130266E-17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S16" s="1"/>
      <c r="AT16" s="1"/>
      <c r="AU16" s="1"/>
      <c r="AV16" s="1"/>
      <c r="AW16" s="1"/>
      <c r="AX16" s="1"/>
      <c r="AY16" s="1"/>
    </row>
    <row r="17" spans="1:22" x14ac:dyDescent="0.2">
      <c r="A17" s="49">
        <f t="shared" si="5"/>
        <v>2028</v>
      </c>
      <c r="B17" s="128">
        <f t="shared" si="6"/>
        <v>1.2</v>
      </c>
      <c r="C17" s="5">
        <f>((1-E17)*(C16/$O16)+E17*(B17/$N17))*'global path'!$C15</f>
        <v>15.073510232180501</v>
      </c>
      <c r="D17" s="4">
        <f t="shared" si="0"/>
        <v>12.561258526817085</v>
      </c>
      <c r="E17" s="427">
        <f>((RF!C18/RF!$L18)-(RF!C17/RF!$L17))/((RF!B18/RF!$K18)-(RF!C17/RF!$L17))</f>
        <v>7.7421668414293064E-3</v>
      </c>
      <c r="F17" s="128">
        <f t="shared" si="7"/>
        <v>4</v>
      </c>
      <c r="G17" s="5">
        <f>((1-I17)*(G16/$O16)+I17*(F17/$N17))*'global path'!$C15</f>
        <v>14.541737696659204</v>
      </c>
      <c r="H17" s="4">
        <f t="shared" si="1"/>
        <v>3.6354344241648011</v>
      </c>
      <c r="I17" s="427">
        <f>((RF!F18/RF!$L18)-(RF!F17/RF!$L17))/((RF!E18/RF!$K18)-(RF!F17/RF!$L17))</f>
        <v>7.7421668414293038E-3</v>
      </c>
      <c r="J17" s="128">
        <f t="shared" si="8"/>
        <v>1.7000000000000004</v>
      </c>
      <c r="K17" s="5">
        <f>((1-M17)*(K16/$O16)+M17*(J17/$N17))*'global path'!$C15</f>
        <v>1.1890004730277333</v>
      </c>
      <c r="L17" s="4">
        <f t="shared" si="2"/>
        <v>0.69941204295749004</v>
      </c>
      <c r="M17" s="427">
        <f>((RF!I18/RF!$L18)-(RF!I17/RF!$L17))/((RF!H18/RF!$K18)-(RF!I17/RF!$L17))</f>
        <v>7.7421668414295059E-3</v>
      </c>
      <c r="N17" s="129">
        <f t="shared" si="9"/>
        <v>6.9</v>
      </c>
      <c r="O17" s="19">
        <f t="shared" si="10"/>
        <v>30.80424840186744</v>
      </c>
      <c r="P17" s="4">
        <f t="shared" si="3"/>
        <v>4.4643838263575999</v>
      </c>
      <c r="Q17" s="119"/>
      <c r="S17" s="463">
        <f>C17-RF!C18</f>
        <v>0</v>
      </c>
      <c r="T17" s="464">
        <f>G17-RF!F18</f>
        <v>0</v>
      </c>
      <c r="U17" s="465">
        <f>K17-RF!I18</f>
        <v>0</v>
      </c>
      <c r="V17" s="477">
        <f t="shared" si="4"/>
        <v>-1.9949319973733282E-16</v>
      </c>
    </row>
    <row r="18" spans="1:22" x14ac:dyDescent="0.2">
      <c r="A18" s="49">
        <f t="shared" si="5"/>
        <v>2029</v>
      </c>
      <c r="B18" s="128">
        <f t="shared" si="6"/>
        <v>1.2</v>
      </c>
      <c r="C18" s="5">
        <f>((1-E18)*(C17/$O17)+E18*(B18/$N18))*'global path'!$C16</f>
        <v>14.24573590126943</v>
      </c>
      <c r="D18" s="4">
        <f t="shared" si="0"/>
        <v>11.871446584391192</v>
      </c>
      <c r="E18" s="427">
        <f>((RF!C19/RF!$L19)-(RF!C18/RF!$L18))/((RF!B19/RF!$K19)-(RF!C18/RF!$L18))</f>
        <v>8.7915652595427132E-3</v>
      </c>
      <c r="F18" s="128">
        <f t="shared" si="7"/>
        <v>4</v>
      </c>
      <c r="G18" s="5">
        <f>((1-I18)*(G17/$O17)+I18*(F18/$N18))*'global path'!$C16</f>
        <v>13.849199209051289</v>
      </c>
      <c r="H18" s="4">
        <f t="shared" si="1"/>
        <v>3.4622998022628222</v>
      </c>
      <c r="I18" s="427">
        <f>((RF!F19/RF!$L19)-(RF!F18/RF!$L18))/((RF!E19/RF!$K19)-(RF!F18/RF!$L18))</f>
        <v>8.7915652595425484E-3</v>
      </c>
      <c r="J18" s="128">
        <f t="shared" si="8"/>
        <v>1.7000000000000004</v>
      </c>
      <c r="K18" s="5">
        <f>((1-M18)*(K17/$O17)+M18*(J18/$N18))*'global path'!$C16</f>
        <v>1.1835927810678846</v>
      </c>
      <c r="L18" s="4">
        <f t="shared" si="2"/>
        <v>0.69623104768699073</v>
      </c>
      <c r="M18" s="427">
        <f>((RF!I19/RF!$L19)-(RF!I18/RF!$L18))/((RF!H19/RF!$K19)-(RF!I18/RF!$L18))</f>
        <v>8.7915652595424981E-3</v>
      </c>
      <c r="N18" s="129">
        <f t="shared" si="9"/>
        <v>6.9</v>
      </c>
      <c r="O18" s="19">
        <f t="shared" si="10"/>
        <v>29.278527891388606</v>
      </c>
      <c r="P18" s="4">
        <f t="shared" si="3"/>
        <v>4.2432649117954497</v>
      </c>
      <c r="Q18" s="119"/>
      <c r="S18" s="463">
        <f>C18-RF!C19</f>
        <v>0</v>
      </c>
      <c r="T18" s="464">
        <f>G18-RF!F19</f>
        <v>0</v>
      </c>
      <c r="U18" s="465">
        <f>K18-RF!I19</f>
        <v>0</v>
      </c>
      <c r="V18" s="477">
        <f t="shared" si="4"/>
        <v>2.1510571102112408E-16</v>
      </c>
    </row>
    <row r="19" spans="1:22" x14ac:dyDescent="0.2">
      <c r="A19" s="49">
        <f t="shared" si="5"/>
        <v>2030</v>
      </c>
      <c r="B19" s="128">
        <f t="shared" si="6"/>
        <v>1.2</v>
      </c>
      <c r="C19" s="5">
        <f>((1-E19)*(C18/$O18)+E19*(B19/$N19))*'global path'!$C17</f>
        <v>13.406841327716661</v>
      </c>
      <c r="D19" s="4">
        <f t="shared" si="0"/>
        <v>11.172367773097218</v>
      </c>
      <c r="E19" s="427">
        <f>((RF!C20/RF!$L20)-(RF!C19/RF!$L19))/((RF!B20/RF!$K20)-(RF!C19/RF!$L19))</f>
        <v>9.9843822708133908E-3</v>
      </c>
      <c r="F19" s="128">
        <f t="shared" si="7"/>
        <v>4</v>
      </c>
      <c r="G19" s="5">
        <f>((1-I19)*(G18/$O18)+I19*(F19/$N19))*'global path'!$C17</f>
        <v>13.147357224423308</v>
      </c>
      <c r="H19" s="4">
        <f t="shared" si="1"/>
        <v>3.286839306105827</v>
      </c>
      <c r="I19" s="427">
        <f>((RF!F20/RF!$L20)-(RF!F19/RF!$L19))/((RF!E20/RF!$K20)-(RF!F19/RF!$L19))</f>
        <v>9.9843822708133856E-3</v>
      </c>
      <c r="J19" s="128">
        <f t="shared" si="8"/>
        <v>1.7000000000000004</v>
      </c>
      <c r="K19" s="5">
        <f>((1-M19)*(K18/$O18)+M19*(J19/$N19))*'global path'!$C17</f>
        <v>1.1781124426819762</v>
      </c>
      <c r="L19" s="4">
        <f t="shared" si="2"/>
        <v>0.69300731922469172</v>
      </c>
      <c r="M19" s="427">
        <f>((RF!I20/RF!$L20)-(RF!I19/RF!$L19))/((RF!H20/RF!$K20)-(RF!I19/RF!$L19))</f>
        <v>9.9843822708135608E-3</v>
      </c>
      <c r="N19" s="129">
        <f t="shared" si="9"/>
        <v>6.9</v>
      </c>
      <c r="O19" s="19">
        <f t="shared" si="10"/>
        <v>27.732310994821944</v>
      </c>
      <c r="P19" s="4">
        <f t="shared" si="3"/>
        <v>4.0191755064959338</v>
      </c>
      <c r="Q19" s="119"/>
      <c r="S19" s="463">
        <f>C19-RF!C20</f>
        <v>0</v>
      </c>
      <c r="T19" s="464">
        <f>G19-RF!F20</f>
        <v>0</v>
      </c>
      <c r="U19" s="465">
        <f>K19-RF!I20</f>
        <v>0</v>
      </c>
      <c r="V19" s="477">
        <f t="shared" si="4"/>
        <v>-1.700029006457271E-16</v>
      </c>
    </row>
    <row r="20" spans="1:22" x14ac:dyDescent="0.2">
      <c r="A20" s="49">
        <f t="shared" si="5"/>
        <v>2031</v>
      </c>
      <c r="B20" s="128">
        <f t="shared" si="6"/>
        <v>1.2</v>
      </c>
      <c r="C20" s="5">
        <f>((1-E20)*(C19/$O19)+E20*(B20/$N20))*'global path'!$C18</f>
        <v>12.562882220532579</v>
      </c>
      <c r="D20" s="4">
        <f t="shared" si="0"/>
        <v>10.469068517110482</v>
      </c>
      <c r="E20" s="427">
        <f>((RF!C21/RF!$L21)-(RF!C20/RF!$L20))/((RF!B21/RF!$K21)-(RF!C20/RF!$L20))</f>
        <v>1.1348188209241298E-2</v>
      </c>
      <c r="F20" s="128">
        <f t="shared" si="7"/>
        <v>4</v>
      </c>
      <c r="G20" s="5">
        <f>((1-I20)*(G19/$O19)+I20*(F20/$N20))*'global path'!$C18</f>
        <v>12.441278113406538</v>
      </c>
      <c r="H20" s="4">
        <f t="shared" si="1"/>
        <v>3.1103195283516345</v>
      </c>
      <c r="I20" s="427">
        <f>((RF!F21/RF!$L21)-(RF!F20/RF!$L20))/((RF!E21/RF!$K21)-(RF!F20/RF!$L20))</f>
        <v>1.1348188209241123E-2</v>
      </c>
      <c r="J20" s="128">
        <f t="shared" si="8"/>
        <v>1.7000000000000004</v>
      </c>
      <c r="K20" s="5">
        <f>((1-M20)*(K19/$O19)+M20*(J20/$N20))*'global path'!$C18</f>
        <v>1.1725990186629718</v>
      </c>
      <c r="L20" s="4">
        <f t="shared" si="2"/>
        <v>0.68976412862527736</v>
      </c>
      <c r="M20" s="427">
        <f>((RF!I21/RF!$L21)-(RF!I20/RF!$L20))/((RF!H21/RF!$K21)-(RF!I20/RF!$L20))</f>
        <v>1.1348188209241182E-2</v>
      </c>
      <c r="N20" s="129">
        <f t="shared" si="9"/>
        <v>6.9</v>
      </c>
      <c r="O20" s="19">
        <f t="shared" si="10"/>
        <v>26.17675935260209</v>
      </c>
      <c r="P20" s="4">
        <f t="shared" si="3"/>
        <v>3.7937332395075489</v>
      </c>
      <c r="Q20" s="119"/>
      <c r="S20" s="463">
        <f>C20-RF!C21</f>
        <v>0</v>
      </c>
      <c r="T20" s="464">
        <f>G20-RF!F21</f>
        <v>0</v>
      </c>
      <c r="U20" s="465">
        <f>K20-RF!I21</f>
        <v>0</v>
      </c>
      <c r="V20" s="477">
        <f t="shared" si="4"/>
        <v>1.1622647289044608E-16</v>
      </c>
    </row>
    <row r="21" spans="1:22" x14ac:dyDescent="0.2">
      <c r="A21" s="49">
        <f t="shared" si="5"/>
        <v>2032</v>
      </c>
      <c r="B21" s="128">
        <f t="shared" si="6"/>
        <v>1.2</v>
      </c>
      <c r="C21" s="5">
        <f>((1-E21)*(C20/$O20)+E21*(B21/$N21))*'global path'!$C19</f>
        <v>11.719664203325618</v>
      </c>
      <c r="D21" s="4">
        <f t="shared" si="0"/>
        <v>9.7663868361046813</v>
      </c>
      <c r="E21" s="427">
        <f>((RF!C22/RF!$L22)-(RF!C21/RF!$L21))/((RF!B22/RF!$K22)-(RF!C21/RF!$L21))</f>
        <v>1.2916779725547842E-2</v>
      </c>
      <c r="F21" s="128">
        <f t="shared" si="7"/>
        <v>4</v>
      </c>
      <c r="G21" s="5">
        <f>((1-I21)*(G20/$O20)+I21*(F21/$N21))*'global path'!$C19</f>
        <v>11.735819018392643</v>
      </c>
      <c r="H21" s="4">
        <f t="shared" si="1"/>
        <v>2.9339547545981608</v>
      </c>
      <c r="I21" s="427">
        <f>((RF!F22/RF!$L22)-(RF!F21/RF!$L21))/((RF!E22/RF!$K22)-(RF!F21/RF!$L21))</f>
        <v>1.2916779725547445E-2</v>
      </c>
      <c r="J21" s="128">
        <f t="shared" si="8"/>
        <v>1.7000000000000004</v>
      </c>
      <c r="K21" s="5">
        <f>((1-M21)*(K20/$O20)+M21*(J21/$N21))*'global path'!$C19</f>
        <v>1.1670904360435632</v>
      </c>
      <c r="L21" s="4">
        <f t="shared" si="2"/>
        <v>0.68652378590797825</v>
      </c>
      <c r="M21" s="427">
        <f>((RF!I22/RF!$L22)-(RF!I21/RF!$L21))/((RF!H22/RF!$K22)-(RF!I21/RF!$L21))</f>
        <v>1.2916779725547872E-2</v>
      </c>
      <c r="N21" s="129">
        <f t="shared" si="9"/>
        <v>6.9</v>
      </c>
      <c r="O21" s="19">
        <f t="shared" si="10"/>
        <v>24.622573657761826</v>
      </c>
      <c r="P21" s="4">
        <f t="shared" si="3"/>
        <v>3.5684889359075109</v>
      </c>
      <c r="Q21" s="119"/>
      <c r="S21" s="463">
        <f>C21-RF!C22</f>
        <v>0</v>
      </c>
      <c r="T21" s="464">
        <f>G21-RF!F22</f>
        <v>0</v>
      </c>
      <c r="U21" s="465">
        <f>K21-RF!I22</f>
        <v>0</v>
      </c>
      <c r="V21" s="477">
        <f t="shared" si="4"/>
        <v>-2.9490299091605721E-17</v>
      </c>
    </row>
    <row r="22" spans="1:22" x14ac:dyDescent="0.2">
      <c r="A22" s="49">
        <f t="shared" si="5"/>
        <v>2033</v>
      </c>
      <c r="B22" s="128">
        <f t="shared" si="6"/>
        <v>1.2</v>
      </c>
      <c r="C22" s="5">
        <f>((1-E22)*(C21/$O21)+E22*(B22/$N22))*'global path'!$C20</f>
        <v>10.882679006500128</v>
      </c>
      <c r="D22" s="4">
        <f t="shared" si="0"/>
        <v>9.0688991720834409</v>
      </c>
      <c r="E22" s="427">
        <f>((RF!C23/RF!$L23)-(RF!C22/RF!$L22))/((RF!B23/RF!$K23)-(RF!C22/RF!$L22))</f>
        <v>1.4731968852317126E-2</v>
      </c>
      <c r="F22" s="128">
        <f t="shared" si="7"/>
        <v>4</v>
      </c>
      <c r="G22" s="5">
        <f>((1-I22)*(G21/$O21)+I22*(F22/$N22))*'global path'!$C20</f>
        <v>11.035574470193419</v>
      </c>
      <c r="H22" s="4">
        <f t="shared" si="1"/>
        <v>2.7588936175483547</v>
      </c>
      <c r="I22" s="427">
        <f>((RF!F23/RF!$L23)-(RF!F22/RF!$L22))/((RF!E23/RF!$K23)-(RF!F22/RF!$L22))</f>
        <v>1.4731968852317761E-2</v>
      </c>
      <c r="J22" s="128">
        <f t="shared" si="8"/>
        <v>1.7000000000000004</v>
      </c>
      <c r="K22" s="5">
        <f>((1-M22)*(K21/$O21)+M22*(J22/$N22))*'global path'!$C20</f>
        <v>1.1616225712519552</v>
      </c>
      <c r="L22" s="4">
        <f t="shared" si="2"/>
        <v>0.6833073948540912</v>
      </c>
      <c r="M22" s="427">
        <f>((RF!I23/RF!$L23)-(RF!I22/RF!$L22))/((RF!H23/RF!$K23)-(RF!I22/RF!$L22))</f>
        <v>1.4731968852316929E-2</v>
      </c>
      <c r="N22" s="129">
        <f t="shared" si="9"/>
        <v>6.9</v>
      </c>
      <c r="O22" s="19">
        <f t="shared" si="10"/>
        <v>23.079876047945504</v>
      </c>
      <c r="P22" s="4">
        <f t="shared" si="3"/>
        <v>3.3449095721660149</v>
      </c>
      <c r="Q22" s="119"/>
      <c r="S22" s="463">
        <f>C22-RF!C23</f>
        <v>0</v>
      </c>
      <c r="T22" s="464">
        <f>G22-RF!F23</f>
        <v>0</v>
      </c>
      <c r="U22" s="465">
        <f>K22-RF!I23</f>
        <v>0</v>
      </c>
      <c r="V22" s="477">
        <f t="shared" si="4"/>
        <v>1.9775847626135601E-16</v>
      </c>
    </row>
    <row r="23" spans="1:22" x14ac:dyDescent="0.2">
      <c r="A23" s="49">
        <f t="shared" si="5"/>
        <v>2034</v>
      </c>
      <c r="B23" s="128">
        <f t="shared" si="6"/>
        <v>1.2</v>
      </c>
      <c r="C23" s="5">
        <f>((1-E23)*(C22/$O22)+E23*(B23/$N23))*'global path'!$C21</f>
        <v>10.057048969339537</v>
      </c>
      <c r="D23" s="4">
        <f t="shared" si="0"/>
        <v>8.3808741411162817</v>
      </c>
      <c r="E23" s="427">
        <f>((RF!C24/RF!$L24)-(RF!C23/RF!$L23))/((RF!B24/RF!$K24)-(RF!C23/RF!$L23))</f>
        <v>1.6846004555390696E-2</v>
      </c>
      <c r="F23" s="128">
        <f t="shared" si="7"/>
        <v>4</v>
      </c>
      <c r="G23" s="5">
        <f>((1-I23)*(G22/$O22)+I23*(F23/$N23))*'global path'!$C21</f>
        <v>10.344829956976213</v>
      </c>
      <c r="H23" s="4">
        <f t="shared" si="1"/>
        <v>2.5862074892440532</v>
      </c>
      <c r="I23" s="427">
        <f>((RF!F24/RF!$L24)-(RF!F23/RF!$L23))/((RF!E24/RF!$K24)-(RF!F23/RF!$L23))</f>
        <v>1.6846004555391071E-2</v>
      </c>
      <c r="J23" s="128">
        <f t="shared" si="8"/>
        <v>1.7000000000000004</v>
      </c>
      <c r="K23" s="5">
        <f>((1-M23)*(K22/$O22)+M23*(J23/$N23))*'global path'!$C21</f>
        <v>1.1562288875545532</v>
      </c>
      <c r="L23" s="4">
        <f t="shared" si="2"/>
        <v>0.68013463973797228</v>
      </c>
      <c r="M23" s="427">
        <f>((RF!I24/RF!$L24)-(RF!I23/RF!$L23))/((RF!H24/RF!$K24)-(RF!I23/RF!$L23))</f>
        <v>1.6846004555390714E-2</v>
      </c>
      <c r="N23" s="129">
        <f t="shared" si="9"/>
        <v>6.9</v>
      </c>
      <c r="O23" s="19">
        <f t="shared" si="10"/>
        <v>21.558107813870301</v>
      </c>
      <c r="P23" s="4">
        <f t="shared" si="3"/>
        <v>3.1243634512855505</v>
      </c>
      <c r="Q23" s="119"/>
      <c r="S23" s="463">
        <f>C23-RF!C24</f>
        <v>0</v>
      </c>
      <c r="T23" s="464">
        <f>G23-RF!F24</f>
        <v>0</v>
      </c>
      <c r="U23" s="465">
        <f>K23-RF!I24</f>
        <v>0</v>
      </c>
      <c r="V23" s="477">
        <f t="shared" si="4"/>
        <v>0</v>
      </c>
    </row>
    <row r="24" spans="1:22" x14ac:dyDescent="0.2">
      <c r="A24" s="49">
        <f t="shared" si="5"/>
        <v>2035</v>
      </c>
      <c r="B24" s="128">
        <f t="shared" si="6"/>
        <v>1.2</v>
      </c>
      <c r="C24" s="5">
        <f>((1-E24)*(C23/$O23)+E24*(B24/$N24))*'global path'!$C22</f>
        <v>9.2474805329421432</v>
      </c>
      <c r="D24" s="4">
        <f t="shared" si="0"/>
        <v>7.7062337774517866</v>
      </c>
      <c r="E24" s="427">
        <f>((RF!C25/RF!$L25)-(RF!C24/RF!$L24))/((RF!B25/RF!$K25)-(RF!C24/RF!$L24))</f>
        <v>1.9324903384458792E-2</v>
      </c>
      <c r="F24" s="128">
        <f t="shared" si="7"/>
        <v>4</v>
      </c>
      <c r="G24" s="5">
        <f>((1-I24)*(G23/$O23)+I24*(F24/$N24))*'global path'!$C22</f>
        <v>9.6675230151909002</v>
      </c>
      <c r="H24" s="4">
        <f t="shared" si="1"/>
        <v>2.416880753797725</v>
      </c>
      <c r="I24" s="427">
        <f>((RF!F25/RF!$L25)-(RF!F24/RF!$L24))/((RF!E25/RF!$K25)-(RF!F24/RF!$L24))</f>
        <v>1.9324903384457647E-2</v>
      </c>
      <c r="J24" s="128">
        <f t="shared" si="8"/>
        <v>1.7000000000000004</v>
      </c>
      <c r="K24" s="5">
        <f>((1-M24)*(K23/$O23)+M24*(J24/$N24))*'global path'!$C22</f>
        <v>1.1509401312341745</v>
      </c>
      <c r="L24" s="4">
        <f t="shared" si="2"/>
        <v>0.67702360660833782</v>
      </c>
      <c r="M24" s="427">
        <f>((RF!I25/RF!$L25)-(RF!I24/RF!$L24))/((RF!H25/RF!$K25)-(RF!I24/RF!$L24))</f>
        <v>1.9324903384458914E-2</v>
      </c>
      <c r="N24" s="129">
        <f t="shared" si="9"/>
        <v>6.9</v>
      </c>
      <c r="O24" s="19">
        <f t="shared" si="10"/>
        <v>20.065943679367216</v>
      </c>
      <c r="P24" s="4">
        <f t="shared" si="3"/>
        <v>2.9081077796184367</v>
      </c>
      <c r="Q24" s="119"/>
      <c r="S24" s="463">
        <f>C24-RF!C25</f>
        <v>0</v>
      </c>
      <c r="T24" s="464">
        <f>G24-RF!F25</f>
        <v>0</v>
      </c>
      <c r="U24" s="465">
        <f>K24-RF!I25</f>
        <v>0</v>
      </c>
      <c r="V24" s="477">
        <f t="shared" si="4"/>
        <v>-1.214306433183765E-16</v>
      </c>
    </row>
    <row r="25" spans="1:22" x14ac:dyDescent="0.2">
      <c r="A25" s="49">
        <f t="shared" si="5"/>
        <v>2036</v>
      </c>
      <c r="B25" s="128">
        <f t="shared" si="6"/>
        <v>1.2</v>
      </c>
      <c r="C25" s="5">
        <f>((1-E25)*(C24/$O24)+E25*(B25/$N25))*'global path'!$C23</f>
        <v>8.4582271647522713</v>
      </c>
      <c r="D25" s="4">
        <f t="shared" si="0"/>
        <v>7.0485226372935594</v>
      </c>
      <c r="E25" s="427">
        <f>((RF!C26/RF!$L26)-(RF!C25/RF!$L25))/((RF!B26/RF!$K26)-(RF!C25/RF!$L25))</f>
        <v>2.225311317575613E-2</v>
      </c>
      <c r="F25" s="128">
        <f t="shared" si="7"/>
        <v>4</v>
      </c>
      <c r="G25" s="5">
        <f>((1-I25)*(G24/$O24)+I25*(F25/$N25))*'global path'!$C23</f>
        <v>9.0072122112256725</v>
      </c>
      <c r="H25" s="4">
        <f t="shared" si="1"/>
        <v>2.2518030528064181</v>
      </c>
      <c r="I25" s="427">
        <f>((RF!F26/RF!$L26)-(RF!F25/RF!$L25))/((RF!E26/RF!$K26)-(RF!F25/RF!$L25))</f>
        <v>2.2253113175756459E-2</v>
      </c>
      <c r="J25" s="128">
        <f t="shared" si="8"/>
        <v>1.7000000000000004</v>
      </c>
      <c r="K25" s="5">
        <f>((1-M25)*(K24/$O24)+M25*(J25/$N25))*'global path'!$C23</f>
        <v>1.1457840893830746</v>
      </c>
      <c r="L25" s="4">
        <f t="shared" si="2"/>
        <v>0.67399064081357318</v>
      </c>
      <c r="M25" s="427">
        <f>((RF!I26/RF!$L26)-(RF!I25/RF!$L25))/((RF!H26/RF!$K26)-(RF!I25/RF!$L25))</f>
        <v>2.2253113175756168E-2</v>
      </c>
      <c r="N25" s="129">
        <f t="shared" si="9"/>
        <v>6.9</v>
      </c>
      <c r="O25" s="19">
        <f t="shared" si="10"/>
        <v>18.611223465361018</v>
      </c>
      <c r="P25" s="4">
        <f t="shared" si="3"/>
        <v>2.6972787630957997</v>
      </c>
      <c r="Q25" s="119"/>
      <c r="S25" s="463">
        <f>C25-RF!C26</f>
        <v>0</v>
      </c>
      <c r="T25" s="464">
        <f>G25-RF!F26</f>
        <v>0</v>
      </c>
      <c r="U25" s="465">
        <f>K25-RF!I26</f>
        <v>0</v>
      </c>
      <c r="V25" s="477">
        <f t="shared" si="4"/>
        <v>-3.8163916471489756E-17</v>
      </c>
    </row>
    <row r="26" spans="1:22" x14ac:dyDescent="0.2">
      <c r="A26" s="49">
        <f t="shared" si="5"/>
        <v>2037</v>
      </c>
      <c r="B26" s="128">
        <f t="shared" si="6"/>
        <v>1.2</v>
      </c>
      <c r="C26" s="5">
        <f>((1-E26)*(C25/$O25)+E26*(B26/$N26))*'global path'!$C24</f>
        <v>7.6930619155340425</v>
      </c>
      <c r="D26" s="4">
        <f t="shared" si="0"/>
        <v>6.4108849296117025</v>
      </c>
      <c r="E26" s="427">
        <f>((RF!C27/RF!$L27)-(RF!C26/RF!$L26))/((RF!B27/RF!$K27)-(RF!C26/RF!$L26))</f>
        <v>2.5740175794677238E-2</v>
      </c>
      <c r="F26" s="128">
        <f t="shared" si="7"/>
        <v>4</v>
      </c>
      <c r="G26" s="5">
        <f>((1-I26)*(G25/$O25)+I26*(F26/$N26))*'global path'!$C24</f>
        <v>8.3670541818259228</v>
      </c>
      <c r="H26" s="4">
        <f t="shared" si="1"/>
        <v>2.0917635454564807</v>
      </c>
      <c r="I26" s="427">
        <f>((RF!F27/RF!$L27)-(RF!F26/RF!$L26))/((RF!E27/RF!$K27)-(RF!F26/RF!$L26))</f>
        <v>2.5740175794677692E-2</v>
      </c>
      <c r="J26" s="128">
        <f t="shared" si="8"/>
        <v>1.7000000000000004</v>
      </c>
      <c r="K26" s="5">
        <f>((1-M26)*(K25/$O25)+M26*(J26/$N26))*'global path'!$C24</f>
        <v>1.1407854106228879</v>
      </c>
      <c r="L26" s="4">
        <f t="shared" si="2"/>
        <v>0.67105024154287507</v>
      </c>
      <c r="M26" s="427">
        <f>((RF!I27/RF!$L27)-(RF!I26/RF!$L26))/((RF!H27/RF!$K27)-(RF!I26/RF!$L26))</f>
        <v>2.5740175794677328E-2</v>
      </c>
      <c r="N26" s="129">
        <f t="shared" si="9"/>
        <v>6.9</v>
      </c>
      <c r="O26" s="19">
        <f t="shared" si="10"/>
        <v>17.200901507982852</v>
      </c>
      <c r="P26" s="4">
        <f t="shared" si="3"/>
        <v>2.4928842765192538</v>
      </c>
      <c r="Q26" s="119"/>
      <c r="S26" s="463">
        <f>C26-RF!C27</f>
        <v>0</v>
      </c>
      <c r="T26" s="464">
        <f>G26-RF!F27</f>
        <v>0</v>
      </c>
      <c r="U26" s="465">
        <f>K26-RF!I27</f>
        <v>0</v>
      </c>
      <c r="V26" s="477">
        <f t="shared" si="4"/>
        <v>-9.0205620750793969E-17</v>
      </c>
    </row>
    <row r="27" spans="1:22" x14ac:dyDescent="0.2">
      <c r="A27" s="49">
        <f t="shared" si="5"/>
        <v>2038</v>
      </c>
      <c r="B27" s="128">
        <f t="shared" si="6"/>
        <v>1.2</v>
      </c>
      <c r="C27" s="5">
        <f>((1-E27)*(C26/$O26)+E27*(B27/$N27))*'global path'!$C25</f>
        <v>6.9552595771368075</v>
      </c>
      <c r="D27" s="4">
        <f t="shared" si="0"/>
        <v>5.7960496476140069</v>
      </c>
      <c r="E27" s="427">
        <f>((RF!C28/RF!$L28)-(RF!C27/RF!$L27))/((RF!B28/RF!$K28)-(RF!C27/RF!$L27))</f>
        <v>2.9930464475779649E-2</v>
      </c>
      <c r="F27" s="128">
        <f t="shared" si="7"/>
        <v>4</v>
      </c>
      <c r="G27" s="5">
        <f>((1-I27)*(G26/$O26)+I27*(F27/$N27))*'global path'!$C25</f>
        <v>7.7497887067962319</v>
      </c>
      <c r="H27" s="4">
        <f t="shared" si="1"/>
        <v>1.937447176699058</v>
      </c>
      <c r="I27" s="427">
        <f>((RF!F28/RF!$L28)-(RF!F27/RF!$L27))/((RF!E28/RF!$K28)-(RF!F27/RF!$L27))</f>
        <v>2.9930464475779805E-2</v>
      </c>
      <c r="J27" s="128">
        <f t="shared" si="8"/>
        <v>1.7000000000000004</v>
      </c>
      <c r="K27" s="5">
        <f>((1-M27)*(K26/$O26)+M27*(J27/$N27))*'global path'!$C25</f>
        <v>1.135965488544709</v>
      </c>
      <c r="L27" s="4">
        <f t="shared" si="2"/>
        <v>0.66821499326159339</v>
      </c>
      <c r="M27" s="427">
        <f>((RF!I28/RF!$L28)-(RF!I27/RF!$L27))/((RF!H28/RF!$K28)-(RF!I27/RF!$L27))</f>
        <v>2.9930464475779798E-2</v>
      </c>
      <c r="N27" s="129">
        <f t="shared" si="9"/>
        <v>6.9</v>
      </c>
      <c r="O27" s="19">
        <f t="shared" si="10"/>
        <v>15.841013772477748</v>
      </c>
      <c r="P27" s="4">
        <f t="shared" si="3"/>
        <v>2.2957990974605429</v>
      </c>
      <c r="Q27" s="119"/>
      <c r="S27" s="463">
        <f>C27-RF!C28</f>
        <v>0</v>
      </c>
      <c r="T27" s="464">
        <f>G27-RF!F28</f>
        <v>0</v>
      </c>
      <c r="U27" s="465">
        <f>K27-RF!I28</f>
        <v>0</v>
      </c>
      <c r="V27" s="477">
        <f t="shared" si="4"/>
        <v>-1.4918621893400541E-16</v>
      </c>
    </row>
    <row r="28" spans="1:22" x14ac:dyDescent="0.2">
      <c r="A28" s="49">
        <f t="shared" si="5"/>
        <v>2039</v>
      </c>
      <c r="B28" s="128">
        <f t="shared" si="6"/>
        <v>1.2</v>
      </c>
      <c r="C28" s="5">
        <f>((1-E28)*(C27/$O27)+E28*(B28/$N28))*'global path'!$C26</f>
        <v>6.2475881907749491</v>
      </c>
      <c r="D28" s="4">
        <f t="shared" si="0"/>
        <v>5.2063234923124577</v>
      </c>
      <c r="E28" s="427">
        <f>((RF!C29/RF!$L29)-(RF!C28/RF!$L28))/((RF!B29/RF!$K29)-(RF!C28/RF!$L28))</f>
        <v>3.5017788033478534E-2</v>
      </c>
      <c r="F28" s="128">
        <f t="shared" si="7"/>
        <v>4</v>
      </c>
      <c r="G28" s="5">
        <f>((1-I28)*(G27/$O27)+I28*(F28/$N28))*'global path'!$C26</f>
        <v>7.157731604596612</v>
      </c>
      <c r="H28" s="4">
        <f t="shared" si="1"/>
        <v>1.789432901149153</v>
      </c>
      <c r="I28" s="427">
        <f>((RF!F29/RF!$L29)-(RF!F28/RF!$L28))/((RF!E29/RF!$K29)-(RF!F28/RF!$L28))</f>
        <v>3.5017788033478867E-2</v>
      </c>
      <c r="J28" s="128">
        <f t="shared" si="8"/>
        <v>1.7000000000000004</v>
      </c>
      <c r="K28" s="5">
        <f>((1-M28)*(K27/$O27)+M28*(J28/$N28))*'global path'!$C26</f>
        <v>1.131342406234302</v>
      </c>
      <c r="L28" s="4">
        <f t="shared" si="2"/>
        <v>0.665495533079001</v>
      </c>
      <c r="M28" s="427">
        <f>((RF!I29/RF!$L29)-(RF!I28/RF!$L28))/((RF!H29/RF!$K29)-(RF!I28/RF!$L28))</f>
        <v>3.5017788033478527E-2</v>
      </c>
      <c r="N28" s="129">
        <f t="shared" si="9"/>
        <v>6.9</v>
      </c>
      <c r="O28" s="19">
        <f t="shared" si="10"/>
        <v>14.536662201605864</v>
      </c>
      <c r="P28" s="4">
        <f t="shared" si="3"/>
        <v>2.1067626379138931</v>
      </c>
      <c r="Q28" s="119"/>
      <c r="S28" s="463">
        <f>C28-RF!C29</f>
        <v>0</v>
      </c>
      <c r="T28" s="464">
        <f>G28-RF!F29</f>
        <v>0</v>
      </c>
      <c r="U28" s="465">
        <f>K28-RF!I29</f>
        <v>0</v>
      </c>
      <c r="V28" s="477">
        <f t="shared" si="4"/>
        <v>0</v>
      </c>
    </row>
    <row r="29" spans="1:22" x14ac:dyDescent="0.2">
      <c r="A29" s="49">
        <f t="shared" si="5"/>
        <v>2040</v>
      </c>
      <c r="B29" s="128">
        <f t="shared" si="6"/>
        <v>1.2</v>
      </c>
      <c r="C29" s="5">
        <f>((1-E29)*(C28/$O28)+E29*(B29/$N29))*'global path'!$C27</f>
        <v>5.5723094564684406</v>
      </c>
      <c r="D29" s="4">
        <f t="shared" si="0"/>
        <v>4.6435912137237008</v>
      </c>
      <c r="E29" s="427">
        <f>((RF!C30/RF!$L30)-(RF!C29/RF!$L29))/((RF!B30/RF!$K30)-(RF!C29/RF!$L29))</f>
        <v>4.1267957304014301E-2</v>
      </c>
      <c r="F29" s="128">
        <f t="shared" si="7"/>
        <v>4</v>
      </c>
      <c r="G29" s="5">
        <f>((1-I29)*(G28/$O28)+I29*(F29/$N29))*'global path'!$C27</f>
        <v>6.592775074891585</v>
      </c>
      <c r="H29" s="4">
        <f t="shared" si="1"/>
        <v>1.6481937687228962</v>
      </c>
      <c r="I29" s="427">
        <f>((RF!F30/RF!$L30)-(RF!F29/RF!$L29))/((RF!E30/RF!$K30)-(RF!F29/RF!$L29))</f>
        <v>4.1267957304013406E-2</v>
      </c>
      <c r="J29" s="128">
        <f t="shared" si="8"/>
        <v>1.7000000000000004</v>
      </c>
      <c r="K29" s="5">
        <f>((1-M29)*(K28/$O28)+M29*(J29/$N29))*'global path'!$C27</f>
        <v>1.1269309389468989</v>
      </c>
      <c r="L29" s="4">
        <f t="shared" si="2"/>
        <v>0.66290055232170508</v>
      </c>
      <c r="M29" s="427">
        <f>((RF!I30/RF!$L30)-(RF!I29/RF!$L29))/((RF!H30/RF!$K30)-(RF!I29/RF!$L29))</f>
        <v>4.126795730401412E-2</v>
      </c>
      <c r="N29" s="129">
        <f t="shared" si="9"/>
        <v>6.9</v>
      </c>
      <c r="O29" s="19">
        <f t="shared" si="10"/>
        <v>13.292015470306925</v>
      </c>
      <c r="P29" s="4">
        <f t="shared" si="3"/>
        <v>1.9263790536676701</v>
      </c>
      <c r="Q29" s="119"/>
      <c r="S29" s="463">
        <f>C29-RF!C30</f>
        <v>0</v>
      </c>
      <c r="T29" s="464">
        <f>G29-RF!F30</f>
        <v>0</v>
      </c>
      <c r="U29" s="465">
        <f>K29-RF!I30</f>
        <v>0</v>
      </c>
      <c r="V29" s="477">
        <f t="shared" si="4"/>
        <v>1.8041124150158794E-16</v>
      </c>
    </row>
    <row r="30" spans="1:22" x14ac:dyDescent="0.2">
      <c r="A30" s="49">
        <f t="shared" si="5"/>
        <v>2041</v>
      </c>
      <c r="B30" s="128">
        <f t="shared" si="6"/>
        <v>1.2</v>
      </c>
      <c r="C30" s="5">
        <f>((1-E30)*(C29/$O29)+E30*(B30/$N30))*'global path'!$C28</f>
        <v>4.9311874194817111</v>
      </c>
      <c r="D30" s="4">
        <f t="shared" si="0"/>
        <v>4.1093228495680929</v>
      </c>
      <c r="E30" s="427">
        <f>((RF!C31/RF!$L31)-(RF!C30/RF!$L30))/((RF!B31/RF!$K31)-(RF!C30/RF!$L30))</f>
        <v>4.9054885014519461E-2</v>
      </c>
      <c r="F30" s="128">
        <f t="shared" si="7"/>
        <v>4</v>
      </c>
      <c r="G30" s="5">
        <f>((1-I30)*(G29/$O29)+I30*(F30/$N30))*'global path'!$C28</f>
        <v>6.0563949658608838</v>
      </c>
      <c r="H30" s="4">
        <f t="shared" si="1"/>
        <v>1.5140987414652209</v>
      </c>
      <c r="I30" s="427">
        <f>((RF!F31/RF!$L31)-(RF!F30/RF!$L30))/((RF!E31/RF!$K31)-(RF!F30/RF!$L30))</f>
        <v>4.9054885014519274E-2</v>
      </c>
      <c r="J30" s="128">
        <f t="shared" si="8"/>
        <v>1.7000000000000004</v>
      </c>
      <c r="K30" s="5">
        <f>((1-M30)*(K29/$O29)+M30*(J30/$N30))*'global path'!$C28</f>
        <v>1.1227426108540492</v>
      </c>
      <c r="L30" s="4">
        <f t="shared" si="2"/>
        <v>0.66043682991414643</v>
      </c>
      <c r="M30" s="427">
        <f>((RF!I31/RF!$L31)-(RF!I30/RF!$L30))/((RF!H31/RF!$K31)-(RF!I30/RF!$L30))</f>
        <v>4.9054885014519371E-2</v>
      </c>
      <c r="N30" s="129">
        <f t="shared" si="9"/>
        <v>6.9</v>
      </c>
      <c r="O30" s="19">
        <f t="shared" si="10"/>
        <v>12.110324996196644</v>
      </c>
      <c r="P30" s="4">
        <f t="shared" si="3"/>
        <v>1.7551195646661801</v>
      </c>
      <c r="Q30" s="119"/>
      <c r="S30" s="463">
        <f>C30-RF!C31</f>
        <v>0</v>
      </c>
      <c r="T30" s="464">
        <f>G30-RF!F31</f>
        <v>0</v>
      </c>
      <c r="U30" s="465">
        <f>K30-RF!I31</f>
        <v>0</v>
      </c>
      <c r="V30" s="477">
        <f t="shared" si="4"/>
        <v>9.0205620750793969E-17</v>
      </c>
    </row>
    <row r="31" spans="1:22" x14ac:dyDescent="0.2">
      <c r="A31" s="49">
        <f t="shared" si="5"/>
        <v>2042</v>
      </c>
      <c r="B31" s="128">
        <f t="shared" si="6"/>
        <v>1.2</v>
      </c>
      <c r="C31" s="5">
        <f>((1-E31)*(C30/$O30)+E31*(B31/$N31))*'global path'!$C29</f>
        <v>4.3255046626991218</v>
      </c>
      <c r="D31" s="4">
        <f t="shared" si="0"/>
        <v>3.6045872189159351</v>
      </c>
      <c r="E31" s="427">
        <f>((RF!C32/RF!$L32)-(RF!C31/RF!$L31))/((RF!B32/RF!$K32)-(RF!C31/RF!$L31))</f>
        <v>5.892074192208787E-2</v>
      </c>
      <c r="F31" s="128">
        <f t="shared" si="7"/>
        <v>4</v>
      </c>
      <c r="G31" s="5">
        <f>((1-I31)*(G30/$O30)+I31*(F31/$N31))*'global path'!$C29</f>
        <v>5.5496643211805381</v>
      </c>
      <c r="H31" s="4">
        <f t="shared" si="1"/>
        <v>1.3874160802951345</v>
      </c>
      <c r="I31" s="427">
        <f>((RF!F32/RF!$L32)-(RF!F31/RF!$L31))/((RF!E32/RF!$K32)-(RF!F31/RF!$L31))</f>
        <v>5.8920741922087037E-2</v>
      </c>
      <c r="J31" s="128">
        <f t="shared" si="8"/>
        <v>1.7000000000000004</v>
      </c>
      <c r="K31" s="5">
        <f>((1-M31)*(K30/$O30)+M31*(J31/$N31))*'global path'!$C29</f>
        <v>1.1187858008253215</v>
      </c>
      <c r="L31" s="4">
        <f t="shared" si="2"/>
        <v>0.65810929460313017</v>
      </c>
      <c r="M31" s="427">
        <f>((RF!I32/RF!$L32)-(RF!I31/RF!$L31))/((RF!H32/RF!$K32)-(RF!I31/RF!$L31))</f>
        <v>5.8920741922087821E-2</v>
      </c>
      <c r="N31" s="129">
        <f t="shared" si="9"/>
        <v>6.9</v>
      </c>
      <c r="O31" s="19">
        <f t="shared" si="10"/>
        <v>10.993954784704982</v>
      </c>
      <c r="P31" s="4">
        <f t="shared" si="3"/>
        <v>1.5933267803920264</v>
      </c>
      <c r="Q31" s="119"/>
      <c r="S31" s="463">
        <f>C31-RF!C32</f>
        <v>0</v>
      </c>
      <c r="T31" s="464">
        <f>G31-RF!F32</f>
        <v>0</v>
      </c>
      <c r="U31" s="465">
        <f>K31-RF!I32</f>
        <v>0</v>
      </c>
      <c r="V31" s="477">
        <f t="shared" si="4"/>
        <v>0</v>
      </c>
    </row>
    <row r="32" spans="1:22" x14ac:dyDescent="0.2">
      <c r="A32" s="49">
        <f t="shared" si="5"/>
        <v>2043</v>
      </c>
      <c r="B32" s="128">
        <f t="shared" si="6"/>
        <v>1.2</v>
      </c>
      <c r="C32" s="5">
        <f>((1-E32)*(C31/$O31)+E32*(B32/$N32))*'global path'!$C30</f>
        <v>3.7560851173828778</v>
      </c>
      <c r="D32" s="4">
        <f t="shared" si="0"/>
        <v>3.1300709311523982</v>
      </c>
      <c r="E32" s="427">
        <f>((RF!C33/RF!$L33)-(RF!C32/RF!$L32))/((RF!B33/RF!$K33)-(RF!C32/RF!$L32))</f>
        <v>7.1681214307921584E-2</v>
      </c>
      <c r="F32" s="128">
        <f t="shared" si="7"/>
        <v>4</v>
      </c>
      <c r="G32" s="5">
        <f>((1-I32)*(G31/$O31)+I32*(F32/$N32))*'global path'!$C30</f>
        <v>5.0732724641225033</v>
      </c>
      <c r="H32" s="4">
        <f t="shared" si="1"/>
        <v>1.2683181160306258</v>
      </c>
      <c r="I32" s="427">
        <f>((RF!F33/RF!$L33)-(RF!F32/RF!$L32))/((RF!E33/RF!$K33)-(RF!F32/RF!$L32))</f>
        <v>7.1681214307923818E-2</v>
      </c>
      <c r="J32" s="128">
        <f t="shared" si="8"/>
        <v>1.7000000000000004</v>
      </c>
      <c r="K32" s="5">
        <f>((1-M32)*(K31/$O31)+M32*(J32/$N32))*'global path'!$C30</f>
        <v>1.1150658914466414</v>
      </c>
      <c r="L32" s="4">
        <f t="shared" si="2"/>
        <v>0.65592111261567121</v>
      </c>
      <c r="M32" s="427">
        <f>((RF!I33/RF!$L33)-(RF!I32/RF!$L32))/((RF!H33/RF!$K33)-(RF!I32/RF!$L32))</f>
        <v>7.1681214307921973E-2</v>
      </c>
      <c r="N32" s="129">
        <f t="shared" si="9"/>
        <v>6.9</v>
      </c>
      <c r="O32" s="19">
        <f t="shared" si="10"/>
        <v>9.9444234729520229</v>
      </c>
      <c r="P32" s="4">
        <f t="shared" si="3"/>
        <v>1.4412207931814525</v>
      </c>
      <c r="Q32" s="119"/>
      <c r="S32" s="463">
        <f>C32-RF!C33</f>
        <v>0</v>
      </c>
      <c r="T32" s="464">
        <f>G32-RF!F33</f>
        <v>0</v>
      </c>
      <c r="U32" s="465">
        <f>K32-RF!I33</f>
        <v>0</v>
      </c>
      <c r="V32" s="477">
        <f t="shared" si="4"/>
        <v>-3.8857805861880479E-16</v>
      </c>
    </row>
    <row r="33" spans="1:22" x14ac:dyDescent="0.2">
      <c r="A33" s="49">
        <f t="shared" si="5"/>
        <v>2044</v>
      </c>
      <c r="B33" s="128">
        <f t="shared" si="6"/>
        <v>1.2</v>
      </c>
      <c r="C33" s="5">
        <f>((1-E33)*(C32/$O32)+E33*(B33/$N33))*'global path'!$C31</f>
        <v>3.2233225200091207</v>
      </c>
      <c r="D33" s="4">
        <f t="shared" si="0"/>
        <v>2.6861021000076009</v>
      </c>
      <c r="E33" s="427">
        <f>((RF!C34/RF!$L34)-(RF!C33/RF!$L33))/((RF!B34/RF!$K34)-(RF!C33/RF!$L33))</f>
        <v>8.8620958771864128E-2</v>
      </c>
      <c r="F33" s="128">
        <f t="shared" si="7"/>
        <v>4</v>
      </c>
      <c r="G33" s="5">
        <f>((1-I33)*(G32/$O32)+I33*(F33/$N33))*'global path'!$C31</f>
        <v>4.6275488053166036</v>
      </c>
      <c r="H33" s="4">
        <f t="shared" si="1"/>
        <v>1.1568872013291509</v>
      </c>
      <c r="I33" s="427">
        <f>((RF!F34/RF!$L34)-(RF!F33/RF!$L33))/((RF!E34/RF!$K34)-(RF!F33/RF!$L33))</f>
        <v>8.8620958771861907E-2</v>
      </c>
      <c r="J33" s="128">
        <f t="shared" si="8"/>
        <v>1.7000000000000004</v>
      </c>
      <c r="K33" s="5">
        <f>((1-M33)*(K32/$O32)+M33*(J33/$N33))*'global path'!$C31</f>
        <v>1.1115854549233735</v>
      </c>
      <c r="L33" s="4">
        <f t="shared" si="2"/>
        <v>0.65387379701374893</v>
      </c>
      <c r="M33" s="427">
        <f>((RF!I34/RF!$L34)-(RF!I33/RF!$L33))/((RF!H34/RF!$K34)-(RF!I33/RF!$L33))</f>
        <v>8.8620958771863684E-2</v>
      </c>
      <c r="N33" s="129">
        <f t="shared" si="9"/>
        <v>6.9</v>
      </c>
      <c r="O33" s="19">
        <f t="shared" si="10"/>
        <v>8.9624567802490986</v>
      </c>
      <c r="P33" s="4">
        <f t="shared" si="3"/>
        <v>1.2989067797462461</v>
      </c>
      <c r="Q33" s="119"/>
      <c r="S33" s="463">
        <f>C33-RF!C34</f>
        <v>0</v>
      </c>
      <c r="T33" s="464">
        <f>G33-RF!F34</f>
        <v>0</v>
      </c>
      <c r="U33" s="465">
        <f>K33-RF!I34</f>
        <v>0</v>
      </c>
      <c r="V33" s="477">
        <f t="shared" si="4"/>
        <v>4.4408920985006262E-16</v>
      </c>
    </row>
    <row r="34" spans="1:22" x14ac:dyDescent="0.2">
      <c r="A34" s="49">
        <f t="shared" si="5"/>
        <v>2045</v>
      </c>
      <c r="B34" s="128">
        <f t="shared" si="6"/>
        <v>1.2</v>
      </c>
      <c r="C34" s="5">
        <f>((1-E34)*(C33/$O33)+E34*(B34/$N34))*'global path'!$C32</f>
        <v>2.727213490071561</v>
      </c>
      <c r="D34" s="4">
        <f t="shared" si="0"/>
        <v>2.2726779083929678</v>
      </c>
      <c r="E34" s="427">
        <f>((RF!C35/RF!$L35)-(RF!C34/RF!$L34))/((RF!B35/RF!$K35)-(RF!C34/RF!$L34))</f>
        <v>0.1118844774940173</v>
      </c>
      <c r="F34" s="128">
        <f t="shared" si="7"/>
        <v>4</v>
      </c>
      <c r="G34" s="5">
        <f>((1-I34)*(G33/$O33)+I34*(F34/$N34))*'global path'!$C32</f>
        <v>4.2124905165394662</v>
      </c>
      <c r="H34" s="4">
        <f t="shared" si="1"/>
        <v>1.0531226291348665</v>
      </c>
      <c r="I34" s="427">
        <f>((RF!F35/RF!$L35)-(RF!F34/RF!$L34))/((RF!E35/RF!$K35)-(RF!F34/RF!$L34))</f>
        <v>0.11188447749401741</v>
      </c>
      <c r="J34" s="128">
        <f t="shared" si="8"/>
        <v>1.7000000000000004</v>
      </c>
      <c r="K34" s="5">
        <f>((1-M34)*(K33/$O33)+M34*(J34/$N34))*'global path'!$C32</f>
        <v>1.1083444691713156</v>
      </c>
      <c r="L34" s="4">
        <f t="shared" si="2"/>
        <v>0.65196733480665603</v>
      </c>
      <c r="M34" s="427">
        <f>((RF!I35/RF!$L35)-(RF!I34/RF!$L34))/((RF!H35/RF!$K35)-(RF!I34/RF!$L34))</f>
        <v>0.11188447749401757</v>
      </c>
      <c r="N34" s="129">
        <f t="shared" si="9"/>
        <v>6.9</v>
      </c>
      <c r="O34" s="19">
        <f t="shared" si="10"/>
        <v>8.0480484757823429</v>
      </c>
      <c r="P34" s="4">
        <f t="shared" si="3"/>
        <v>1.1663838370699047</v>
      </c>
      <c r="Q34" s="119"/>
      <c r="S34" s="463">
        <f>C34-RF!C35</f>
        <v>0</v>
      </c>
      <c r="T34" s="464">
        <f>G34-RF!F35</f>
        <v>0</v>
      </c>
      <c r="U34" s="465">
        <f>K34-RF!I35</f>
        <v>0</v>
      </c>
      <c r="V34" s="477">
        <f t="shared" si="4"/>
        <v>-2.7755575615628914E-16</v>
      </c>
    </row>
    <row r="35" spans="1:22" x14ac:dyDescent="0.2">
      <c r="A35" s="49">
        <f t="shared" si="5"/>
        <v>2046</v>
      </c>
      <c r="B35" s="128">
        <f t="shared" si="6"/>
        <v>1.2</v>
      </c>
      <c r="C35" s="5">
        <f>((1-E35)*(C34/$O34)+E35*(B35/$N35))*'global path'!$C33</f>
        <v>2.2673941820180246</v>
      </c>
      <c r="D35" s="4">
        <f t="shared" si="0"/>
        <v>1.8894951516816871</v>
      </c>
      <c r="E35" s="427">
        <f>((RF!C36/RF!$L36)-(RF!C35/RF!$L35))/((RF!B36/RF!$K36)-(RF!C35/RF!$L35))</f>
        <v>0.1453359935049709</v>
      </c>
      <c r="F35" s="128">
        <f t="shared" si="7"/>
        <v>4</v>
      </c>
      <c r="G35" s="5">
        <f>((1-I35)*(G34/$O34)+I35*(F35/$N35))*'global path'!$C33</f>
        <v>3.8277931947200905</v>
      </c>
      <c r="H35" s="4">
        <f t="shared" si="1"/>
        <v>0.95694829868002262</v>
      </c>
      <c r="I35" s="427">
        <f>((RF!F36/RF!$L36)-(RF!F35/RF!$L35))/((RF!E36/RF!$K36)-(RF!F35/RF!$L35))</f>
        <v>0.14533599350497228</v>
      </c>
      <c r="J35" s="128">
        <f t="shared" si="8"/>
        <v>1.7000000000000004</v>
      </c>
      <c r="K35" s="5">
        <f>((1-M35)*(K34/$O34)+M35*(J35/$N35))*'global path'!$C33</f>
        <v>1.1053405572568116</v>
      </c>
      <c r="L35" s="4">
        <f t="shared" si="2"/>
        <v>0.65020032779812431</v>
      </c>
      <c r="M35" s="427">
        <f>((RF!I36/RF!$L36)-(RF!I35/RF!$L35))/((RF!H36/RF!$K36)-(RF!I35/RF!$L35))</f>
        <v>0.14533599350497081</v>
      </c>
      <c r="N35" s="129">
        <f t="shared" si="9"/>
        <v>6.9</v>
      </c>
      <c r="O35" s="19">
        <f t="shared" si="10"/>
        <v>7.2005279339949269</v>
      </c>
      <c r="P35" s="4">
        <f t="shared" si="3"/>
        <v>1.043554773042743</v>
      </c>
      <c r="Q35" s="119"/>
      <c r="S35" s="463">
        <f>C35-RF!C36</f>
        <v>0</v>
      </c>
      <c r="T35" s="464">
        <f>G35-RF!F36</f>
        <v>0</v>
      </c>
      <c r="U35" s="465">
        <f>K35-RF!I36</f>
        <v>0</v>
      </c>
      <c r="V35" s="477">
        <f t="shared" si="4"/>
        <v>0</v>
      </c>
    </row>
    <row r="36" spans="1:22" x14ac:dyDescent="0.2">
      <c r="A36" s="49">
        <f t="shared" si="5"/>
        <v>2047</v>
      </c>
      <c r="B36" s="128">
        <f t="shared" si="6"/>
        <v>1.2</v>
      </c>
      <c r="C36" s="5">
        <f>((1-E36)*(C35/$O35)+E36*(B36/$N36))*'global path'!$C34</f>
        <v>1.8431794720279724</v>
      </c>
      <c r="D36" s="4">
        <f t="shared" si="0"/>
        <v>1.5359828933566437</v>
      </c>
      <c r="E36" s="427">
        <f>((RF!C37/RF!$L37)-(RF!C36/RF!$L36))/((RF!B37/RF!$K37)-(RF!C36/RF!$L36))</f>
        <v>0.19670906402254812</v>
      </c>
      <c r="F36" s="128">
        <f t="shared" si="7"/>
        <v>4</v>
      </c>
      <c r="G36" s="5">
        <f>((1-I36)*(G35/$O35)+I36*(F36/$N36))*'global path'!$C34</f>
        <v>3.4728836466622357</v>
      </c>
      <c r="H36" s="4">
        <f t="shared" si="1"/>
        <v>0.86822091166555893</v>
      </c>
      <c r="I36" s="427">
        <f>((RF!F37/RF!$L37)-(RF!F36/RF!$L36))/((RF!E37/RF!$K37)-(RF!F36/RF!$L36))</f>
        <v>0.1967090640225492</v>
      </c>
      <c r="J36" s="128">
        <f t="shared" si="8"/>
        <v>1.7000000000000004</v>
      </c>
      <c r="K36" s="5">
        <f>((1-M36)*(K35/$O35)+M36*(J36/$N36))*'global path'!$C34</f>
        <v>1.1025692433965015</v>
      </c>
      <c r="L36" s="4">
        <f t="shared" si="2"/>
        <v>0.64857014317441253</v>
      </c>
      <c r="M36" s="427">
        <f>((RF!I37/RF!$L37)-(RF!I36/RF!$L36))/((RF!H37/RF!$K37)-(RF!I36/RF!$L36))</f>
        <v>0.19670906402254845</v>
      </c>
      <c r="N36" s="129">
        <f t="shared" si="9"/>
        <v>6.9</v>
      </c>
      <c r="O36" s="19">
        <f t="shared" si="10"/>
        <v>6.4186323620867096</v>
      </c>
      <c r="P36" s="4">
        <f t="shared" si="3"/>
        <v>0.93023657421546513</v>
      </c>
      <c r="Q36" s="119"/>
      <c r="S36" s="463">
        <f>C36-RF!C37</f>
        <v>0</v>
      </c>
      <c r="T36" s="464">
        <f>G36-RF!F37</f>
        <v>0</v>
      </c>
      <c r="U36" s="465">
        <f>K36-RF!I37</f>
        <v>0</v>
      </c>
      <c r="V36" s="477">
        <f t="shared" si="4"/>
        <v>-3.3306690738754696E-16</v>
      </c>
    </row>
    <row r="37" spans="1:22" x14ac:dyDescent="0.2">
      <c r="A37" s="49">
        <f t="shared" si="5"/>
        <v>2048</v>
      </c>
      <c r="B37" s="128">
        <f t="shared" si="6"/>
        <v>1.2</v>
      </c>
      <c r="C37" s="5">
        <f>((1-E37)*(C36/$O36)+E37*(B37/$N37))*'global path'!$C35</f>
        <v>1.4536036745156036</v>
      </c>
      <c r="D37" s="4">
        <f t="shared" si="0"/>
        <v>1.2113363954296696</v>
      </c>
      <c r="E37" s="427">
        <f>((RF!C38/RF!$L38)-(RF!C37/RF!$L37))/((RF!B38/RF!$K38)-(RF!C37/RF!$L37))</f>
        <v>0.2840553045354105</v>
      </c>
      <c r="F37" s="128">
        <f t="shared" si="7"/>
        <v>4</v>
      </c>
      <c r="G37" s="5">
        <f>((1-I37)*(G36/$O36)+I37*(F37/$N37))*'global path'!$C35</f>
        <v>3.1469539535767797</v>
      </c>
      <c r="H37" s="4">
        <f t="shared" si="1"/>
        <v>0.78673848839419491</v>
      </c>
      <c r="I37" s="427">
        <f>((RF!F38/RF!$L38)-(RF!F37/RF!$L37))/((RF!E38/RF!$K38)-(RF!F37/RF!$L37))</f>
        <v>0.28405530453540961</v>
      </c>
      <c r="J37" s="128">
        <f t="shared" si="8"/>
        <v>1.7000000000000004</v>
      </c>
      <c r="K37" s="5">
        <f>((1-M37)*(K36/$O36)+M37*(J37/$N37))*'global path'!$C35</f>
        <v>1.1000242189504783</v>
      </c>
      <c r="L37" s="4">
        <f t="shared" si="2"/>
        <v>0.64707306997086944</v>
      </c>
      <c r="M37" s="427">
        <f>((RF!I38/RF!$L38)-(RF!I37/RF!$L37))/((RF!H38/RF!$K38)-(RF!I37/RF!$L37))</f>
        <v>0.28405530453540978</v>
      </c>
      <c r="N37" s="129">
        <f t="shared" si="9"/>
        <v>6.9</v>
      </c>
      <c r="O37" s="19">
        <f t="shared" si="10"/>
        <v>5.7005818470428613</v>
      </c>
      <c r="P37" s="4">
        <f t="shared" si="3"/>
        <v>0.82617128218012481</v>
      </c>
      <c r="Q37" s="119"/>
      <c r="S37" s="463">
        <f>C37-RF!C38</f>
        <v>0</v>
      </c>
      <c r="T37" s="464">
        <f>G37-RF!F38</f>
        <v>0</v>
      </c>
      <c r="U37" s="465">
        <f>K37-RF!I38</f>
        <v>0</v>
      </c>
      <c r="V37" s="477">
        <f t="shared" si="4"/>
        <v>7.2164496600635175E-16</v>
      </c>
    </row>
    <row r="38" spans="1:22" x14ac:dyDescent="0.2">
      <c r="A38" s="49">
        <f t="shared" si="5"/>
        <v>2049</v>
      </c>
      <c r="B38" s="128">
        <f t="shared" si="6"/>
        <v>1.2</v>
      </c>
      <c r="C38" s="5">
        <f>((1-E38)*(C37/$O37)+E38*(B38/$N38))*'global path'!$C36</f>
        <v>1.097461840764286</v>
      </c>
      <c r="D38" s="4">
        <f t="shared" si="0"/>
        <v>0.91455153397023836</v>
      </c>
      <c r="E38" s="427">
        <f>((RF!C39/RF!$L39)-(RF!C38/RF!$L38))/((RF!B39/RF!$K39)-(RF!C38/RF!$L38))</f>
        <v>0.46153908782879016</v>
      </c>
      <c r="F38" s="128">
        <f t="shared" si="7"/>
        <v>4</v>
      </c>
      <c r="G38" s="5">
        <f>((1-I38)*(G37/$O37)+I38*(F38/$N38))*'global path'!$C36</f>
        <v>2.8489960226409572</v>
      </c>
      <c r="H38" s="4">
        <f t="shared" si="1"/>
        <v>0.7122490056602393</v>
      </c>
      <c r="I38" s="427">
        <f>((RF!F39/RF!$L39)-(RF!F38/RF!$L38))/((RF!E39/RF!$K39)-(RF!F38/RF!$L38))</f>
        <v>0.46153908782878872</v>
      </c>
      <c r="J38" s="128">
        <f t="shared" si="8"/>
        <v>1.7000000000000004</v>
      </c>
      <c r="K38" s="5">
        <f>((1-M38)*(K37/$O37)+M38*(J38/$N38))*'global path'!$C36</f>
        <v>1.0976976122183959</v>
      </c>
      <c r="L38" s="4">
        <f t="shared" si="2"/>
        <v>0.64570447777552686</v>
      </c>
      <c r="M38" s="427">
        <f>((RF!I39/RF!$L39)-(RF!I38/RF!$L38))/((RF!H39/RF!$K39)-(RF!I38/RF!$L38))</f>
        <v>0.46153908782878911</v>
      </c>
      <c r="N38" s="129">
        <f t="shared" si="9"/>
        <v>6.9</v>
      </c>
      <c r="O38" s="19">
        <f t="shared" si="10"/>
        <v>5.0441554756236391</v>
      </c>
      <c r="P38" s="4">
        <f t="shared" si="3"/>
        <v>0.73103702545270133</v>
      </c>
      <c r="Q38" s="119"/>
      <c r="S38" s="463">
        <f>C38-RF!C39</f>
        <v>0</v>
      </c>
      <c r="T38" s="464">
        <f>G38-RF!F39</f>
        <v>0</v>
      </c>
      <c r="U38" s="465">
        <f>K38-RF!I39</f>
        <v>0</v>
      </c>
      <c r="V38" s="477">
        <f t="shared" si="4"/>
        <v>1.0547118733938987E-15</v>
      </c>
    </row>
    <row r="39" spans="1:22" ht="13.5" thickBot="1" x14ac:dyDescent="0.25">
      <c r="A39" s="49">
        <f t="shared" si="5"/>
        <v>2050</v>
      </c>
      <c r="B39" s="139">
        <f>RF!B40</f>
        <v>1.2</v>
      </c>
      <c r="C39" s="5">
        <f>((1-E39)*(C38/$O38)+E39*(B39/$N39))*'global path'!$C37</f>
        <v>0.7733507691894369</v>
      </c>
      <c r="D39" s="140">
        <f t="shared" si="0"/>
        <v>0.64445897432453081</v>
      </c>
      <c r="E39" s="427">
        <f>((RF!C40/RF!$L40)-(RF!C39/RF!$L39))/((RF!B40/RF!$K40)-(RF!C39/RF!$L39))</f>
        <v>1.0000000000000007</v>
      </c>
      <c r="F39" s="141">
        <f>RF!E40</f>
        <v>4</v>
      </c>
      <c r="G39" s="5">
        <f>((1-I39)*(G38/$O38)+I39*(F39/$N39))*'global path'!$C37</f>
        <v>2.5778358972981232</v>
      </c>
      <c r="H39" s="140">
        <f t="shared" si="1"/>
        <v>0.64445897432453081</v>
      </c>
      <c r="I39" s="427">
        <f>((RF!F40/RF!$L40)-(RF!F39/RF!$L39))/((RF!E40/RF!$K40)-(RF!F39/RF!$L39))</f>
        <v>0.99999999999999256</v>
      </c>
      <c r="J39" s="149">
        <f>N39-F39-B39</f>
        <v>1.7000000000000004</v>
      </c>
      <c r="K39" s="5">
        <f>((1-M39)*(K38/$O38)+M39*(J39/$N39))*'global path'!$C37</f>
        <v>1.0955802563517025</v>
      </c>
      <c r="L39" s="140">
        <f t="shared" si="2"/>
        <v>0.6444589743245307</v>
      </c>
      <c r="M39" s="427">
        <f>((RF!I40/RF!$L40)-(RF!I39/RF!$L39))/((RF!H40/RF!$K40)-(RF!I39/RF!$L39))</f>
        <v>0.999999999999999</v>
      </c>
      <c r="N39" s="141">
        <f>RF!K40</f>
        <v>6.9</v>
      </c>
      <c r="O39" s="19">
        <f t="shared" si="10"/>
        <v>4.446766922839263</v>
      </c>
      <c r="P39" s="4">
        <f t="shared" si="3"/>
        <v>0.64445897432453081</v>
      </c>
      <c r="Q39" s="423"/>
      <c r="S39" s="466">
        <f>C39-RF!C40</f>
        <v>0</v>
      </c>
      <c r="T39" s="467">
        <f>G39-RF!F40</f>
        <v>0</v>
      </c>
      <c r="U39" s="468">
        <f>K39-RF!I40</f>
        <v>0</v>
      </c>
      <c r="V39" s="478">
        <f t="shared" si="4"/>
        <v>0</v>
      </c>
    </row>
    <row r="40" spans="1:22" ht="13.5" thickBot="1" x14ac:dyDescent="0.25">
      <c r="A40" s="143" t="s">
        <v>1</v>
      </c>
      <c r="B40" s="144"/>
      <c r="C40" s="145">
        <f>SUM(C9:C39)</f>
        <v>305.50878147574412</v>
      </c>
      <c r="D40" s="146"/>
      <c r="E40" s="146"/>
      <c r="F40" s="144"/>
      <c r="G40" s="145">
        <f>SUM(G9:G39)</f>
        <v>315.45266303406379</v>
      </c>
      <c r="H40" s="146"/>
      <c r="I40" s="146"/>
      <c r="J40" s="144"/>
      <c r="K40" s="145">
        <f>SUM(K9:K39)</f>
        <v>35.802201848035125</v>
      </c>
      <c r="L40" s="146"/>
      <c r="M40" s="146"/>
      <c r="N40" s="144"/>
      <c r="O40" s="147">
        <f>SUM(O9:O39)</f>
        <v>656.76364635784296</v>
      </c>
      <c r="P40" s="148"/>
      <c r="Q40" s="138"/>
    </row>
    <row r="41" spans="1:22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</row>
    <row r="42" spans="1:22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 t="s">
        <v>41</v>
      </c>
      <c r="M42" s="7"/>
      <c r="N42" s="114"/>
      <c r="O42" s="113">
        <f>'global path'!C89</f>
        <v>656.76364635784296</v>
      </c>
      <c r="P42" s="7"/>
      <c r="Q42" s="7"/>
    </row>
    <row r="43" spans="1:22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113">
        <f>O40-O42</f>
        <v>0</v>
      </c>
      <c r="P43" s="7"/>
      <c r="Q43" s="7"/>
    </row>
    <row r="52" spans="25:25" x14ac:dyDescent="0.2">
      <c r="Y52" s="3" t="s">
        <v>155</v>
      </c>
    </row>
    <row r="53" spans="25:25" ht="13.5" x14ac:dyDescent="0.25">
      <c r="Y53" s="451"/>
    </row>
  </sheetData>
  <sheetProtection selectLockedCells="1"/>
  <mergeCells count="6">
    <mergeCell ref="S3:U3"/>
    <mergeCell ref="H1:L1"/>
    <mergeCell ref="N4:Q4"/>
    <mergeCell ref="B4:E4"/>
    <mergeCell ref="F4:I4"/>
    <mergeCell ref="J4:M4"/>
  </mergeCells>
  <conditionalFormatting sqref="O43">
    <cfRule type="cellIs" dxfId="21" priority="1" stopIfTrue="1" operator="equal">
      <formula>0</formula>
    </cfRule>
  </conditionalFormatting>
  <conditionalFormatting sqref="Q8:Q39">
    <cfRule type="expression" dxfId="20" priority="2" stopIfTrue="1">
      <formula>AND(Q8=-100,Q9=-100)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7030A0"/>
    <pageSetUpPr fitToPage="1"/>
  </sheetPr>
  <dimension ref="A1:AP43"/>
  <sheetViews>
    <sheetView zoomScaleNormal="100" workbookViewId="0">
      <selection activeCell="A2" sqref="A2"/>
    </sheetView>
  </sheetViews>
  <sheetFormatPr baseColWidth="10" defaultColWidth="11.7109375" defaultRowHeight="12.75" x14ac:dyDescent="0.2"/>
  <cols>
    <col min="1" max="1" width="6.42578125" style="3" customWidth="1"/>
    <col min="2" max="2" width="4.42578125" style="3" bestFit="1" customWidth="1"/>
    <col min="3" max="3" width="4.42578125" style="3" customWidth="1"/>
    <col min="4" max="4" width="5.42578125" style="3" bestFit="1" customWidth="1"/>
    <col min="5" max="5" width="4.42578125" style="3" customWidth="1"/>
    <col min="6" max="6" width="6.140625" style="3" customWidth="1"/>
    <col min="7" max="7" width="4.42578125" style="3" bestFit="1" customWidth="1"/>
    <col min="8" max="8" width="4.7109375" style="3" customWidth="1"/>
    <col min="9" max="9" width="5" style="3" customWidth="1"/>
    <col min="10" max="10" width="4.42578125" style="3" customWidth="1"/>
    <col min="11" max="11" width="5.28515625" style="3" bestFit="1" customWidth="1"/>
    <col min="12" max="13" width="4.42578125" style="3" bestFit="1" customWidth="1"/>
    <col min="14" max="14" width="7.28515625" style="3" bestFit="1" customWidth="1"/>
    <col min="15" max="15" width="4.42578125" style="3" customWidth="1"/>
    <col min="16" max="18" width="9" style="3" customWidth="1"/>
    <col min="19" max="19" width="4.28515625" style="3" customWidth="1"/>
    <col min="20" max="22" width="30.28515625" style="1" bestFit="1" customWidth="1"/>
    <col min="23" max="23" width="22.42578125" style="1" bestFit="1" customWidth="1"/>
    <col min="24" max="24" width="23.28515625" style="1" customWidth="1"/>
    <col min="25" max="25" width="23.42578125" style="1" customWidth="1"/>
    <col min="26" max="26" width="20.42578125" style="1" bestFit="1" customWidth="1"/>
    <col min="27" max="27" width="21.42578125" style="1" bestFit="1" customWidth="1"/>
    <col min="28" max="28" width="21.7109375" style="1" customWidth="1"/>
    <col min="29" max="34" width="8.42578125" style="1" bestFit="1" customWidth="1"/>
    <col min="35" max="35" width="8.42578125" style="3" bestFit="1" customWidth="1"/>
    <col min="36" max="42" width="8.42578125" style="1" bestFit="1" customWidth="1"/>
    <col min="43" max="43" width="8.42578125" style="3" bestFit="1" customWidth="1"/>
    <col min="44" max="16384" width="11.7109375" style="3"/>
  </cols>
  <sheetData>
    <row r="1" spans="1:42" ht="15.75" x14ac:dyDescent="0.25">
      <c r="A1" s="51" t="s">
        <v>230</v>
      </c>
      <c r="D1" s="1"/>
      <c r="F1" s="490"/>
      <c r="G1" s="490"/>
      <c r="H1" s="490"/>
      <c r="I1" s="490"/>
      <c r="J1" s="490"/>
      <c r="L1" s="7"/>
    </row>
    <row r="2" spans="1:42" ht="15.75" x14ac:dyDescent="0.25">
      <c r="A2" s="167"/>
      <c r="P2"/>
    </row>
    <row r="3" spans="1:42" s="43" customFormat="1" ht="13.5" thickBot="1" x14ac:dyDescent="0.3">
      <c r="A3" s="101"/>
      <c r="B3" s="101"/>
      <c r="C3" s="101"/>
      <c r="D3" s="101"/>
      <c r="E3" s="101"/>
      <c r="F3" s="102"/>
      <c r="G3" s="102"/>
      <c r="H3" s="102"/>
      <c r="I3" s="107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J3" s="10"/>
      <c r="AK3" s="10"/>
      <c r="AL3" s="10"/>
      <c r="AM3" s="10"/>
      <c r="AN3" s="10"/>
      <c r="AO3" s="10"/>
      <c r="AP3" s="10"/>
    </row>
    <row r="4" spans="1:42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J4" s="10"/>
      <c r="AK4" s="10"/>
      <c r="AL4" s="10"/>
      <c r="AM4" s="10"/>
      <c r="AN4" s="10"/>
      <c r="AO4" s="10"/>
      <c r="AP4" s="10"/>
    </row>
    <row r="5" spans="1:42" ht="13.5" thickBot="1" x14ac:dyDescent="0.25">
      <c r="A5" s="44"/>
      <c r="B5" s="87"/>
      <c r="C5" s="88"/>
      <c r="D5" s="90"/>
      <c r="E5" s="87"/>
      <c r="F5" s="88"/>
      <c r="G5" s="90"/>
      <c r="H5" s="87"/>
      <c r="I5" s="88"/>
      <c r="J5" s="90"/>
      <c r="K5" s="87"/>
      <c r="L5" s="89"/>
      <c r="M5" s="90"/>
      <c r="N5" s="125"/>
    </row>
    <row r="6" spans="1:42" s="43" customFormat="1" ht="46.5" x14ac:dyDescent="0.25">
      <c r="A6" s="46" t="s">
        <v>10</v>
      </c>
      <c r="B6" s="126" t="s">
        <v>13</v>
      </c>
      <c r="C6" s="20" t="s">
        <v>12</v>
      </c>
      <c r="D6" s="14" t="s">
        <v>11</v>
      </c>
      <c r="E6" s="13" t="s">
        <v>13</v>
      </c>
      <c r="F6" s="20" t="s">
        <v>12</v>
      </c>
      <c r="G6" s="14" t="s">
        <v>11</v>
      </c>
      <c r="H6" s="13" t="s">
        <v>13</v>
      </c>
      <c r="I6" s="20" t="s">
        <v>12</v>
      </c>
      <c r="J6" s="14" t="s">
        <v>11</v>
      </c>
      <c r="K6" s="13" t="s">
        <v>22</v>
      </c>
      <c r="L6" s="20" t="s">
        <v>23</v>
      </c>
      <c r="M6" s="14" t="s">
        <v>11</v>
      </c>
      <c r="N6" s="91" t="s">
        <v>30</v>
      </c>
      <c r="P6" s="482" t="s">
        <v>166</v>
      </c>
      <c r="Q6" s="483" t="s">
        <v>167</v>
      </c>
      <c r="R6" s="484" t="s">
        <v>168</v>
      </c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J6" s="10"/>
      <c r="AK6" s="10"/>
      <c r="AL6" s="10"/>
      <c r="AM6" s="10"/>
      <c r="AN6" s="10"/>
      <c r="AO6" s="10"/>
      <c r="AP6" s="10"/>
    </row>
    <row r="7" spans="1:42" s="43" customFormat="1" x14ac:dyDescent="0.2">
      <c r="A7" s="47"/>
      <c r="B7" s="127" t="s">
        <v>6</v>
      </c>
      <c r="C7" s="108" t="s">
        <v>21</v>
      </c>
      <c r="D7" s="30" t="s">
        <v>0</v>
      </c>
      <c r="E7" s="109" t="s">
        <v>6</v>
      </c>
      <c r="F7" s="108" t="s">
        <v>21</v>
      </c>
      <c r="G7" s="30" t="s">
        <v>0</v>
      </c>
      <c r="H7" s="109" t="s">
        <v>6</v>
      </c>
      <c r="I7" s="108" t="s">
        <v>21</v>
      </c>
      <c r="J7" s="30" t="s">
        <v>0</v>
      </c>
      <c r="K7" s="29" t="s">
        <v>6</v>
      </c>
      <c r="L7" s="108" t="s">
        <v>21</v>
      </c>
      <c r="M7" s="30" t="s">
        <v>0</v>
      </c>
      <c r="N7" s="33"/>
      <c r="O7" s="3"/>
      <c r="P7" s="76"/>
      <c r="Q7" s="52"/>
      <c r="R7" s="94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J7" s="10"/>
      <c r="AK7" s="10"/>
      <c r="AL7" s="10"/>
      <c r="AM7" s="10"/>
      <c r="AN7" s="10"/>
      <c r="AO7" s="10"/>
      <c r="AP7" s="10"/>
    </row>
    <row r="8" spans="1:42" s="43" customFormat="1" x14ac:dyDescent="0.2">
      <c r="A8" s="48">
        <v>2019</v>
      </c>
      <c r="B8" s="131">
        <f>RF!B9</f>
        <v>1.2</v>
      </c>
      <c r="C8" s="132">
        <f>RF!C9</f>
        <v>21</v>
      </c>
      <c r="D8" s="130">
        <f>C8/B8</f>
        <v>17.5</v>
      </c>
      <c r="E8" s="133">
        <f>RF!E9</f>
        <v>4</v>
      </c>
      <c r="F8" s="132">
        <f>RF!F9</f>
        <v>19.5</v>
      </c>
      <c r="G8" s="130">
        <f>F8/E8</f>
        <v>4.875</v>
      </c>
      <c r="H8" s="137">
        <f>K8-E8-B8</f>
        <v>1.7000000000000004</v>
      </c>
      <c r="I8" s="117">
        <f>'global path'!$C$6-C8-F8</f>
        <v>1.2277171013052595</v>
      </c>
      <c r="J8" s="130">
        <f>I8/H8</f>
        <v>0.72218653017956425</v>
      </c>
      <c r="K8" s="133">
        <f>RF!K9</f>
        <v>6.9</v>
      </c>
      <c r="L8" s="32">
        <f>I8+F8+C8</f>
        <v>41.727717101305259</v>
      </c>
      <c r="M8" s="31">
        <f>L8/K8</f>
        <v>6.047495232073226</v>
      </c>
      <c r="N8" s="158"/>
      <c r="P8" s="472">
        <f>RF!C9-C8</f>
        <v>0</v>
      </c>
      <c r="Q8" s="473">
        <f>RF!F9-F8</f>
        <v>0</v>
      </c>
      <c r="R8" s="474">
        <f>RF!I9-I8</f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J8" s="10"/>
      <c r="AK8" s="10"/>
      <c r="AL8" s="10"/>
      <c r="AM8" s="10"/>
      <c r="AN8" s="10"/>
      <c r="AO8" s="10"/>
      <c r="AP8" s="10"/>
    </row>
    <row r="9" spans="1:42" x14ac:dyDescent="0.2">
      <c r="A9" s="49">
        <f>A8+1</f>
        <v>2020</v>
      </c>
      <c r="B9" s="128">
        <f>B$8*(B$39/B$8)^(($A9-2019)/31)</f>
        <v>1.2</v>
      </c>
      <c r="C9" s="5">
        <f>((1-$N9)*(C$8/$L$8)+$N9*(B9/$K9))*'global path'!$C7</f>
        <v>20.547215458313012</v>
      </c>
      <c r="D9" s="4">
        <f t="shared" ref="D9:D39" si="0">C9/B9</f>
        <v>17.122679548594178</v>
      </c>
      <c r="E9" s="128">
        <f>E$8*(E$39/E$8)^(($A9-2019)/31)</f>
        <v>4</v>
      </c>
      <c r="F9" s="5">
        <f>((1-$N9)*(F$8/$L$8)+$N9*(E9/$K9))*'global path'!$C7</f>
        <v>19.12118815478728</v>
      </c>
      <c r="G9" s="4">
        <f t="shared" ref="G9:G39" si="1">F9/E9</f>
        <v>4.78029703869682</v>
      </c>
      <c r="H9" s="128">
        <f>H$8*(H$39/H$8)^(($A9-2019)/31)</f>
        <v>1.7000000000000004</v>
      </c>
      <c r="I9" s="5">
        <f>((1-$N9)*(I$8/$L$8)+$N9*(H9/$K9))*'global path'!$C7</f>
        <v>1.2247591461788567</v>
      </c>
      <c r="J9" s="4">
        <f t="shared" ref="J9:J39" si="2">I9/H9</f>
        <v>0.72044655657579793</v>
      </c>
      <c r="K9" s="129">
        <f>B9+E9+H9</f>
        <v>6.9</v>
      </c>
      <c r="L9" s="19">
        <f>I9+F9+C9</f>
        <v>40.89316275927915</v>
      </c>
      <c r="M9" s="4">
        <f t="shared" ref="M9:M39" si="3">L9/K9</f>
        <v>5.9265453274317608</v>
      </c>
      <c r="N9" s="439">
        <f>(RF!C10/RF!L10-('G-LIMITS = RF'!$C$8/'G-LIMITS = RF'!$L$8))/('G-LIMITS = RF'!B9/'G-LIMITS = RF'!K9-'G-LIMITS = RF'!$C$8/'G-LIMITS = RF'!$L$8)</f>
        <v>2.4342283372512557E-3</v>
      </c>
      <c r="P9" s="463">
        <f>RF!C10-C9</f>
        <v>0</v>
      </c>
      <c r="Q9" s="464">
        <f>RF!F10-F9</f>
        <v>0</v>
      </c>
      <c r="R9" s="465">
        <f>RF!I10-I9</f>
        <v>0</v>
      </c>
    </row>
    <row r="10" spans="1:42" x14ac:dyDescent="0.2">
      <c r="A10" s="49">
        <f t="shared" ref="A10:A39" si="4">A9+1</f>
        <v>2021</v>
      </c>
      <c r="B10" s="128">
        <f t="shared" ref="B10:B38" si="5">B$8*(B$39/B$8)^(($A10-2019)/31)</f>
        <v>1.2</v>
      </c>
      <c r="C10" s="5">
        <f>((1-$N10)*(C$8/$L$8)+$N10*(B10/$K10))*'global path'!$C8</f>
        <v>20.030691537716816</v>
      </c>
      <c r="D10" s="4">
        <f t="shared" si="0"/>
        <v>16.692242948097348</v>
      </c>
      <c r="E10" s="128">
        <f t="shared" ref="E10:E38" si="6">E$8*(E$39/E$8)^(($A10-2019)/31)</f>
        <v>4</v>
      </c>
      <c r="F10" s="5">
        <f>((1-$N10)*(F$8/$L$8)+$N10*(E10/$K10))*'global path'!$C8</f>
        <v>18.689050214016273</v>
      </c>
      <c r="G10" s="4">
        <f t="shared" si="1"/>
        <v>4.6722625535040683</v>
      </c>
      <c r="H10" s="128">
        <f t="shared" ref="H10:H38" si="7">H$8*(H$39/H$8)^(($A10-2019)/31)</f>
        <v>1.7000000000000004</v>
      </c>
      <c r="I10" s="5">
        <f>((1-$N10)*(I$8/$L$8)+$N10*(H10/$K10))*'global path'!$C8</f>
        <v>1.2213847938364675</v>
      </c>
      <c r="J10" s="4">
        <f t="shared" si="2"/>
        <v>0.71846164343321595</v>
      </c>
      <c r="K10" s="129">
        <f t="shared" ref="K10:K38" si="8">B10+E10+H10</f>
        <v>6.9</v>
      </c>
      <c r="L10" s="19">
        <f t="shared" ref="L10:L39" si="9">I10+F10+C10</f>
        <v>39.94112654556956</v>
      </c>
      <c r="M10" s="4">
        <f t="shared" si="3"/>
        <v>5.7885690645752979</v>
      </c>
      <c r="N10" s="440">
        <f>(RF!C11/RF!L11-('G-LIMITS = RF'!$C$8/'G-LIMITS = RF'!$L$8))/('G-LIMITS = RF'!B10/'G-LIMITS = RF'!K10-'G-LIMITS = RF'!$C$8/'G-LIMITS = RF'!$L$8)</f>
        <v>5.3353402110699003E-3</v>
      </c>
      <c r="P10" s="463">
        <f>RF!C11-C10</f>
        <v>0</v>
      </c>
      <c r="Q10" s="464">
        <f>RF!F11-F10</f>
        <v>0</v>
      </c>
      <c r="R10" s="465">
        <f>RF!I11-I10</f>
        <v>0</v>
      </c>
    </row>
    <row r="11" spans="1:42" x14ac:dyDescent="0.2">
      <c r="A11" s="49">
        <f t="shared" si="4"/>
        <v>2022</v>
      </c>
      <c r="B11" s="128">
        <f t="shared" si="5"/>
        <v>1.2</v>
      </c>
      <c r="C11" s="5">
        <f>((1-$N11)*(C$8/$L$8)+$N11*(B11/$K11))*'global path'!$C9</f>
        <v>19.455092518697356</v>
      </c>
      <c r="D11" s="4">
        <f t="shared" si="0"/>
        <v>16.212577098914466</v>
      </c>
      <c r="E11" s="128">
        <f t="shared" si="6"/>
        <v>4</v>
      </c>
      <c r="F11" s="5">
        <f>((1-$N11)*(F$8/$L$8)+$N11*(E11/$K11))*'global path'!$C9</f>
        <v>18.207488441423497</v>
      </c>
      <c r="G11" s="4">
        <f t="shared" si="1"/>
        <v>4.5518721103558741</v>
      </c>
      <c r="H11" s="128">
        <f t="shared" si="7"/>
        <v>1.7000000000000004</v>
      </c>
      <c r="I11" s="5">
        <f>((1-$N11)*(I$8/$L$8)+$N11*(H11/$K11))*'global path'!$C9</f>
        <v>1.2176245151336678</v>
      </c>
      <c r="J11" s="4">
        <f t="shared" si="2"/>
        <v>0.71624971478451027</v>
      </c>
      <c r="K11" s="129">
        <f t="shared" si="8"/>
        <v>6.9</v>
      </c>
      <c r="L11" s="19">
        <f t="shared" si="9"/>
        <v>38.88020547525452</v>
      </c>
      <c r="M11" s="4">
        <f t="shared" si="3"/>
        <v>5.6348123877180463</v>
      </c>
      <c r="N11" s="440">
        <f>(RF!C12/RF!L12-('G-LIMITS = RF'!$C$8/'G-LIMITS = RF'!$L$8))/('G-LIMITS = RF'!B11/'G-LIMITS = RF'!K11-'G-LIMITS = RF'!$C$8/'G-LIMITS = RF'!$L$8)</f>
        <v>8.7356323583372558E-3</v>
      </c>
      <c r="O11" s="11"/>
      <c r="P11" s="463">
        <f>RF!C12-C11</f>
        <v>0</v>
      </c>
      <c r="Q11" s="464">
        <f>RF!F12-F11</f>
        <v>0</v>
      </c>
      <c r="R11" s="465">
        <f>RF!I12-I11</f>
        <v>1.7763568394002505E-15</v>
      </c>
      <c r="T11" s="28"/>
      <c r="U11" s="28"/>
      <c r="V11" s="28"/>
      <c r="W11" s="28"/>
      <c r="X11" s="28"/>
      <c r="Y11" s="28"/>
      <c r="Z11" s="28"/>
      <c r="AA11" s="28"/>
      <c r="AB11" s="28"/>
      <c r="AC11" s="58"/>
      <c r="AD11" s="28"/>
      <c r="AJ11" s="28"/>
      <c r="AK11" s="28"/>
      <c r="AL11" s="28"/>
    </row>
    <row r="12" spans="1:42" s="7" customFormat="1" x14ac:dyDescent="0.2">
      <c r="A12" s="49">
        <f t="shared" si="4"/>
        <v>2023</v>
      </c>
      <c r="B12" s="128">
        <f t="shared" si="5"/>
        <v>1.2</v>
      </c>
      <c r="C12" s="5">
        <f>((1-$N12)*(C$8/$L$8)+$N12*(B12/$K12))*'global path'!$C10</f>
        <v>18.825570883122545</v>
      </c>
      <c r="D12" s="4">
        <f t="shared" si="0"/>
        <v>15.687975735935455</v>
      </c>
      <c r="E12" s="128">
        <f t="shared" si="6"/>
        <v>4</v>
      </c>
      <c r="F12" s="5">
        <f>((1-$N12)*(F$8/$L$8)+$N12*(E12/$K12))*'global path'!$C10</f>
        <v>17.680813543281147</v>
      </c>
      <c r="G12" s="4">
        <f t="shared" si="1"/>
        <v>4.4202033858202867</v>
      </c>
      <c r="H12" s="128">
        <f t="shared" si="7"/>
        <v>1.7000000000000004</v>
      </c>
      <c r="I12" s="5">
        <f>((1-$N12)*(I$8/$L$8)+$N12*(H12/$K12))*'global path'!$C10</f>
        <v>1.2135119702526256</v>
      </c>
      <c r="J12" s="4">
        <f t="shared" si="2"/>
        <v>0.71383057073683842</v>
      </c>
      <c r="K12" s="129">
        <f t="shared" si="8"/>
        <v>6.9</v>
      </c>
      <c r="L12" s="19">
        <f t="shared" si="9"/>
        <v>37.719896396656317</v>
      </c>
      <c r="M12" s="4">
        <f t="shared" si="3"/>
        <v>5.4666516516893209</v>
      </c>
      <c r="N12" s="440">
        <f>(RF!C13/RF!L13-('G-LIMITS = RF'!$C$8/'G-LIMITS = RF'!$L$8))/('G-LIMITS = RF'!B12/'G-LIMITS = RF'!K12-'G-LIMITS = RF'!$C$8/'G-LIMITS = RF'!$L$8)</f>
        <v>1.2673459670647404E-2</v>
      </c>
      <c r="P12" s="463">
        <f>RF!C13-C12</f>
        <v>0</v>
      </c>
      <c r="Q12" s="464">
        <f>RF!F13-F12</f>
        <v>0</v>
      </c>
      <c r="R12" s="465">
        <f>RF!I13-I12</f>
        <v>0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J12" s="1"/>
      <c r="AK12" s="1"/>
      <c r="AL12" s="1"/>
      <c r="AM12" s="1"/>
      <c r="AN12" s="1"/>
      <c r="AO12" s="1"/>
      <c r="AP12" s="1"/>
    </row>
    <row r="13" spans="1:42" s="7" customFormat="1" x14ac:dyDescent="0.2">
      <c r="A13" s="49">
        <f t="shared" si="4"/>
        <v>2024</v>
      </c>
      <c r="B13" s="128">
        <f t="shared" si="5"/>
        <v>1.2</v>
      </c>
      <c r="C13" s="5">
        <f>((1-$N13)*(C$8/$L$8)+$N13*(B13/$K13))*'global path'!$C11</f>
        <v>18.147689927786825</v>
      </c>
      <c r="D13" s="4">
        <f t="shared" si="0"/>
        <v>15.123074939822354</v>
      </c>
      <c r="E13" s="128">
        <f t="shared" si="6"/>
        <v>4</v>
      </c>
      <c r="F13" s="5">
        <f>((1-$N13)*(F$8/$L$8)+$N13*(E13/$K13))*'global path'!$C11</f>
        <v>17.113679924786705</v>
      </c>
      <c r="G13" s="4">
        <f t="shared" si="1"/>
        <v>4.2784199811966763</v>
      </c>
      <c r="H13" s="128">
        <f t="shared" si="7"/>
        <v>1.7000000000000004</v>
      </c>
      <c r="I13" s="5">
        <f>((1-$N13)*(I$8/$L$8)+$N13*(H13/$K13))*'global path'!$C11</f>
        <v>1.2090835031511278</v>
      </c>
      <c r="J13" s="4">
        <f t="shared" si="2"/>
        <v>0.71122559008889852</v>
      </c>
      <c r="K13" s="129">
        <f t="shared" si="8"/>
        <v>6.9</v>
      </c>
      <c r="L13" s="19">
        <f t="shared" si="9"/>
        <v>36.470453355724658</v>
      </c>
      <c r="M13" s="4">
        <f t="shared" si="3"/>
        <v>5.2855729501050224</v>
      </c>
      <c r="N13" s="440">
        <f>(RF!C14/RF!L14-('G-LIMITS = RF'!$C$8/'G-LIMITS = RF'!$L$8))/('G-LIMITS = RF'!B13/'G-LIMITS = RF'!K13-'G-LIMITS = RF'!$C$8/'G-LIMITS = RF'!$L$8)</f>
        <v>1.719396336515298E-2</v>
      </c>
      <c r="P13" s="463">
        <f>RF!C14-C13</f>
        <v>0</v>
      </c>
      <c r="Q13" s="464">
        <f>RF!F14-F13</f>
        <v>0</v>
      </c>
      <c r="R13" s="465">
        <f>RF!I14-I13</f>
        <v>0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J13" s="1"/>
      <c r="AK13" s="1"/>
      <c r="AL13" s="1"/>
      <c r="AM13" s="1"/>
      <c r="AN13" s="1"/>
      <c r="AO13" s="1"/>
      <c r="AP13" s="1"/>
    </row>
    <row r="14" spans="1:42" s="7" customFormat="1" x14ac:dyDescent="0.2">
      <c r="A14" s="49">
        <f t="shared" si="4"/>
        <v>2025</v>
      </c>
      <c r="B14" s="128">
        <f t="shared" si="5"/>
        <v>1.2</v>
      </c>
      <c r="C14" s="5">
        <f>((1-$N14)*(C$8/$L$8)+$N14*(B14/$K14))*'global path'!$C12</f>
        <v>17.427341186140875</v>
      </c>
      <c r="D14" s="4">
        <f t="shared" si="0"/>
        <v>14.522784321784064</v>
      </c>
      <c r="E14" s="128">
        <f t="shared" si="6"/>
        <v>4</v>
      </c>
      <c r="F14" s="5">
        <f>((1-$N14)*(F$8/$L$8)+$N14*(E14/$K14))*'global path'!$C12</f>
        <v>16.511016602839188</v>
      </c>
      <c r="G14" s="4">
        <f t="shared" si="1"/>
        <v>4.127754150709797</v>
      </c>
      <c r="H14" s="128">
        <f t="shared" si="7"/>
        <v>1.7000000000000004</v>
      </c>
      <c r="I14" s="5">
        <f>((1-$N14)*(I$8/$L$8)+$N14*(H14/$K14))*'global path'!$C12</f>
        <v>1.2043776020944976</v>
      </c>
      <c r="J14" s="4">
        <f t="shared" si="2"/>
        <v>0.70845741299676313</v>
      </c>
      <c r="K14" s="129">
        <f t="shared" si="8"/>
        <v>6.9</v>
      </c>
      <c r="L14" s="19">
        <f t="shared" si="9"/>
        <v>35.142735391074559</v>
      </c>
      <c r="M14" s="4">
        <f t="shared" si="3"/>
        <v>5.0931500566774721</v>
      </c>
      <c r="N14" s="440">
        <f>(RF!C15/RF!L15-('G-LIMITS = RF'!$C$8/'G-LIMITS = RF'!$L$8))/('G-LIMITS = RF'!B14/'G-LIMITS = RF'!K14-'G-LIMITS = RF'!$C$8/'G-LIMITS = RF'!$L$8)</f>
        <v>2.2349942204167004E-2</v>
      </c>
      <c r="P14" s="463">
        <f>RF!C15-C14</f>
        <v>0</v>
      </c>
      <c r="Q14" s="464">
        <f>RF!F15-F14</f>
        <v>0</v>
      </c>
      <c r="R14" s="465">
        <f>RF!I15-I14</f>
        <v>0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J14" s="1"/>
      <c r="AK14" s="1"/>
      <c r="AL14" s="1"/>
      <c r="AM14" s="1"/>
      <c r="AN14" s="1"/>
      <c r="AO14" s="1"/>
      <c r="AP14" s="1"/>
    </row>
    <row r="15" spans="1:42" s="7" customFormat="1" x14ac:dyDescent="0.2">
      <c r="A15" s="49">
        <f t="shared" si="4"/>
        <v>2026</v>
      </c>
      <c r="B15" s="128">
        <f t="shared" si="5"/>
        <v>1.2</v>
      </c>
      <c r="C15" s="5">
        <f>((1-$N15)*(C$8/$L$8)+$N15*(B15/$K15))*'global path'!$C13</f>
        <v>16.670658387708748</v>
      </c>
      <c r="D15" s="4">
        <f t="shared" si="0"/>
        <v>13.892215323090625</v>
      </c>
      <c r="E15" s="128">
        <f t="shared" si="6"/>
        <v>4</v>
      </c>
      <c r="F15" s="5">
        <f>((1-$N15)*(F$8/$L$8)+$N15*(E15/$K15))*'global path'!$C13</f>
        <v>15.877955222150625</v>
      </c>
      <c r="G15" s="4">
        <f t="shared" si="1"/>
        <v>3.9694888055376563</v>
      </c>
      <c r="H15" s="128">
        <f t="shared" si="7"/>
        <v>1.7000000000000004</v>
      </c>
      <c r="I15" s="5">
        <f>((1-$N15)*(I$8/$L$8)+$N15*(H15/$K15))*'global path'!$C13</f>
        <v>1.1994343375688474</v>
      </c>
      <c r="J15" s="4">
        <f t="shared" si="2"/>
        <v>0.70554961033461594</v>
      </c>
      <c r="K15" s="129">
        <f t="shared" si="8"/>
        <v>6.9</v>
      </c>
      <c r="L15" s="19">
        <f t="shared" si="9"/>
        <v>33.748047947428219</v>
      </c>
      <c r="M15" s="4">
        <f t="shared" si="3"/>
        <v>4.891021441656263</v>
      </c>
      <c r="N15" s="440">
        <f>(RF!C16/RF!L16-('G-LIMITS = RF'!$C$8/'G-LIMITS = RF'!$L$8))/('G-LIMITS = RF'!B15/'G-LIMITS = RF'!K15-'G-LIMITS = RF'!$C$8/'G-LIMITS = RF'!$L$8)</f>
        <v>2.8202890535156414E-2</v>
      </c>
      <c r="P15" s="463">
        <f>RF!C16-C15</f>
        <v>0</v>
      </c>
      <c r="Q15" s="464">
        <f>RF!F16-F15</f>
        <v>0</v>
      </c>
      <c r="R15" s="465">
        <f>RF!I16-I15</f>
        <v>0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J15" s="1"/>
      <c r="AK15" s="1"/>
      <c r="AL15" s="1"/>
      <c r="AM15" s="1"/>
      <c r="AN15" s="1"/>
      <c r="AO15" s="1"/>
      <c r="AP15" s="1"/>
    </row>
    <row r="16" spans="1:42" s="7" customFormat="1" x14ac:dyDescent="0.2">
      <c r="A16" s="49">
        <f t="shared" si="4"/>
        <v>2027</v>
      </c>
      <c r="B16" s="128">
        <f t="shared" si="5"/>
        <v>1.2</v>
      </c>
      <c r="C16" s="5">
        <f>((1-$N16)*(C$8/$L$8)+$N16*(B16/$K16))*'global path'!$C14</f>
        <v>15.883929729625063</v>
      </c>
      <c r="D16" s="4">
        <f t="shared" si="0"/>
        <v>13.236608108020887</v>
      </c>
      <c r="E16" s="128">
        <f t="shared" si="6"/>
        <v>4</v>
      </c>
      <c r="F16" s="5">
        <f>((1-$N16)*(F$8/$L$8)+$N16*(E16/$K16))*'global path'!$C14</f>
        <v>15.219756659231409</v>
      </c>
      <c r="G16" s="4">
        <f t="shared" si="1"/>
        <v>3.8049391648078523</v>
      </c>
      <c r="H16" s="128">
        <f t="shared" si="7"/>
        <v>1.7000000000000004</v>
      </c>
      <c r="I16" s="5">
        <f>((1-$N16)*(I$8/$L$8)+$N16*(H16/$K16))*'global path'!$C14</f>
        <v>1.1942947891677518</v>
      </c>
      <c r="J16" s="4">
        <f t="shared" si="2"/>
        <v>0.7025263465692656</v>
      </c>
      <c r="K16" s="129">
        <f t="shared" si="8"/>
        <v>6.9</v>
      </c>
      <c r="L16" s="19">
        <f t="shared" si="9"/>
        <v>32.297981178024223</v>
      </c>
      <c r="M16" s="4">
        <f t="shared" si="3"/>
        <v>4.6808668373948148</v>
      </c>
      <c r="N16" s="440">
        <f>(RF!C17/RF!L17-('G-LIMITS = RF'!$C$8/'G-LIMITS = RF'!$L$8))/('G-LIMITS = RF'!B16/'G-LIMITS = RF'!K16-'G-LIMITS = RF'!$C$8/'G-LIMITS = RF'!$L$8)</f>
        <v>3.4824231993493521E-2</v>
      </c>
      <c r="P16" s="463">
        <f>RF!C17-C16</f>
        <v>0</v>
      </c>
      <c r="Q16" s="464">
        <f>RF!F17-F16</f>
        <v>0</v>
      </c>
      <c r="R16" s="465">
        <f>RF!I17-I16</f>
        <v>0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J16" s="1"/>
      <c r="AK16" s="1"/>
      <c r="AL16" s="1"/>
      <c r="AM16" s="1"/>
      <c r="AN16" s="1"/>
      <c r="AO16" s="1"/>
      <c r="AP16" s="1"/>
    </row>
    <row r="17" spans="1:18" x14ac:dyDescent="0.2">
      <c r="A17" s="49">
        <f t="shared" si="4"/>
        <v>2028</v>
      </c>
      <c r="B17" s="128">
        <f t="shared" si="5"/>
        <v>1.2</v>
      </c>
      <c r="C17" s="5">
        <f>((1-$N17)*(C$8/$L$8)+$N17*(B17/$K17))*'global path'!$C15</f>
        <v>15.073510232180503</v>
      </c>
      <c r="D17" s="4">
        <f t="shared" si="0"/>
        <v>12.561258526817086</v>
      </c>
      <c r="E17" s="128">
        <f t="shared" si="6"/>
        <v>4</v>
      </c>
      <c r="F17" s="5">
        <f>((1-$N17)*(F$8/$L$8)+$N17*(E17/$K17))*'global path'!$C15</f>
        <v>14.541737696659204</v>
      </c>
      <c r="G17" s="4">
        <f t="shared" si="1"/>
        <v>3.6354344241648011</v>
      </c>
      <c r="H17" s="128">
        <f t="shared" si="7"/>
        <v>1.7000000000000004</v>
      </c>
      <c r="I17" s="5">
        <f>((1-$N17)*(I$8/$L$8)+$N17*(H17/$K17))*'global path'!$C15</f>
        <v>1.1890004730277324</v>
      </c>
      <c r="J17" s="4">
        <f t="shared" si="2"/>
        <v>0.69941204295748949</v>
      </c>
      <c r="K17" s="129">
        <f t="shared" si="8"/>
        <v>6.9</v>
      </c>
      <c r="L17" s="19">
        <f t="shared" si="9"/>
        <v>30.80424840186744</v>
      </c>
      <c r="M17" s="4">
        <f t="shared" si="3"/>
        <v>4.4643838263575999</v>
      </c>
      <c r="N17" s="440">
        <f>(RF!C18/RF!L18-('G-LIMITS = RF'!$C$8/'G-LIMITS = RF'!$L$8))/('G-LIMITS = RF'!B17/'G-LIMITS = RF'!K17-'G-LIMITS = RF'!$C$8/'G-LIMITS = RF'!$L$8)</f>
        <v>4.2296783820704557E-2</v>
      </c>
      <c r="P17" s="463">
        <f>RF!C18-C17</f>
        <v>0</v>
      </c>
      <c r="Q17" s="464">
        <f>RF!F18-F17</f>
        <v>0</v>
      </c>
      <c r="R17" s="465">
        <f>RF!I18-I17</f>
        <v>0</v>
      </c>
    </row>
    <row r="18" spans="1:18" x14ac:dyDescent="0.2">
      <c r="A18" s="49">
        <f t="shared" si="4"/>
        <v>2029</v>
      </c>
      <c r="B18" s="128">
        <f t="shared" si="5"/>
        <v>1.2</v>
      </c>
      <c r="C18" s="5">
        <f>((1-$N18)*(C$8/$L$8)+$N18*(B18/$K18))*'global path'!$C16</f>
        <v>14.245735901269432</v>
      </c>
      <c r="D18" s="4">
        <f t="shared" si="0"/>
        <v>11.871446584391194</v>
      </c>
      <c r="E18" s="128">
        <f t="shared" si="6"/>
        <v>4</v>
      </c>
      <c r="F18" s="5">
        <f>((1-$N18)*(F$8/$L$8)+$N18*(E18/$K18))*'global path'!$C16</f>
        <v>13.849199209051289</v>
      </c>
      <c r="G18" s="4">
        <f t="shared" si="1"/>
        <v>3.4622998022628222</v>
      </c>
      <c r="H18" s="128">
        <f t="shared" si="7"/>
        <v>1.7000000000000004</v>
      </c>
      <c r="I18" s="5">
        <f>((1-$N18)*(I$8/$L$8)+$N18*(H18/$K18))*'global path'!$C16</f>
        <v>1.1835927810678848</v>
      </c>
      <c r="J18" s="4">
        <f t="shared" si="2"/>
        <v>0.69623104768699084</v>
      </c>
      <c r="K18" s="129">
        <f t="shared" si="8"/>
        <v>6.9</v>
      </c>
      <c r="L18" s="19">
        <f t="shared" si="9"/>
        <v>29.278527891388606</v>
      </c>
      <c r="M18" s="4">
        <f t="shared" si="3"/>
        <v>4.2432649117954497</v>
      </c>
      <c r="N18" s="440">
        <f>(RF!C19/RF!L19-('G-LIMITS = RF'!$C$8/'G-LIMITS = RF'!$L$8))/('G-LIMITS = RF'!B18/'G-LIMITS = RF'!K18-'G-LIMITS = RF'!$C$8/'G-LIMITS = RF'!$L$8)</f>
        <v>5.0716494145018776E-2</v>
      </c>
      <c r="P18" s="463">
        <f>RF!C19-C18</f>
        <v>0</v>
      </c>
      <c r="Q18" s="464">
        <f>RF!F19-F18</f>
        <v>0</v>
      </c>
      <c r="R18" s="465">
        <f>RF!I19-I18</f>
        <v>0</v>
      </c>
    </row>
    <row r="19" spans="1:18" x14ac:dyDescent="0.2">
      <c r="A19" s="49">
        <f t="shared" si="4"/>
        <v>2030</v>
      </c>
      <c r="B19" s="128">
        <f t="shared" si="5"/>
        <v>1.2</v>
      </c>
      <c r="C19" s="5">
        <f>((1-$N19)*(C$8/$L$8)+$N19*(B19/$K19))*'global path'!$C17</f>
        <v>13.406841327716663</v>
      </c>
      <c r="D19" s="4">
        <f t="shared" si="0"/>
        <v>11.17236777309722</v>
      </c>
      <c r="E19" s="128">
        <f t="shared" si="6"/>
        <v>4</v>
      </c>
      <c r="F19" s="5">
        <f>((1-$N19)*(F$8/$L$8)+$N19*(E19/$K19))*'global path'!$C17</f>
        <v>13.14735722442331</v>
      </c>
      <c r="G19" s="4">
        <f t="shared" si="1"/>
        <v>3.2868393061058274</v>
      </c>
      <c r="H19" s="128">
        <f t="shared" si="7"/>
        <v>1.7000000000000004</v>
      </c>
      <c r="I19" s="5">
        <f>((1-$N19)*(I$8/$L$8)+$N19*(H19/$K19))*'global path'!$C17</f>
        <v>1.1781124426819756</v>
      </c>
      <c r="J19" s="4">
        <f t="shared" si="2"/>
        <v>0.69300731922469139</v>
      </c>
      <c r="K19" s="129">
        <f t="shared" si="8"/>
        <v>6.9</v>
      </c>
      <c r="L19" s="19">
        <f t="shared" si="9"/>
        <v>27.732310994821948</v>
      </c>
      <c r="M19" s="4">
        <f t="shared" si="3"/>
        <v>4.0191755064959338</v>
      </c>
      <c r="N19" s="440">
        <f>(RF!C20/RF!L20-('G-LIMITS = RF'!$C$8/'G-LIMITS = RF'!$L$8))/('G-LIMITS = RF'!B19/'G-LIMITS = RF'!K19-'G-LIMITS = RF'!$C$8/'G-LIMITS = RF'!$L$8)</f>
        <v>6.0194503550852832E-2</v>
      </c>
      <c r="P19" s="463">
        <f>RF!C20-C19</f>
        <v>0</v>
      </c>
      <c r="Q19" s="464">
        <f>RF!F20-F19</f>
        <v>0</v>
      </c>
      <c r="R19" s="465">
        <f>RF!I20-I19</f>
        <v>0</v>
      </c>
    </row>
    <row r="20" spans="1:18" x14ac:dyDescent="0.2">
      <c r="A20" s="49">
        <f t="shared" si="4"/>
        <v>2031</v>
      </c>
      <c r="B20" s="128">
        <f t="shared" si="5"/>
        <v>1.2</v>
      </c>
      <c r="C20" s="5">
        <f>((1-$N20)*(C$8/$L$8)+$N20*(B20/$K20))*'global path'!$C18</f>
        <v>12.562882220532583</v>
      </c>
      <c r="D20" s="4">
        <f t="shared" si="0"/>
        <v>10.469068517110486</v>
      </c>
      <c r="E20" s="128">
        <f t="shared" si="6"/>
        <v>4</v>
      </c>
      <c r="F20" s="5">
        <f>((1-$N20)*(F$8/$L$8)+$N20*(E20/$K20))*'global path'!$C18</f>
        <v>12.441278113406538</v>
      </c>
      <c r="G20" s="4">
        <f t="shared" si="1"/>
        <v>3.1103195283516345</v>
      </c>
      <c r="H20" s="128">
        <f t="shared" si="7"/>
        <v>1.7000000000000004</v>
      </c>
      <c r="I20" s="5">
        <f>((1-$N20)*(I$8/$L$8)+$N20*(H20/$K20))*'global path'!$C18</f>
        <v>1.1725990186629716</v>
      </c>
      <c r="J20" s="4">
        <f t="shared" si="2"/>
        <v>0.68976412862527725</v>
      </c>
      <c r="K20" s="129">
        <f t="shared" si="8"/>
        <v>6.9</v>
      </c>
      <c r="L20" s="19">
        <f t="shared" si="9"/>
        <v>26.17675935260209</v>
      </c>
      <c r="M20" s="4">
        <f t="shared" si="3"/>
        <v>3.7937332395075489</v>
      </c>
      <c r="N20" s="440">
        <f>(RF!C21/RF!L21-('G-LIMITS = RF'!$C$8/'G-LIMITS = RF'!$L$8))/('G-LIMITS = RF'!B20/'G-LIMITS = RF'!K20-'G-LIMITS = RF'!$C$8/'G-LIMITS = RF'!$L$8)</f>
        <v>7.0859593204637208E-2</v>
      </c>
      <c r="P20" s="463">
        <f>RF!C21-C20</f>
        <v>0</v>
      </c>
      <c r="Q20" s="464">
        <f>RF!F21-F20</f>
        <v>0</v>
      </c>
      <c r="R20" s="465">
        <f>RF!I21-I20</f>
        <v>0</v>
      </c>
    </row>
    <row r="21" spans="1:18" x14ac:dyDescent="0.2">
      <c r="A21" s="49">
        <f t="shared" si="4"/>
        <v>2032</v>
      </c>
      <c r="B21" s="128">
        <f t="shared" si="5"/>
        <v>1.2</v>
      </c>
      <c r="C21" s="5">
        <f>((1-$N21)*(C$8/$L$8)+$N21*(B21/$K21))*'global path'!$C19</f>
        <v>11.719664203325619</v>
      </c>
      <c r="D21" s="4">
        <f t="shared" si="0"/>
        <v>9.7663868361046831</v>
      </c>
      <c r="E21" s="128">
        <f t="shared" si="6"/>
        <v>4</v>
      </c>
      <c r="F21" s="5">
        <f>((1-$N21)*(F$8/$L$8)+$N21*(E21/$K21))*'global path'!$C19</f>
        <v>11.735819018392645</v>
      </c>
      <c r="G21" s="4">
        <f t="shared" si="1"/>
        <v>2.9339547545981612</v>
      </c>
      <c r="H21" s="128">
        <f t="shared" si="7"/>
        <v>1.7000000000000004</v>
      </c>
      <c r="I21" s="5">
        <f>((1-$N21)*(I$8/$L$8)+$N21*(H21/$K21))*'global path'!$C19</f>
        <v>1.1670904360435628</v>
      </c>
      <c r="J21" s="4">
        <f t="shared" si="2"/>
        <v>0.68652378590797791</v>
      </c>
      <c r="K21" s="129">
        <f t="shared" si="8"/>
        <v>6.9</v>
      </c>
      <c r="L21" s="19">
        <f t="shared" si="9"/>
        <v>24.622573657761826</v>
      </c>
      <c r="M21" s="4">
        <f t="shared" si="3"/>
        <v>3.5684889359075109</v>
      </c>
      <c r="N21" s="440">
        <f>(RF!C22/RF!L22-('G-LIMITS = RF'!$C$8/'G-LIMITS = RF'!$L$8))/('G-LIMITS = RF'!B21/'G-LIMITS = RF'!K21-'G-LIMITS = RF'!$C$8/'G-LIMITS = RF'!$L$8)</f>
        <v>8.2861095173318827E-2</v>
      </c>
      <c r="P21" s="463">
        <f>RF!C22-C21</f>
        <v>0</v>
      </c>
      <c r="Q21" s="464">
        <f>RF!F22-F21</f>
        <v>0</v>
      </c>
      <c r="R21" s="465">
        <f>RF!I22-I21</f>
        <v>0</v>
      </c>
    </row>
    <row r="22" spans="1:18" x14ac:dyDescent="0.2">
      <c r="A22" s="49">
        <f t="shared" si="4"/>
        <v>2033</v>
      </c>
      <c r="B22" s="128">
        <f t="shared" si="5"/>
        <v>1.2</v>
      </c>
      <c r="C22" s="5">
        <f>((1-$N22)*(C$8/$L$8)+$N22*(B22/$K22))*'global path'!$C20</f>
        <v>10.882679006500132</v>
      </c>
      <c r="D22" s="4">
        <f t="shared" si="0"/>
        <v>9.0688991720834427</v>
      </c>
      <c r="E22" s="128">
        <f t="shared" si="6"/>
        <v>4</v>
      </c>
      <c r="F22" s="5">
        <f>((1-$N22)*(F$8/$L$8)+$N22*(E22/$K22))*'global path'!$C20</f>
        <v>11.035574470193419</v>
      </c>
      <c r="G22" s="4">
        <f t="shared" si="1"/>
        <v>2.7588936175483547</v>
      </c>
      <c r="H22" s="128">
        <f t="shared" si="7"/>
        <v>1.7000000000000004</v>
      </c>
      <c r="I22" s="5">
        <f>((1-$N22)*(I$8/$L$8)+$N22*(H22/$K22))*'global path'!$C20</f>
        <v>1.1616225712519559</v>
      </c>
      <c r="J22" s="4">
        <f t="shared" si="2"/>
        <v>0.68330739485409153</v>
      </c>
      <c r="K22" s="129">
        <f t="shared" si="8"/>
        <v>6.9</v>
      </c>
      <c r="L22" s="19">
        <f t="shared" si="9"/>
        <v>23.079876047945504</v>
      </c>
      <c r="M22" s="4">
        <f t="shared" si="3"/>
        <v>3.3449095721660149</v>
      </c>
      <c r="N22" s="440">
        <f>(RF!C23/RF!L23-('G-LIMITS = RF'!$C$8/'G-LIMITS = RF'!$L$8))/('G-LIMITS = RF'!B22/'G-LIMITS = RF'!K22-'G-LIMITS = RF'!$C$8/'G-LIMITS = RF'!$L$8)</f>
        <v>9.6372356952473731E-2</v>
      </c>
      <c r="P22" s="463">
        <f>RF!C23-C22</f>
        <v>0</v>
      </c>
      <c r="Q22" s="464">
        <f>RF!F23-F22</f>
        <v>0</v>
      </c>
      <c r="R22" s="465">
        <f>RF!I23-I22</f>
        <v>0</v>
      </c>
    </row>
    <row r="23" spans="1:18" x14ac:dyDescent="0.2">
      <c r="A23" s="49">
        <f t="shared" si="4"/>
        <v>2034</v>
      </c>
      <c r="B23" s="128">
        <f t="shared" si="5"/>
        <v>1.2</v>
      </c>
      <c r="C23" s="5">
        <f>((1-$N23)*(C$8/$L$8)+$N23*(B23/$K23))*'global path'!$C21</f>
        <v>10.057048969339537</v>
      </c>
      <c r="D23" s="4">
        <f t="shared" si="0"/>
        <v>8.3808741411162817</v>
      </c>
      <c r="E23" s="128">
        <f t="shared" si="6"/>
        <v>4</v>
      </c>
      <c r="F23" s="5">
        <f>((1-$N23)*(F$8/$L$8)+$N23*(E23/$K23))*'global path'!$C21</f>
        <v>10.344829956976215</v>
      </c>
      <c r="G23" s="4">
        <f t="shared" si="1"/>
        <v>2.5862074892440536</v>
      </c>
      <c r="H23" s="128">
        <f t="shared" si="7"/>
        <v>1.7000000000000004</v>
      </c>
      <c r="I23" s="5">
        <f>((1-$N23)*(I$8/$L$8)+$N23*(H23/$K23))*'global path'!$C21</f>
        <v>1.1562288875545534</v>
      </c>
      <c r="J23" s="4">
        <f t="shared" si="2"/>
        <v>0.6801346397379725</v>
      </c>
      <c r="K23" s="129">
        <f t="shared" si="8"/>
        <v>6.9</v>
      </c>
      <c r="L23" s="19">
        <f t="shared" si="9"/>
        <v>21.558107813870304</v>
      </c>
      <c r="M23" s="4">
        <f t="shared" si="3"/>
        <v>3.1243634512855514</v>
      </c>
      <c r="N23" s="440">
        <f>(RF!C24/RF!L24-('G-LIMITS = RF'!$C$8/'G-LIMITS = RF'!$L$8))/('G-LIMITS = RF'!B23/'G-LIMITS = RF'!K23-'G-LIMITS = RF'!$C$8/'G-LIMITS = RF'!$L$8)</f>
        <v>0.11159487234362932</v>
      </c>
      <c r="P23" s="463">
        <f>RF!C24-C23</f>
        <v>0</v>
      </c>
      <c r="Q23" s="464">
        <f>RF!F24-F23</f>
        <v>0</v>
      </c>
      <c r="R23" s="465">
        <f>RF!I24-I23</f>
        <v>0</v>
      </c>
    </row>
    <row r="24" spans="1:18" x14ac:dyDescent="0.2">
      <c r="A24" s="49">
        <f t="shared" si="4"/>
        <v>2035</v>
      </c>
      <c r="B24" s="128">
        <f t="shared" si="5"/>
        <v>1.2</v>
      </c>
      <c r="C24" s="5">
        <f>((1-$N24)*(C$8/$L$8)+$N24*(B24/$K24))*'global path'!$C22</f>
        <v>9.2474805329421415</v>
      </c>
      <c r="D24" s="4">
        <f t="shared" si="0"/>
        <v>7.7062337774517848</v>
      </c>
      <c r="E24" s="128">
        <f t="shared" si="6"/>
        <v>4</v>
      </c>
      <c r="F24" s="5">
        <f>((1-$N24)*(F$8/$L$8)+$N24*(E24/$K24))*'global path'!$C22</f>
        <v>9.6675230151909037</v>
      </c>
      <c r="G24" s="4">
        <f t="shared" si="1"/>
        <v>2.4168807537977259</v>
      </c>
      <c r="H24" s="128">
        <f t="shared" si="7"/>
        <v>1.7000000000000004</v>
      </c>
      <c r="I24" s="5">
        <f>((1-$N24)*(I$8/$L$8)+$N24*(H24/$K24))*'global path'!$C22</f>
        <v>1.150940131234174</v>
      </c>
      <c r="J24" s="4">
        <f t="shared" si="2"/>
        <v>0.67702360660833749</v>
      </c>
      <c r="K24" s="129">
        <f t="shared" si="8"/>
        <v>6.9</v>
      </c>
      <c r="L24" s="19">
        <f t="shared" si="9"/>
        <v>20.065943679367219</v>
      </c>
      <c r="M24" s="4">
        <f t="shared" si="3"/>
        <v>2.9081077796184376</v>
      </c>
      <c r="N24" s="440">
        <f>(RF!C25/RF!L25-('G-LIMITS = RF'!$C$8/'G-LIMITS = RF'!$L$8))/('G-LIMITS = RF'!B24/'G-LIMITS = RF'!K24-'G-LIMITS = RF'!$C$8/'G-LIMITS = RF'!$L$8)</f>
        <v>0.12876321560184648</v>
      </c>
      <c r="P24" s="463">
        <f>RF!C25-C24</f>
        <v>0</v>
      </c>
      <c r="Q24" s="464">
        <f>RF!F25-F24</f>
        <v>0</v>
      </c>
      <c r="R24" s="465">
        <f>RF!I25-I24</f>
        <v>0</v>
      </c>
    </row>
    <row r="25" spans="1:18" x14ac:dyDescent="0.2">
      <c r="A25" s="49">
        <f t="shared" si="4"/>
        <v>2036</v>
      </c>
      <c r="B25" s="128">
        <f t="shared" si="5"/>
        <v>1.2</v>
      </c>
      <c r="C25" s="5">
        <f>((1-$N25)*(C$8/$L$8)+$N25*(B25/$K25))*'global path'!$C23</f>
        <v>8.4582271647522678</v>
      </c>
      <c r="D25" s="4">
        <f t="shared" si="0"/>
        <v>7.0485226372935568</v>
      </c>
      <c r="E25" s="128">
        <f t="shared" si="6"/>
        <v>4</v>
      </c>
      <c r="F25" s="5">
        <f>((1-$N25)*(F$8/$L$8)+$N25*(E25/$K25))*'global path'!$C23</f>
        <v>9.0072122112256725</v>
      </c>
      <c r="G25" s="4">
        <f t="shared" si="1"/>
        <v>2.2518030528064181</v>
      </c>
      <c r="H25" s="128">
        <f t="shared" si="7"/>
        <v>1.7000000000000004</v>
      </c>
      <c r="I25" s="5">
        <f>((1-$N25)*(I$8/$L$8)+$N25*(H25/$K25))*'global path'!$C23</f>
        <v>1.1457840893830737</v>
      </c>
      <c r="J25" s="4">
        <f t="shared" si="2"/>
        <v>0.67399064081357263</v>
      </c>
      <c r="K25" s="129">
        <f t="shared" si="8"/>
        <v>6.9</v>
      </c>
      <c r="L25" s="19">
        <f t="shared" si="9"/>
        <v>18.611223465361014</v>
      </c>
      <c r="M25" s="4">
        <f t="shared" si="3"/>
        <v>2.6972787630957988</v>
      </c>
      <c r="N25" s="440">
        <f>(RF!C26/RF!L26-('G-LIMITS = RF'!$C$8/'G-LIMITS = RF'!$L$8))/('G-LIMITS = RF'!B25/'G-LIMITS = RF'!K25-'G-LIMITS = RF'!$C$8/'G-LIMITS = RF'!$L$8)</f>
        <v>0.14815094636794041</v>
      </c>
      <c r="P25" s="463">
        <f>RF!C26-C25</f>
        <v>0</v>
      </c>
      <c r="Q25" s="464">
        <f>RF!F26-F25</f>
        <v>0</v>
      </c>
      <c r="R25" s="465">
        <f>RF!I26-I25</f>
        <v>0</v>
      </c>
    </row>
    <row r="26" spans="1:18" x14ac:dyDescent="0.2">
      <c r="A26" s="49">
        <f t="shared" si="4"/>
        <v>2037</v>
      </c>
      <c r="B26" s="128">
        <f t="shared" si="5"/>
        <v>1.2</v>
      </c>
      <c r="C26" s="5">
        <f>((1-$N26)*(C$8/$L$8)+$N26*(B26/$K26))*'global path'!$C24</f>
        <v>7.6930619155340407</v>
      </c>
      <c r="D26" s="4">
        <f t="shared" si="0"/>
        <v>6.4108849296117008</v>
      </c>
      <c r="E26" s="128">
        <f t="shared" si="6"/>
        <v>4</v>
      </c>
      <c r="F26" s="5">
        <f>((1-$N26)*(F$8/$L$8)+$N26*(E26/$K26))*'global path'!$C24</f>
        <v>8.3670541818259245</v>
      </c>
      <c r="G26" s="4">
        <f t="shared" si="1"/>
        <v>2.0917635454564811</v>
      </c>
      <c r="H26" s="128">
        <f t="shared" si="7"/>
        <v>1.7000000000000004</v>
      </c>
      <c r="I26" s="5">
        <f>((1-$N26)*(I$8/$L$8)+$N26*(H26/$K26))*'global path'!$C24</f>
        <v>1.1407854106228872</v>
      </c>
      <c r="J26" s="4">
        <f t="shared" si="2"/>
        <v>0.67105024154287463</v>
      </c>
      <c r="K26" s="129">
        <f t="shared" si="8"/>
        <v>6.9</v>
      </c>
      <c r="L26" s="19">
        <f t="shared" si="9"/>
        <v>17.200901507982852</v>
      </c>
      <c r="M26" s="4">
        <f t="shared" si="3"/>
        <v>2.4928842765192538</v>
      </c>
      <c r="N26" s="440">
        <f>(RF!C27/RF!L27-('G-LIMITS = RF'!$C$8/'G-LIMITS = RF'!$L$8))/('G-LIMITS = RF'!B26/'G-LIMITS = RF'!K26-'G-LIMITS = RF'!$C$8/'G-LIMITS = RF'!$L$8)</f>
        <v>0.17007769075895907</v>
      </c>
      <c r="P26" s="463">
        <f>RF!C27-C26</f>
        <v>0</v>
      </c>
      <c r="Q26" s="464">
        <f>RF!F27-F26</f>
        <v>0</v>
      </c>
      <c r="R26" s="465">
        <f>RF!I27-I26</f>
        <v>0</v>
      </c>
    </row>
    <row r="27" spans="1:18" x14ac:dyDescent="0.2">
      <c r="A27" s="49">
        <f t="shared" si="4"/>
        <v>2038</v>
      </c>
      <c r="B27" s="128">
        <f t="shared" si="5"/>
        <v>1.2</v>
      </c>
      <c r="C27" s="5">
        <f>((1-$N27)*(C$8/$L$8)+$N27*(B27/$K27))*'global path'!$C25</f>
        <v>6.9552595771368058</v>
      </c>
      <c r="D27" s="4">
        <f t="shared" si="0"/>
        <v>5.7960496476140051</v>
      </c>
      <c r="E27" s="128">
        <f t="shared" si="6"/>
        <v>4</v>
      </c>
      <c r="F27" s="5">
        <f>((1-$N27)*(F$8/$L$8)+$N27*(E27/$K27))*'global path'!$C25</f>
        <v>7.7497887067962337</v>
      </c>
      <c r="G27" s="4">
        <f t="shared" si="1"/>
        <v>1.9374471766990584</v>
      </c>
      <c r="H27" s="128">
        <f t="shared" si="7"/>
        <v>1.7000000000000004</v>
      </c>
      <c r="I27" s="5">
        <f>((1-$N27)*(I$8/$L$8)+$N27*(H27/$K27))*'global path'!$C25</f>
        <v>1.1359654885447081</v>
      </c>
      <c r="J27" s="4">
        <f t="shared" si="2"/>
        <v>0.66821499326159284</v>
      </c>
      <c r="K27" s="129">
        <f t="shared" si="8"/>
        <v>6.9</v>
      </c>
      <c r="L27" s="19">
        <f t="shared" si="9"/>
        <v>15.841013772477748</v>
      </c>
      <c r="M27" s="4">
        <f t="shared" si="3"/>
        <v>2.2957990974605429</v>
      </c>
      <c r="N27" s="440">
        <f>(RF!C28/RF!L28-('G-LIMITS = RF'!$C$8/'G-LIMITS = RF'!$L$8))/('G-LIMITS = RF'!B27/'G-LIMITS = RF'!K27-'G-LIMITS = RF'!$C$8/'G-LIMITS = RF'!$L$8)</f>
        <v>0.19491765095335506</v>
      </c>
      <c r="P27" s="463">
        <f>RF!C28-C27</f>
        <v>0</v>
      </c>
      <c r="Q27" s="464">
        <f>RF!F28-F27</f>
        <v>0</v>
      </c>
      <c r="R27" s="465">
        <f>RF!I28-I27</f>
        <v>0</v>
      </c>
    </row>
    <row r="28" spans="1:18" x14ac:dyDescent="0.2">
      <c r="A28" s="49">
        <f t="shared" si="4"/>
        <v>2039</v>
      </c>
      <c r="B28" s="128">
        <f t="shared" si="5"/>
        <v>1.2</v>
      </c>
      <c r="C28" s="5">
        <f>((1-$N28)*(C$8/$L$8)+$N28*(B28/$K28))*'global path'!$C26</f>
        <v>6.2475881907749482</v>
      </c>
      <c r="D28" s="4">
        <f t="shared" si="0"/>
        <v>5.2063234923124568</v>
      </c>
      <c r="E28" s="128">
        <f t="shared" si="6"/>
        <v>4</v>
      </c>
      <c r="F28" s="5">
        <f>((1-$N28)*(F$8/$L$8)+$N28*(E28/$K28))*'global path'!$C26</f>
        <v>7.1577316045966128</v>
      </c>
      <c r="G28" s="4">
        <f t="shared" si="1"/>
        <v>1.7894329011491532</v>
      </c>
      <c r="H28" s="128">
        <f t="shared" si="7"/>
        <v>1.7000000000000004</v>
      </c>
      <c r="I28" s="5">
        <f>((1-$N28)*(I$8/$L$8)+$N28*(H28/$K28))*'global path'!$C26</f>
        <v>1.1313424062343009</v>
      </c>
      <c r="J28" s="4">
        <f t="shared" si="2"/>
        <v>0.66549553307900045</v>
      </c>
      <c r="K28" s="129">
        <f t="shared" si="8"/>
        <v>6.9</v>
      </c>
      <c r="L28" s="19">
        <f t="shared" si="9"/>
        <v>14.536662201605862</v>
      </c>
      <c r="M28" s="4">
        <f t="shared" si="3"/>
        <v>2.1067626379138931</v>
      </c>
      <c r="N28" s="440">
        <f>(RF!C29/RF!L29-('G-LIMITS = RF'!$C$8/'G-LIMITS = RF'!$L$8))/('G-LIMITS = RF'!B28/'G-LIMITS = RF'!K28-'G-LIMITS = RF'!$C$8/'G-LIMITS = RF'!$L$8)</f>
        <v>0.22310985400176545</v>
      </c>
      <c r="P28" s="463">
        <f>RF!C29-C28</f>
        <v>0</v>
      </c>
      <c r="Q28" s="464">
        <f>RF!F29-F28</f>
        <v>0</v>
      </c>
      <c r="R28" s="465">
        <f>RF!I29-I28</f>
        <v>0</v>
      </c>
    </row>
    <row r="29" spans="1:18" x14ac:dyDescent="0.2">
      <c r="A29" s="49">
        <f t="shared" si="4"/>
        <v>2040</v>
      </c>
      <c r="B29" s="128">
        <f t="shared" si="5"/>
        <v>1.2</v>
      </c>
      <c r="C29" s="5">
        <f>((1-$N29)*(C$8/$L$8)+$N29*(B29/$K29))*'global path'!$C27</f>
        <v>5.5723094564684406</v>
      </c>
      <c r="D29" s="4">
        <f t="shared" si="0"/>
        <v>4.6435912137237008</v>
      </c>
      <c r="E29" s="128">
        <f t="shared" si="6"/>
        <v>4</v>
      </c>
      <c r="F29" s="5">
        <f>((1-$N29)*(F$8/$L$8)+$N29*(E29/$K29))*'global path'!$C27</f>
        <v>6.5927750748915885</v>
      </c>
      <c r="G29" s="4">
        <f t="shared" si="1"/>
        <v>1.6481937687228971</v>
      </c>
      <c r="H29" s="128">
        <f t="shared" si="7"/>
        <v>1.7000000000000004</v>
      </c>
      <c r="I29" s="5">
        <f>((1-$N29)*(I$8/$L$8)+$N29*(H29/$K29))*'global path'!$C27</f>
        <v>1.1269309389468982</v>
      </c>
      <c r="J29" s="4">
        <f t="shared" si="2"/>
        <v>0.66290055232170464</v>
      </c>
      <c r="K29" s="129">
        <f t="shared" si="8"/>
        <v>6.9</v>
      </c>
      <c r="L29" s="19">
        <f t="shared" si="9"/>
        <v>13.292015470306927</v>
      </c>
      <c r="M29" s="4">
        <f t="shared" si="3"/>
        <v>1.9263790536676704</v>
      </c>
      <c r="N29" s="440">
        <f>(RF!C30/RF!L30-('G-LIMITS = RF'!$C$8/'G-LIMITS = RF'!$L$8))/('G-LIMITS = RF'!B29/'G-LIMITS = RF'!K29-'G-LIMITS = RF'!$C$8/'G-LIMITS = RF'!$L$8)</f>
        <v>0.25517052337673002</v>
      </c>
      <c r="P29" s="463">
        <f>RF!C30-C29</f>
        <v>0</v>
      </c>
      <c r="Q29" s="464">
        <f>RF!F30-F29</f>
        <v>0</v>
      </c>
      <c r="R29" s="465">
        <f>RF!I30-I29</f>
        <v>0</v>
      </c>
    </row>
    <row r="30" spans="1:18" x14ac:dyDescent="0.2">
      <c r="A30" s="49">
        <f t="shared" si="4"/>
        <v>2041</v>
      </c>
      <c r="B30" s="128">
        <f t="shared" si="5"/>
        <v>1.2</v>
      </c>
      <c r="C30" s="5">
        <f>((1-$N30)*(C$8/$L$8)+$N30*(B30/$K30))*'global path'!$C28</f>
        <v>4.9311874194817102</v>
      </c>
      <c r="D30" s="4">
        <f t="shared" si="0"/>
        <v>4.109322849568092</v>
      </c>
      <c r="E30" s="128">
        <f t="shared" si="6"/>
        <v>4</v>
      </c>
      <c r="F30" s="5">
        <f>((1-$N30)*(F$8/$L$8)+$N30*(E30/$K30))*'global path'!$C28</f>
        <v>6.0563949658608873</v>
      </c>
      <c r="G30" s="4">
        <f t="shared" si="1"/>
        <v>1.5140987414652218</v>
      </c>
      <c r="H30" s="128">
        <f t="shared" si="7"/>
        <v>1.7000000000000004</v>
      </c>
      <c r="I30" s="5">
        <f>((1-$N30)*(I$8/$L$8)+$N30*(H30/$K30))*'global path'!$C28</f>
        <v>1.1227426108540486</v>
      </c>
      <c r="J30" s="4">
        <f t="shared" si="2"/>
        <v>0.6604368299141461</v>
      </c>
      <c r="K30" s="129">
        <f t="shared" si="8"/>
        <v>6.9</v>
      </c>
      <c r="L30" s="19">
        <f t="shared" si="9"/>
        <v>12.110324996196645</v>
      </c>
      <c r="M30" s="4">
        <f t="shared" si="3"/>
        <v>1.7551195646661804</v>
      </c>
      <c r="N30" s="440">
        <f>(RF!C31/RF!L31-('G-LIMITS = RF'!$C$8/'G-LIMITS = RF'!$L$8))/('G-LIMITS = RF'!B30/'G-LIMITS = RF'!K30-'G-LIMITS = RF'!$C$8/'G-LIMITS = RF'!$L$8)</f>
        <v>0.29170804770790926</v>
      </c>
      <c r="P30" s="463">
        <f>RF!C31-C30</f>
        <v>0</v>
      </c>
      <c r="Q30" s="464">
        <f>RF!F31-F30</f>
        <v>0</v>
      </c>
      <c r="R30" s="465">
        <f>RF!I31-I30</f>
        <v>0</v>
      </c>
    </row>
    <row r="31" spans="1:18" x14ac:dyDescent="0.2">
      <c r="A31" s="49">
        <f t="shared" si="4"/>
        <v>2042</v>
      </c>
      <c r="B31" s="128">
        <f t="shared" si="5"/>
        <v>1.2</v>
      </c>
      <c r="C31" s="5">
        <f>((1-$N31)*(C$8/$L$8)+$N31*(B31/$K31))*'global path'!$C29</f>
        <v>4.3255046626991209</v>
      </c>
      <c r="D31" s="4">
        <f t="shared" si="0"/>
        <v>3.6045872189159343</v>
      </c>
      <c r="E31" s="128">
        <f t="shared" si="6"/>
        <v>4</v>
      </c>
      <c r="F31" s="5">
        <f>((1-$N31)*(F$8/$L$8)+$N31*(E31/$K31))*'global path'!$C29</f>
        <v>5.5496643211805408</v>
      </c>
      <c r="G31" s="4">
        <f t="shared" si="1"/>
        <v>1.3874160802951352</v>
      </c>
      <c r="H31" s="128">
        <f t="shared" si="7"/>
        <v>1.7000000000000004</v>
      </c>
      <c r="I31" s="5">
        <f>((1-$N31)*(I$8/$L$8)+$N31*(H31/$K31))*'global path'!$C29</f>
        <v>1.1187858008253211</v>
      </c>
      <c r="J31" s="4">
        <f t="shared" si="2"/>
        <v>0.65810929460312995</v>
      </c>
      <c r="K31" s="129">
        <f t="shared" si="8"/>
        <v>6.9</v>
      </c>
      <c r="L31" s="19">
        <f t="shared" si="9"/>
        <v>10.993954784704982</v>
      </c>
      <c r="M31" s="4">
        <f t="shared" si="3"/>
        <v>1.5933267803920264</v>
      </c>
      <c r="N31" s="440">
        <f>(RF!C32/RF!L32-('G-LIMITS = RF'!$C$8/'G-LIMITS = RF'!$L$8))/('G-LIMITS = RF'!B31/'G-LIMITS = RF'!K31-'G-LIMITS = RF'!$C$8/'G-LIMITS = RF'!$L$8)</f>
        <v>0.33344113503440331</v>
      </c>
      <c r="P31" s="463">
        <f>RF!C32-C31</f>
        <v>0</v>
      </c>
      <c r="Q31" s="464">
        <f>RF!F32-F31</f>
        <v>0</v>
      </c>
      <c r="R31" s="465">
        <f>RF!I32-I31</f>
        <v>0</v>
      </c>
    </row>
    <row r="32" spans="1:18" x14ac:dyDescent="0.2">
      <c r="A32" s="49">
        <f t="shared" si="4"/>
        <v>2043</v>
      </c>
      <c r="B32" s="128">
        <f t="shared" si="5"/>
        <v>1.2</v>
      </c>
      <c r="C32" s="5">
        <f>((1-$N32)*(C$8/$L$8)+$N32*(B32/$K32))*'global path'!$C30</f>
        <v>3.7560851173828773</v>
      </c>
      <c r="D32" s="4">
        <f t="shared" si="0"/>
        <v>3.1300709311523978</v>
      </c>
      <c r="E32" s="128">
        <f t="shared" si="6"/>
        <v>4</v>
      </c>
      <c r="F32" s="5">
        <f>((1-$N32)*(F$8/$L$8)+$N32*(E32/$K32))*'global path'!$C30</f>
        <v>5.0732724641225033</v>
      </c>
      <c r="G32" s="4">
        <f t="shared" si="1"/>
        <v>1.2683181160306258</v>
      </c>
      <c r="H32" s="128">
        <f t="shared" si="7"/>
        <v>1.7000000000000004</v>
      </c>
      <c r="I32" s="5">
        <f>((1-$N32)*(I$8/$L$8)+$N32*(H32/$K32))*'global path'!$C30</f>
        <v>1.1150658914466403</v>
      </c>
      <c r="J32" s="4">
        <f t="shared" si="2"/>
        <v>0.65592111261567054</v>
      </c>
      <c r="K32" s="129">
        <f t="shared" si="8"/>
        <v>6.9</v>
      </c>
      <c r="L32" s="19">
        <f t="shared" si="9"/>
        <v>9.9444234729520211</v>
      </c>
      <c r="M32" s="4">
        <f t="shared" si="3"/>
        <v>1.4412207931814522</v>
      </c>
      <c r="N32" s="440">
        <f>(RF!C33/RF!L33-('G-LIMITS = RF'!$C$8/'G-LIMITS = RF'!$L$8))/('G-LIMITS = RF'!B32/'G-LIMITS = RF'!K32-'G-LIMITS = RF'!$C$8/'G-LIMITS = RF'!$L$8)</f>
        <v>0.38122088388284719</v>
      </c>
      <c r="P32" s="463">
        <f>RF!C33-C32</f>
        <v>0</v>
      </c>
      <c r="Q32" s="464">
        <f>RF!F33-F32</f>
        <v>0</v>
      </c>
      <c r="R32" s="465">
        <f>RF!I33-I32</f>
        <v>0</v>
      </c>
    </row>
    <row r="33" spans="1:18" x14ac:dyDescent="0.2">
      <c r="A33" s="49">
        <f t="shared" si="4"/>
        <v>2044</v>
      </c>
      <c r="B33" s="128">
        <f t="shared" si="5"/>
        <v>1.2</v>
      </c>
      <c r="C33" s="5">
        <f>((1-$N33)*(C$8/$L$8)+$N33*(B33/$K33))*'global path'!$C31</f>
        <v>3.2233225200091211</v>
      </c>
      <c r="D33" s="4">
        <f t="shared" si="0"/>
        <v>2.6861021000076009</v>
      </c>
      <c r="E33" s="128">
        <f t="shared" si="6"/>
        <v>4</v>
      </c>
      <c r="F33" s="5">
        <f>((1-$N33)*(F$8/$L$8)+$N33*(E33/$K33))*'global path'!$C31</f>
        <v>4.6275488053166063</v>
      </c>
      <c r="G33" s="4">
        <f t="shared" si="1"/>
        <v>1.1568872013291516</v>
      </c>
      <c r="H33" s="128">
        <f t="shared" si="7"/>
        <v>1.7000000000000004</v>
      </c>
      <c r="I33" s="5">
        <f>((1-$N33)*(I$8/$L$8)+$N33*(H33/$K33))*'global path'!$C31</f>
        <v>1.1115854549233735</v>
      </c>
      <c r="J33" s="4">
        <f t="shared" si="2"/>
        <v>0.65387379701374893</v>
      </c>
      <c r="K33" s="129">
        <f t="shared" si="8"/>
        <v>6.9</v>
      </c>
      <c r="L33" s="19">
        <f t="shared" si="9"/>
        <v>8.9624567802491004</v>
      </c>
      <c r="M33" s="4">
        <f t="shared" si="3"/>
        <v>1.2989067797462464</v>
      </c>
      <c r="N33" s="440">
        <f>(RF!C34/RF!L34-('G-LIMITS = RF'!$C$8/'G-LIMITS = RF'!$L$8))/('G-LIMITS = RF'!B33/'G-LIMITS = RF'!K33-'G-LIMITS = RF'!$C$8/'G-LIMITS = RF'!$L$8)</f>
        <v>0.43605768242115595</v>
      </c>
      <c r="P33" s="463">
        <f>RF!C34-C33</f>
        <v>0</v>
      </c>
      <c r="Q33" s="464">
        <f>RF!F34-F33</f>
        <v>0</v>
      </c>
      <c r="R33" s="465">
        <f>RF!I34-I33</f>
        <v>0</v>
      </c>
    </row>
    <row r="34" spans="1:18" x14ac:dyDescent="0.2">
      <c r="A34" s="49">
        <f t="shared" si="4"/>
        <v>2045</v>
      </c>
      <c r="B34" s="128">
        <f t="shared" si="5"/>
        <v>1.2</v>
      </c>
      <c r="C34" s="5">
        <f>((1-$N34)*(C$8/$L$8)+$N34*(B34/$K34))*'global path'!$C32</f>
        <v>2.727213490071561</v>
      </c>
      <c r="D34" s="4">
        <f t="shared" si="0"/>
        <v>2.2726779083929678</v>
      </c>
      <c r="E34" s="128">
        <f t="shared" si="6"/>
        <v>4</v>
      </c>
      <c r="F34" s="5">
        <f>((1-$N34)*(F$8/$L$8)+$N34*(E34/$K34))*'global path'!$C32</f>
        <v>4.2124905165394679</v>
      </c>
      <c r="G34" s="4">
        <f t="shared" si="1"/>
        <v>1.053122629134867</v>
      </c>
      <c r="H34" s="128">
        <f t="shared" si="7"/>
        <v>1.7000000000000004</v>
      </c>
      <c r="I34" s="5">
        <f>((1-$N34)*(I$8/$L$8)+$N34*(H34/$K34))*'global path'!$C32</f>
        <v>1.1083444691713153</v>
      </c>
      <c r="J34" s="4">
        <f t="shared" si="2"/>
        <v>0.65196733480665592</v>
      </c>
      <c r="K34" s="129">
        <f t="shared" si="8"/>
        <v>6.9</v>
      </c>
      <c r="L34" s="19">
        <f t="shared" si="9"/>
        <v>8.0480484757823447</v>
      </c>
      <c r="M34" s="4">
        <f t="shared" si="3"/>
        <v>1.1663838370699049</v>
      </c>
      <c r="N34" s="440">
        <f>(RF!C35/RF!L35-('G-LIMITS = RF'!$C$8/'G-LIMITS = RF'!$L$8))/('G-LIMITS = RF'!B34/'G-LIMITS = RF'!K34-'G-LIMITS = RF'!$C$8/'G-LIMITS = RF'!$L$8)</f>
        <v>0.49915407396023009</v>
      </c>
      <c r="P34" s="463">
        <f>RF!C35-C34</f>
        <v>0</v>
      </c>
      <c r="Q34" s="464">
        <f>RF!F35-F34</f>
        <v>0</v>
      </c>
      <c r="R34" s="465">
        <f>RF!I35-I34</f>
        <v>0</v>
      </c>
    </row>
    <row r="35" spans="1:18" x14ac:dyDescent="0.2">
      <c r="A35" s="49">
        <f t="shared" si="4"/>
        <v>2046</v>
      </c>
      <c r="B35" s="128">
        <f t="shared" si="5"/>
        <v>1.2</v>
      </c>
      <c r="C35" s="5">
        <f>((1-$N35)*(C$8/$L$8)+$N35*(B35/$K35))*'global path'!$C33</f>
        <v>2.2673941820180246</v>
      </c>
      <c r="D35" s="4">
        <f t="shared" si="0"/>
        <v>1.8894951516816871</v>
      </c>
      <c r="E35" s="128">
        <f t="shared" si="6"/>
        <v>4</v>
      </c>
      <c r="F35" s="5">
        <f>((1-$N35)*(F$8/$L$8)+$N35*(E35/$K35))*'global path'!$C33</f>
        <v>3.8277931947200914</v>
      </c>
      <c r="G35" s="4">
        <f t="shared" si="1"/>
        <v>0.95694829868002285</v>
      </c>
      <c r="H35" s="128">
        <f t="shared" si="7"/>
        <v>1.7000000000000004</v>
      </c>
      <c r="I35" s="5">
        <f>((1-$N35)*(I$8/$L$8)+$N35*(H35/$K35))*'global path'!$C33</f>
        <v>1.1053405572568116</v>
      </c>
      <c r="J35" s="4">
        <f t="shared" si="2"/>
        <v>0.65020032779812431</v>
      </c>
      <c r="K35" s="129">
        <f t="shared" si="8"/>
        <v>6.9</v>
      </c>
      <c r="L35" s="19">
        <f t="shared" si="9"/>
        <v>7.2005279339949269</v>
      </c>
      <c r="M35" s="4">
        <f t="shared" si="3"/>
        <v>1.043554773042743</v>
      </c>
      <c r="N35" s="440">
        <f>(RF!C36/RF!L36-('G-LIMITS = RF'!$C$8/'G-LIMITS = RF'!$L$8))/('G-LIMITS = RF'!B35/'G-LIMITS = RF'!K35-'G-LIMITS = RF'!$C$8/'G-LIMITS = RF'!$L$8)</f>
        <v>0.57194501421413724</v>
      </c>
      <c r="P35" s="463">
        <f>RF!C36-C35</f>
        <v>0</v>
      </c>
      <c r="Q35" s="464">
        <f>RF!F36-F35</f>
        <v>0</v>
      </c>
      <c r="R35" s="465">
        <f>RF!I36-I35</f>
        <v>0</v>
      </c>
    </row>
    <row r="36" spans="1:18" x14ac:dyDescent="0.2">
      <c r="A36" s="49">
        <f t="shared" si="4"/>
        <v>2047</v>
      </c>
      <c r="B36" s="128">
        <f t="shared" si="5"/>
        <v>1.2</v>
      </c>
      <c r="C36" s="5">
        <f>((1-$N36)*(C$8/$L$8)+$N36*(B36/$K36))*'global path'!$C34</f>
        <v>1.8431794720279724</v>
      </c>
      <c r="D36" s="4">
        <f t="shared" si="0"/>
        <v>1.5359828933566437</v>
      </c>
      <c r="E36" s="128">
        <f t="shared" si="6"/>
        <v>4</v>
      </c>
      <c r="F36" s="5">
        <f>((1-$N36)*(F$8/$L$8)+$N36*(E36/$K36))*'global path'!$C34</f>
        <v>3.4728836466622353</v>
      </c>
      <c r="G36" s="4">
        <f t="shared" si="1"/>
        <v>0.86822091166555881</v>
      </c>
      <c r="H36" s="128">
        <f t="shared" si="7"/>
        <v>1.7000000000000004</v>
      </c>
      <c r="I36" s="5">
        <f>((1-$N36)*(I$8/$L$8)+$N36*(H36/$K36))*'global path'!$C34</f>
        <v>1.1025692433965011</v>
      </c>
      <c r="J36" s="4">
        <f t="shared" si="2"/>
        <v>0.64857014317441231</v>
      </c>
      <c r="K36" s="129">
        <f t="shared" si="8"/>
        <v>6.9</v>
      </c>
      <c r="L36" s="19">
        <f t="shared" si="9"/>
        <v>6.4186323620867087</v>
      </c>
      <c r="M36" s="4">
        <f t="shared" si="3"/>
        <v>0.93023657421546502</v>
      </c>
      <c r="N36" s="440">
        <f>(RF!C37/RF!L37-('G-LIMITS = RF'!$C$8/'G-LIMITS = RF'!$L$8))/('G-LIMITS = RF'!B36/'G-LIMITS = RF'!K36-'G-LIMITS = RF'!$C$8/'G-LIMITS = RF'!$L$8)</f>
        <v>0.65614730981825942</v>
      </c>
      <c r="P36" s="463">
        <f>RF!C37-C36</f>
        <v>0</v>
      </c>
      <c r="Q36" s="464">
        <f>RF!F37-F36</f>
        <v>0</v>
      </c>
      <c r="R36" s="465">
        <f>RF!I37-I36</f>
        <v>0</v>
      </c>
    </row>
    <row r="37" spans="1:18" x14ac:dyDescent="0.2">
      <c r="A37" s="49">
        <f t="shared" si="4"/>
        <v>2048</v>
      </c>
      <c r="B37" s="128">
        <f t="shared" si="5"/>
        <v>1.2</v>
      </c>
      <c r="C37" s="5">
        <f>((1-$N37)*(C$8/$L$8)+$N37*(B37/$K37))*'global path'!$C35</f>
        <v>1.4536036745156038</v>
      </c>
      <c r="D37" s="4">
        <f t="shared" si="0"/>
        <v>1.2113363954296699</v>
      </c>
      <c r="E37" s="128">
        <f t="shared" si="6"/>
        <v>4</v>
      </c>
      <c r="F37" s="5">
        <f>((1-$N37)*(F$8/$L$8)+$N37*(E37/$K37))*'global path'!$C35</f>
        <v>3.1469539535767805</v>
      </c>
      <c r="G37" s="4">
        <f t="shared" si="1"/>
        <v>0.78673848839419513</v>
      </c>
      <c r="H37" s="128">
        <f t="shared" si="7"/>
        <v>1.7000000000000004</v>
      </c>
      <c r="I37" s="5">
        <f>((1-$N37)*(I$8/$L$8)+$N37*(H37/$K37))*'global path'!$C35</f>
        <v>1.1000242189504783</v>
      </c>
      <c r="J37" s="4">
        <f t="shared" si="2"/>
        <v>0.64707306997086944</v>
      </c>
      <c r="K37" s="129">
        <f t="shared" si="8"/>
        <v>6.9</v>
      </c>
      <c r="L37" s="19">
        <f t="shared" si="9"/>
        <v>5.7005818470428622</v>
      </c>
      <c r="M37" s="4">
        <f t="shared" si="3"/>
        <v>0.82617128218012492</v>
      </c>
      <c r="N37" s="440">
        <f>(RF!C38/RF!L38-('G-LIMITS = RF'!$C$8/'G-LIMITS = RF'!$L$8))/('G-LIMITS = RF'!B37/'G-LIMITS = RF'!K37-'G-LIMITS = RF'!$C$8/'G-LIMITS = RF'!$L$8)</f>
        <v>0.75382049044315391</v>
      </c>
      <c r="P37" s="463">
        <f>RF!C38-C37</f>
        <v>0</v>
      </c>
      <c r="Q37" s="464">
        <f>RF!F38-F37</f>
        <v>0</v>
      </c>
      <c r="R37" s="465">
        <f>RF!I38-I37</f>
        <v>0</v>
      </c>
    </row>
    <row r="38" spans="1:18" x14ac:dyDescent="0.2">
      <c r="A38" s="49">
        <f t="shared" si="4"/>
        <v>2049</v>
      </c>
      <c r="B38" s="128">
        <f t="shared" si="5"/>
        <v>1.2</v>
      </c>
      <c r="C38" s="5">
        <f>((1-$N38)*(C$8/$L$8)+$N38*(B38/$K38))*'global path'!$C36</f>
        <v>1.097461840764286</v>
      </c>
      <c r="D38" s="4">
        <f t="shared" si="0"/>
        <v>0.91455153397023836</v>
      </c>
      <c r="E38" s="128">
        <f t="shared" si="6"/>
        <v>4</v>
      </c>
      <c r="F38" s="5">
        <f>((1-$N38)*(F$8/$L$8)+$N38*(E38/$K38))*'global path'!$C36</f>
        <v>2.8489960226409572</v>
      </c>
      <c r="G38" s="4">
        <f t="shared" si="1"/>
        <v>0.7122490056602393</v>
      </c>
      <c r="H38" s="128">
        <f t="shared" si="7"/>
        <v>1.7000000000000004</v>
      </c>
      <c r="I38" s="5">
        <f>((1-$N38)*(I$8/$L$8)+$N38*(H38/$K38))*'global path'!$C36</f>
        <v>1.0976976122183959</v>
      </c>
      <c r="J38" s="4">
        <f t="shared" si="2"/>
        <v>0.64570447777552686</v>
      </c>
      <c r="K38" s="129">
        <f t="shared" si="8"/>
        <v>6.9</v>
      </c>
      <c r="L38" s="19">
        <f t="shared" si="9"/>
        <v>5.0441554756236391</v>
      </c>
      <c r="M38" s="4">
        <f t="shared" si="3"/>
        <v>0.73103702545270133</v>
      </c>
      <c r="N38" s="440">
        <f>(RF!C39/RF!L39-('G-LIMITS = RF'!$C$8/'G-LIMITS = RF'!$L$8))/('G-LIMITS = RF'!B38/'G-LIMITS = RF'!K38-'G-LIMITS = RF'!$C$8/'G-LIMITS = RF'!$L$8)</f>
        <v>0.86744195672615954</v>
      </c>
      <c r="P38" s="463">
        <f>RF!C39-C38</f>
        <v>0</v>
      </c>
      <c r="Q38" s="464">
        <f>RF!F39-F38</f>
        <v>0</v>
      </c>
      <c r="R38" s="465">
        <f>RF!I39-I38</f>
        <v>0</v>
      </c>
    </row>
    <row r="39" spans="1:18" ht="13.5" thickBot="1" x14ac:dyDescent="0.25">
      <c r="A39" s="49">
        <f t="shared" si="4"/>
        <v>2050</v>
      </c>
      <c r="B39" s="139">
        <f>RF!B40</f>
        <v>1.2</v>
      </c>
      <c r="C39" s="5">
        <f>((1-$N39)*(C$8/$L$8)+$N39*(B39/$K39))*'global path'!$C37</f>
        <v>0.77335076918943702</v>
      </c>
      <c r="D39" s="140">
        <f t="shared" si="0"/>
        <v>0.64445897432453092</v>
      </c>
      <c r="E39" s="141">
        <f>RF!E40</f>
        <v>4</v>
      </c>
      <c r="F39" s="5">
        <f>((1-$N39)*(F$8/$L$8)+$N39*(E39/$K39))*'global path'!$C37</f>
        <v>2.5778358972981237</v>
      </c>
      <c r="G39" s="140">
        <f t="shared" si="1"/>
        <v>0.64445897432453092</v>
      </c>
      <c r="H39" s="149">
        <f>K39-E39-B39</f>
        <v>1.7000000000000004</v>
      </c>
      <c r="I39" s="5">
        <f>((1-$N39)*(I$8/$L$8)+$N39*(H39/$K39))*'global path'!$C37</f>
        <v>1.0955802563517028</v>
      </c>
      <c r="J39" s="140">
        <f t="shared" si="2"/>
        <v>0.64445897432453092</v>
      </c>
      <c r="K39" s="141">
        <f>RF!K40</f>
        <v>6.9</v>
      </c>
      <c r="L39" s="19">
        <f t="shared" si="9"/>
        <v>4.4467669228392639</v>
      </c>
      <c r="M39" s="4">
        <f t="shared" si="3"/>
        <v>0.64445897432453092</v>
      </c>
      <c r="N39" s="441">
        <f>(RF!C40/RF!L40-('G-LIMITS = RF'!$C$8/'G-LIMITS = RF'!$L$8))/('G-LIMITS = RF'!B39/'G-LIMITS = RF'!K39-'G-LIMITS = RF'!$C$8/'G-LIMITS = RF'!$L$8)</f>
        <v>1</v>
      </c>
      <c r="P39" s="466">
        <f>RF!C40-C39</f>
        <v>0</v>
      </c>
      <c r="Q39" s="467">
        <f>RF!F40-F39</f>
        <v>0</v>
      </c>
      <c r="R39" s="468">
        <f>RF!I40-I39</f>
        <v>0</v>
      </c>
    </row>
    <row r="40" spans="1:18" ht="13.5" thickBot="1" x14ac:dyDescent="0.25">
      <c r="A40" s="143" t="s">
        <v>1</v>
      </c>
      <c r="B40" s="144"/>
      <c r="C40" s="145">
        <f>SUM(C9:C39)</f>
        <v>305.50878147574412</v>
      </c>
      <c r="D40" s="146"/>
      <c r="E40" s="144"/>
      <c r="F40" s="145">
        <f>SUM(F9:F39)</f>
        <v>315.45266303406379</v>
      </c>
      <c r="G40" s="146"/>
      <c r="H40" s="144"/>
      <c r="I40" s="145">
        <f>SUM(I9:I39)</f>
        <v>35.802201848035104</v>
      </c>
      <c r="J40" s="146"/>
      <c r="K40" s="144"/>
      <c r="L40" s="147">
        <f>SUM(L9:L39)</f>
        <v>656.76364635784296</v>
      </c>
      <c r="M40" s="148"/>
      <c r="N40" s="138"/>
    </row>
    <row r="41" spans="1:1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1:18" x14ac:dyDescent="0.2">
      <c r="A42" s="7"/>
      <c r="B42" s="7"/>
      <c r="C42" s="7"/>
      <c r="D42" s="7"/>
      <c r="E42" s="7"/>
      <c r="F42" s="7"/>
      <c r="G42" s="7"/>
      <c r="H42" s="7"/>
      <c r="I42" s="7"/>
      <c r="J42" s="7" t="s">
        <v>41</v>
      </c>
      <c r="K42" s="114"/>
      <c r="L42" s="113">
        <f>'global path'!C89</f>
        <v>656.76364635784296</v>
      </c>
      <c r="M42" s="7"/>
      <c r="N42" s="7"/>
    </row>
    <row r="43" spans="1:18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113">
        <f>L40-L42</f>
        <v>0</v>
      </c>
      <c r="M43" s="7"/>
      <c r="N43" s="7"/>
    </row>
  </sheetData>
  <sheetProtection selectLockedCells="1"/>
  <mergeCells count="4">
    <mergeCell ref="B4:D4"/>
    <mergeCell ref="E4:G4"/>
    <mergeCell ref="H4:J4"/>
    <mergeCell ref="K4:N4"/>
  </mergeCells>
  <conditionalFormatting sqref="L43">
    <cfRule type="cellIs" dxfId="19" priority="1" stopIfTrue="1" operator="equal">
      <formula>0</formula>
    </cfRule>
  </conditionalFormatting>
  <conditionalFormatting sqref="N8:N39">
    <cfRule type="expression" dxfId="18" priority="2" stopIfTrue="1">
      <formula>AND(N8=-100,N9=-100)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7" tint="0.39997558519241921"/>
    <pageSetUpPr fitToPage="1"/>
  </sheetPr>
  <dimension ref="A1:AI108"/>
  <sheetViews>
    <sheetView zoomScaleNormal="100" workbookViewId="0">
      <selection activeCell="A2" sqref="A2"/>
    </sheetView>
  </sheetViews>
  <sheetFormatPr baseColWidth="10" defaultColWidth="11.7109375" defaultRowHeight="12.75" x14ac:dyDescent="0.2"/>
  <cols>
    <col min="1" max="1" width="10.42578125" style="3" customWidth="1"/>
    <col min="2" max="2" width="5" style="3" customWidth="1"/>
    <col min="3" max="3" width="6" style="3" bestFit="1" customWidth="1"/>
    <col min="4" max="4" width="5.42578125" style="3" bestFit="1" customWidth="1"/>
    <col min="5" max="5" width="5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7.28515625" style="3" bestFit="1" customWidth="1"/>
    <col min="10" max="10" width="5.85546875" style="3" customWidth="1"/>
    <col min="11" max="11" width="5.28515625" style="3" bestFit="1" customWidth="1"/>
    <col min="12" max="12" width="7.5703125" style="3" bestFit="1" customWidth="1"/>
    <col min="13" max="13" width="6.140625" style="3" customWidth="1"/>
    <col min="14" max="14" width="7.28515625" style="3" bestFit="1" customWidth="1"/>
    <col min="15" max="15" width="4.42578125" style="3" bestFit="1" customWidth="1"/>
    <col min="16" max="16" width="9.7109375" style="3" bestFit="1" customWidth="1"/>
    <col min="17" max="17" width="6.7109375" style="3" customWidth="1"/>
    <col min="18" max="18" width="7.5703125" style="3" customWidth="1"/>
    <col min="19" max="19" width="8.42578125" style="1" bestFit="1" customWidth="1"/>
    <col min="20" max="20" width="13.28515625" style="1" customWidth="1"/>
    <col min="21" max="24" width="8.42578125" style="1" bestFit="1" customWidth="1"/>
    <col min="25" max="25" width="8.42578125" style="3" bestFit="1" customWidth="1"/>
    <col min="26" max="32" width="8.42578125" style="1" bestFit="1" customWidth="1"/>
    <col min="33" max="33" width="8.42578125" style="3" bestFit="1" customWidth="1"/>
    <col min="34" max="16384" width="11.7109375" style="3"/>
  </cols>
  <sheetData>
    <row r="1" spans="1:35" ht="15.75" x14ac:dyDescent="0.25">
      <c r="A1" s="167" t="s">
        <v>231</v>
      </c>
      <c r="D1" s="1"/>
      <c r="F1" s="16"/>
    </row>
    <row r="2" spans="1:35" ht="15.75" x14ac:dyDescent="0.25">
      <c r="A2" s="169" t="str">
        <f>CONCATENATE("SPM-",ROUND(T8*100,0))</f>
        <v>SPM-16</v>
      </c>
      <c r="B2" s="166"/>
      <c r="D2" s="1"/>
      <c r="F2" s="16"/>
    </row>
    <row r="3" spans="1:35" ht="16.5" thickBot="1" x14ac:dyDescent="0.3">
      <c r="A3" s="51"/>
      <c r="D3" s="1"/>
      <c r="F3" s="16"/>
    </row>
    <row r="4" spans="1:35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O4" s="3"/>
      <c r="P4" s="167"/>
      <c r="Q4" s="3"/>
      <c r="R4" s="3"/>
      <c r="S4" s="1"/>
      <c r="T4" s="743" t="s">
        <v>134</v>
      </c>
      <c r="U4" s="744"/>
      <c r="V4" s="1"/>
      <c r="W4" s="1"/>
      <c r="X4" s="1"/>
      <c r="Y4" s="3"/>
      <c r="Z4" s="1"/>
      <c r="AA4" s="1"/>
      <c r="AB4" s="1"/>
      <c r="AC4" s="1"/>
      <c r="AD4" s="1"/>
      <c r="AE4" s="1"/>
      <c r="AF4" s="10"/>
    </row>
    <row r="5" spans="1:35" ht="15.6" customHeight="1" x14ac:dyDescent="0.2">
      <c r="A5" s="173"/>
      <c r="B5" s="457" t="s">
        <v>89</v>
      </c>
      <c r="C5" s="458">
        <f>T8*'global path'!C88/K11*B11+(1-T8)*'global path'!C88*C11/L11</f>
        <v>308.98458991296116</v>
      </c>
      <c r="D5" s="459" t="s">
        <v>21</v>
      </c>
      <c r="E5" s="457" t="s">
        <v>90</v>
      </c>
      <c r="F5" s="458">
        <f>T8*'global path'!C88/K11*E11+(1-T8)*'global path'!C88*F11/L11</f>
        <v>331.65057204577687</v>
      </c>
      <c r="G5" s="459" t="s">
        <v>21</v>
      </c>
      <c r="H5" s="457" t="s">
        <v>91</v>
      </c>
      <c r="I5" s="458">
        <f>T8*'global path'!C88/K11*H11+(1-T8)*'global path'!C88*I11/L11</f>
        <v>43.331043431904078</v>
      </c>
      <c r="J5" s="459" t="s">
        <v>21</v>
      </c>
      <c r="K5" s="457" t="s">
        <v>92</v>
      </c>
      <c r="L5" s="460">
        <f>C5+F5+I5</f>
        <v>683.96620539064213</v>
      </c>
      <c r="M5" s="459" t="s">
        <v>21</v>
      </c>
      <c r="N5" s="461"/>
      <c r="P5" s="585"/>
      <c r="Q5" s="585"/>
      <c r="R5" s="585"/>
      <c r="S5" s="585"/>
      <c r="T5" s="585"/>
      <c r="U5" s="585"/>
      <c r="V5" s="585"/>
      <c r="W5" s="585"/>
      <c r="X5" s="585"/>
      <c r="Y5" s="585"/>
      <c r="Z5" s="585"/>
      <c r="AA5" s="585"/>
      <c r="AB5" s="585"/>
    </row>
    <row r="6" spans="1:35" ht="15.75" x14ac:dyDescent="0.2">
      <c r="A6" s="176"/>
      <c r="B6" s="174" t="s">
        <v>43</v>
      </c>
      <c r="C6" s="175">
        <f>C5/C11</f>
        <v>14.713551900617198</v>
      </c>
      <c r="D6" s="178"/>
      <c r="E6" s="174" t="s">
        <v>47</v>
      </c>
      <c r="F6" s="175">
        <f>F5/F11</f>
        <v>17.007721643373173</v>
      </c>
      <c r="G6" s="512"/>
      <c r="H6" s="174" t="s">
        <v>49</v>
      </c>
      <c r="I6" s="175">
        <f>I5/I11</f>
        <v>35.293996789517927</v>
      </c>
      <c r="J6" s="178"/>
      <c r="K6" s="783" t="s">
        <v>57</v>
      </c>
      <c r="L6" s="784"/>
      <c r="M6" s="784"/>
      <c r="N6" s="785"/>
      <c r="P6" s="585"/>
      <c r="Q6" s="585"/>
      <c r="R6" s="585"/>
      <c r="S6" s="585"/>
      <c r="T6" s="585"/>
      <c r="U6" s="585"/>
      <c r="V6" s="585"/>
      <c r="W6" s="585"/>
      <c r="X6" s="585"/>
      <c r="Y6" s="585"/>
      <c r="Z6" s="585"/>
      <c r="AA6" s="585"/>
      <c r="AB6" s="585"/>
      <c r="AD6" s="10"/>
      <c r="AE6" s="10"/>
    </row>
    <row r="7" spans="1:35" ht="16.5" thickBot="1" x14ac:dyDescent="0.25">
      <c r="A7" s="176"/>
      <c r="B7" s="174" t="s">
        <v>44</v>
      </c>
      <c r="C7" s="502">
        <f>'SPM-eq'!C7</f>
        <v>0</v>
      </c>
      <c r="D7" s="178"/>
      <c r="E7" s="174" t="s">
        <v>46</v>
      </c>
      <c r="F7" s="502">
        <f>'SPM-eq'!F7</f>
        <v>0.03</v>
      </c>
      <c r="G7" s="512"/>
      <c r="H7" s="174" t="s">
        <v>50</v>
      </c>
      <c r="I7" s="502">
        <f>'SPM-eq'!I7</f>
        <v>0.02</v>
      </c>
      <c r="J7" s="178"/>
      <c r="K7" s="783"/>
      <c r="L7" s="784"/>
      <c r="M7" s="784"/>
      <c r="N7" s="785"/>
      <c r="P7" s="585"/>
      <c r="Q7" s="585"/>
      <c r="R7" s="585"/>
      <c r="S7" s="585"/>
      <c r="T7" s="585"/>
      <c r="U7" s="585"/>
      <c r="V7" s="585"/>
      <c r="W7" s="585"/>
      <c r="X7" s="585"/>
      <c r="Y7" s="585"/>
      <c r="Z7" s="585"/>
      <c r="AA7" s="585"/>
      <c r="AB7" s="585"/>
    </row>
    <row r="8" spans="1:35" ht="16.5" thickBot="1" x14ac:dyDescent="0.3">
      <c r="A8" s="177"/>
      <c r="B8" s="87" t="s">
        <v>45</v>
      </c>
      <c r="C8" s="88">
        <f>(1+SQRT(1+C7*C6))/C6</f>
        <v>0.13592910899482435</v>
      </c>
      <c r="D8" s="179"/>
      <c r="E8" s="87" t="s">
        <v>48</v>
      </c>
      <c r="F8" s="88">
        <f>(1+SQRT(1+F7*F6))/F6</f>
        <v>0.13105311061826475</v>
      </c>
      <c r="G8" s="90"/>
      <c r="H8" s="87" t="s">
        <v>51</v>
      </c>
      <c r="I8" s="88">
        <f>(1+SQRT(1+I7*I6))/I6</f>
        <v>6.5339536376087484E-2</v>
      </c>
      <c r="J8" s="179"/>
      <c r="K8" s="786"/>
      <c r="L8" s="787"/>
      <c r="M8" s="787"/>
      <c r="N8" s="788"/>
      <c r="P8" s="455" t="s">
        <v>188</v>
      </c>
      <c r="Q8" s="312"/>
      <c r="R8" s="312"/>
      <c r="S8" s="456"/>
      <c r="T8" s="603">
        <v>0.1563944281631455</v>
      </c>
      <c r="U8" s="666" t="s">
        <v>183</v>
      </c>
      <c r="V8" s="665"/>
      <c r="W8" s="577"/>
      <c r="X8" s="366" t="s">
        <v>41</v>
      </c>
      <c r="Y8" s="22"/>
      <c r="Z8" s="605">
        <f>'global path'!C2</f>
        <v>3</v>
      </c>
    </row>
    <row r="9" spans="1:35" s="43" customFormat="1" ht="39" customHeight="1" x14ac:dyDescent="0.25">
      <c r="A9" s="126" t="s">
        <v>10</v>
      </c>
      <c r="B9" s="191" t="s">
        <v>13</v>
      </c>
      <c r="C9" s="20" t="s">
        <v>12</v>
      </c>
      <c r="D9" s="192" t="s">
        <v>11</v>
      </c>
      <c r="E9" s="14" t="s">
        <v>13</v>
      </c>
      <c r="F9" s="14" t="s">
        <v>12</v>
      </c>
      <c r="G9" s="14" t="s">
        <v>11</v>
      </c>
      <c r="H9" s="13" t="s">
        <v>13</v>
      </c>
      <c r="I9" s="14" t="s">
        <v>12</v>
      </c>
      <c r="J9" s="14" t="s">
        <v>11</v>
      </c>
      <c r="K9" s="191" t="s">
        <v>22</v>
      </c>
      <c r="L9" s="20" t="s">
        <v>23</v>
      </c>
      <c r="M9" s="20" t="s">
        <v>11</v>
      </c>
      <c r="N9" s="91"/>
      <c r="O9" s="3"/>
      <c r="P9" s="802" t="s">
        <v>182</v>
      </c>
      <c r="Q9" s="803"/>
      <c r="R9" s="804"/>
      <c r="S9" s="1"/>
      <c r="T9" s="584"/>
      <c r="U9" s="1"/>
      <c r="V9" s="1"/>
      <c r="W9" s="1"/>
      <c r="X9" s="1"/>
      <c r="Y9" s="3"/>
      <c r="Z9" s="1"/>
      <c r="AA9" s="1"/>
      <c r="AB9" s="1"/>
      <c r="AC9" s="1"/>
      <c r="AD9" s="1"/>
      <c r="AE9" s="1"/>
      <c r="AF9" s="10"/>
    </row>
    <row r="10" spans="1:35" s="43" customFormat="1" x14ac:dyDescent="0.2">
      <c r="A10" s="187"/>
      <c r="B10" s="127" t="s">
        <v>6</v>
      </c>
      <c r="C10" s="108" t="s">
        <v>21</v>
      </c>
      <c r="D10" s="193" t="s">
        <v>0</v>
      </c>
      <c r="E10" s="108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02" t="s">
        <v>6</v>
      </c>
      <c r="L10" s="108" t="s">
        <v>21</v>
      </c>
      <c r="M10" s="30" t="s">
        <v>0</v>
      </c>
      <c r="N10" s="33"/>
      <c r="O10" s="3"/>
      <c r="P10" s="513" t="s">
        <v>129</v>
      </c>
      <c r="Q10" s="514" t="s">
        <v>130</v>
      </c>
      <c r="R10" s="515" t="s">
        <v>131</v>
      </c>
      <c r="S10" s="1"/>
      <c r="T10" s="1"/>
      <c r="U10" s="1"/>
      <c r="V10" s="1"/>
      <c r="W10" s="1"/>
      <c r="X10" s="1"/>
      <c r="Y10" s="3"/>
      <c r="Z10" s="1"/>
      <c r="AA10" s="1"/>
      <c r="AB10" s="1"/>
      <c r="AC10" s="1"/>
      <c r="AD10" s="1"/>
      <c r="AE10" s="1"/>
      <c r="AF10" s="10"/>
    </row>
    <row r="11" spans="1:35" s="43" customFormat="1" x14ac:dyDescent="0.2">
      <c r="A11" s="188">
        <v>2019</v>
      </c>
      <c r="B11" s="131">
        <f>RF!B9</f>
        <v>1.2</v>
      </c>
      <c r="C11" s="132">
        <f>RF!C9</f>
        <v>21</v>
      </c>
      <c r="D11" s="194">
        <f>C11/B11</f>
        <v>17.5</v>
      </c>
      <c r="E11" s="132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1">
        <f>RF!K9</f>
        <v>6.9</v>
      </c>
      <c r="L11" s="32">
        <f>I11+F11+C11</f>
        <v>41.727717101305259</v>
      </c>
      <c r="M11" s="31">
        <f>L11/K11</f>
        <v>6.047495232073226</v>
      </c>
      <c r="N11" s="594"/>
      <c r="O11" s="3"/>
      <c r="P11" s="530">
        <f>RF!C9-'SPM = RF'!C11</f>
        <v>0</v>
      </c>
      <c r="Q11" s="531">
        <f>RF!F9-'SPM = RF'!F11</f>
        <v>0</v>
      </c>
      <c r="R11" s="532">
        <f>RF!I9-'SPM = RF'!I11</f>
        <v>0</v>
      </c>
      <c r="S11" s="1"/>
      <c r="T11" s="1"/>
      <c r="U11" s="1"/>
      <c r="V11" s="1"/>
      <c r="W11" s="1"/>
      <c r="X11" s="1"/>
      <c r="Y11" s="3"/>
      <c r="Z11" s="1"/>
      <c r="AA11" s="1"/>
      <c r="AB11" s="1"/>
      <c r="AC11" s="1"/>
      <c r="AD11" s="1"/>
      <c r="AE11" s="1"/>
      <c r="AF11" s="10"/>
    </row>
    <row r="12" spans="1:35" x14ac:dyDescent="0.2">
      <c r="A12" s="180">
        <f>A11+1</f>
        <v>2020</v>
      </c>
      <c r="B12" s="128">
        <f t="shared" ref="B12:B41" si="0">B$11*(B$42/B$11)^(($A12-2019)/31)</f>
        <v>1.2</v>
      </c>
      <c r="C12" s="5">
        <f>-C$11*EXP(-C$8*($A12-$A$11))/C$8^2*((C$7*C$8+C$8^2)*($A12-$A$11)+2*C$8+C$7)
  +C$11*EXP(-C$8*($A11-$A$11))/C$8^2*((C$7*C$8+C$8^2)*($A11-$A$11)+2*C$8+C$7)</f>
        <v>20.939552694170402</v>
      </c>
      <c r="D12" s="195">
        <f t="shared" ref="D12:D42" si="1">C12/B12</f>
        <v>17.449627245142004</v>
      </c>
      <c r="E12" s="5">
        <f t="shared" ref="E12:E41" si="2">E$11*(E$42/E$11)^(($A12-2019)/31)</f>
        <v>4</v>
      </c>
      <c r="F12" s="5">
        <f>-F$11*EXP(-F$8*($A12-$A$11))/F$8^2*((F$7*F$8+F$8^2)*($A12-$A$11)+2*F$8+F$7)
  +F$11*EXP(-F$8*($A11-$A$11))/F$8^2*((F$7*F$8+F$8^2)*($A11-$A$11)+2*F$8+F$7)</f>
        <v>19.715857240288244</v>
      </c>
      <c r="G12" s="4">
        <f t="shared" ref="G12:G42" si="3">F12/E12</f>
        <v>4.928964310072061</v>
      </c>
      <c r="H12" s="128">
        <f t="shared" ref="H12:H41" si="4">H$11*(H$42/H$11)^(($A12-2019)/31)</f>
        <v>1.7000000000000004</v>
      </c>
      <c r="I12" s="5">
        <f>-I$11*EXP(-I$8*($A12-$A$11))/I$8^2*((I$7*I$8+I$8^2)*($A12-$A$11)+2*I$8+I$7)
  +I$11*EXP(-I$8*($A11-$A$11))/I$8^2*((I$7*I$8+I$8^2)*($A11-$A$11)+2*I$8+I$7)</f>
        <v>1.2386267760239917</v>
      </c>
      <c r="J12" s="4">
        <f t="shared" ref="J12:J42" si="5">I12/H12</f>
        <v>0.72860398589646558</v>
      </c>
      <c r="K12" s="128">
        <f>B12+E12+H12</f>
        <v>6.9</v>
      </c>
      <c r="L12" s="19">
        <f>I12+F12+C12</f>
        <v>41.894036710482638</v>
      </c>
      <c r="M12" s="4">
        <f t="shared" ref="M12:M42" si="6">L12/K12</f>
        <v>6.0715995232583531</v>
      </c>
      <c r="N12" s="439"/>
      <c r="O12" s="43"/>
      <c r="P12" s="533">
        <f>RF!C10-'SPM = RF'!C12</f>
        <v>-0.39233723585738645</v>
      </c>
      <c r="Q12" s="534">
        <f>RF!F10-'SPM = RF'!F12</f>
        <v>-0.59466908550096775</v>
      </c>
      <c r="R12" s="535">
        <f>RF!I10-'SPM = RF'!I12</f>
        <v>-1.3867629845136564E-2</v>
      </c>
      <c r="AF12" s="10"/>
      <c r="AG12" s="43"/>
      <c r="AH12" s="43"/>
      <c r="AI12" s="43"/>
    </row>
    <row r="13" spans="1:35" x14ac:dyDescent="0.2">
      <c r="A13" s="180">
        <f t="shared" ref="A13:A41" si="7">A12+1</f>
        <v>2021</v>
      </c>
      <c r="B13" s="128">
        <f t="shared" si="0"/>
        <v>1.2</v>
      </c>
      <c r="C13" s="5">
        <f t="shared" ref="C13:C42" si="8">-C$11*EXP(-C$8*($A13-$A$11))/C$8^2*((C$7*C$8+C$8^2)*($A13-$A$11)+2*C$8+C$7)
  +C$11*EXP(-C$8*($A12-$A$11))/C$8^2*((C$7*C$8+C$8^2)*($A12-$A$11)+2*C$8+C$7)</f>
        <v>20.608016746228088</v>
      </c>
      <c r="D13" s="195">
        <f t="shared" si="1"/>
        <v>17.173347288523409</v>
      </c>
      <c r="E13" s="5">
        <f t="shared" si="2"/>
        <v>4</v>
      </c>
      <c r="F13" s="5">
        <f t="shared" ref="F13:F42" si="9">-F$11*EXP(-F$8*($A13-$A$11))/F$8^2*((F$7*F$8+F$8^2)*($A13-$A$11)+2*F$8+F$7)
  +F$11*EXP(-F$8*($A12-$A$11))/F$8^2*((F$7*F$8+F$8^2)*($A12-$A$11)+2*F$8+F$7)</f>
        <v>19.87609134997183</v>
      </c>
      <c r="G13" s="4">
        <f t="shared" si="3"/>
        <v>4.9690228374929575</v>
      </c>
      <c r="H13" s="128">
        <f t="shared" si="4"/>
        <v>1.7000000000000004</v>
      </c>
      <c r="I13" s="5">
        <f t="shared" ref="I13:I42" si="10">-I$11*EXP(-I$8*($A13-$A$11))/I$8^2*((I$7*I$8+I$8^2)*($A13-$A$11)+2*I$8+I$7)
  +I$11*EXP(-I$8*($A12-$A$11))/I$8^2*((I$7*I$8+I$8^2)*($A12-$A$11)+2*I$8+I$7)</f>
        <v>1.2552909923131281</v>
      </c>
      <c r="J13" s="4">
        <f t="shared" si="5"/>
        <v>0.73840646606654581</v>
      </c>
      <c r="K13" s="128">
        <f t="shared" ref="K13:K41" si="11">B13+E13+H13</f>
        <v>6.9</v>
      </c>
      <c r="L13" s="19">
        <f t="shared" ref="L13:L44" si="12">I13+F13+C13</f>
        <v>41.739399088513046</v>
      </c>
      <c r="M13" s="4">
        <f t="shared" si="6"/>
        <v>6.0491882736975429</v>
      </c>
      <c r="N13" s="440"/>
      <c r="P13" s="533">
        <f>RF!C11-'SPM = RF'!C13</f>
        <v>-0.57732520851127589</v>
      </c>
      <c r="Q13" s="534">
        <f>RF!F11-'SPM = RF'!F13</f>
        <v>-1.1870411359555568</v>
      </c>
      <c r="R13" s="535">
        <f>RF!I11-'SPM = RF'!I13</f>
        <v>-3.390619847666021E-2</v>
      </c>
      <c r="AF13" s="10"/>
      <c r="AG13" s="43"/>
    </row>
    <row r="14" spans="1:35" x14ac:dyDescent="0.2">
      <c r="A14" s="180">
        <f t="shared" si="7"/>
        <v>2022</v>
      </c>
      <c r="B14" s="128">
        <f t="shared" si="0"/>
        <v>1.2</v>
      </c>
      <c r="C14" s="5">
        <f t="shared" si="8"/>
        <v>20.02251213831741</v>
      </c>
      <c r="D14" s="195">
        <f t="shared" si="1"/>
        <v>16.685426781931177</v>
      </c>
      <c r="E14" s="5">
        <f t="shared" si="2"/>
        <v>4</v>
      </c>
      <c r="F14" s="5">
        <f t="shared" si="9"/>
        <v>19.699511216018323</v>
      </c>
      <c r="G14" s="4">
        <f t="shared" si="3"/>
        <v>4.9248778040045806</v>
      </c>
      <c r="H14" s="128">
        <f t="shared" si="4"/>
        <v>1.7000000000000004</v>
      </c>
      <c r="I14" s="5">
        <f t="shared" si="10"/>
        <v>1.2648918576900527</v>
      </c>
      <c r="J14" s="4">
        <f t="shared" si="5"/>
        <v>0.74405403393532499</v>
      </c>
      <c r="K14" s="128">
        <f t="shared" si="11"/>
        <v>6.9</v>
      </c>
      <c r="L14" s="19">
        <f t="shared" si="12"/>
        <v>40.986915212025785</v>
      </c>
      <c r="M14" s="4">
        <f t="shared" si="6"/>
        <v>5.9401326394240268</v>
      </c>
      <c r="N14" s="440"/>
      <c r="P14" s="533">
        <f>RF!C12-'SPM = RF'!C14</f>
        <v>-0.56741961962005405</v>
      </c>
      <c r="Q14" s="534">
        <f>RF!F12-'SPM = RF'!F14</f>
        <v>-1.492022774594826</v>
      </c>
      <c r="R14" s="535">
        <f>RF!I12-'SPM = RF'!I14</f>
        <v>-4.7267342556383207E-2</v>
      </c>
      <c r="AF14" s="10"/>
      <c r="AG14" s="43"/>
    </row>
    <row r="15" spans="1:35" s="7" customFormat="1" x14ac:dyDescent="0.2">
      <c r="A15" s="180">
        <f t="shared" si="7"/>
        <v>2023</v>
      </c>
      <c r="B15" s="128">
        <f t="shared" si="0"/>
        <v>1.2</v>
      </c>
      <c r="C15" s="5">
        <f t="shared" si="8"/>
        <v>19.252950799744269</v>
      </c>
      <c r="D15" s="195">
        <f t="shared" si="1"/>
        <v>16.04412566645356</v>
      </c>
      <c r="E15" s="5">
        <f t="shared" si="2"/>
        <v>4</v>
      </c>
      <c r="F15" s="5">
        <f t="shared" si="9"/>
        <v>19.266440387763254</v>
      </c>
      <c r="G15" s="4">
        <f t="shared" si="3"/>
        <v>4.8166100969408134</v>
      </c>
      <c r="H15" s="128">
        <f t="shared" si="4"/>
        <v>1.7000000000000004</v>
      </c>
      <c r="I15" s="5">
        <f>-I$11*EXP(-I$8*($A15-$A$11))/I$8^2*((I$7*I$8+I$8^2)*($A15-$A$11)+2*I$8+I$7)
  +I$11*EXP(-I$8*($A14-$A$11))/I$8^2*((I$7*I$8+I$8^2)*($A14-$A$11)+2*I$8+I$7)</f>
        <v>1.2682562276318308</v>
      </c>
      <c r="J15" s="4">
        <f t="shared" si="5"/>
        <v>0.74603307507754735</v>
      </c>
      <c r="K15" s="128">
        <f t="shared" si="11"/>
        <v>6.9</v>
      </c>
      <c r="L15" s="19">
        <f t="shared" si="12"/>
        <v>39.787647415139354</v>
      </c>
      <c r="M15" s="4">
        <f t="shared" si="6"/>
        <v>5.7663257123390368</v>
      </c>
      <c r="N15" s="440"/>
      <c r="O15" s="3"/>
      <c r="P15" s="533">
        <f>RF!C13-'SPM = RF'!C15</f>
        <v>-0.42737991662172092</v>
      </c>
      <c r="Q15" s="534">
        <f>RF!F13-'SPM = RF'!F15</f>
        <v>-1.5856268444821069</v>
      </c>
      <c r="R15" s="535">
        <f>RF!I13-'SPM = RF'!I15</f>
        <v>-5.4744257379205852E-2</v>
      </c>
      <c r="S15" s="1"/>
      <c r="T15" s="1"/>
      <c r="U15" s="1"/>
      <c r="V15" s="1"/>
      <c r="W15" s="1"/>
      <c r="X15" s="1"/>
      <c r="Y15" s="3"/>
      <c r="Z15" s="1"/>
      <c r="AA15" s="1"/>
      <c r="AB15" s="1"/>
      <c r="AC15" s="1"/>
      <c r="AD15" s="10"/>
      <c r="AE15" s="10"/>
      <c r="AF15" s="10"/>
      <c r="AG15" s="43"/>
      <c r="AH15" s="3"/>
      <c r="AI15" s="3"/>
    </row>
    <row r="16" spans="1:35" s="7" customFormat="1" x14ac:dyDescent="0.2">
      <c r="A16" s="180">
        <f t="shared" si="7"/>
        <v>2024</v>
      </c>
      <c r="B16" s="128">
        <f t="shared" si="0"/>
        <v>1.2</v>
      </c>
      <c r="C16" s="5">
        <f t="shared" si="8"/>
        <v>18.35557610079934</v>
      </c>
      <c r="D16" s="195">
        <f t="shared" si="1"/>
        <v>15.296313417332783</v>
      </c>
      <c r="E16" s="5">
        <f t="shared" si="2"/>
        <v>4</v>
      </c>
      <c r="F16" s="5">
        <f t="shared" si="9"/>
        <v>18.642551810666816</v>
      </c>
      <c r="G16" s="4">
        <f t="shared" si="3"/>
        <v>4.6606379526667041</v>
      </c>
      <c r="H16" s="128">
        <f t="shared" si="4"/>
        <v>1.7000000000000004</v>
      </c>
      <c r="I16" s="5">
        <f t="shared" si="10"/>
        <v>1.2661346172794126</v>
      </c>
      <c r="J16" s="4">
        <f t="shared" si="5"/>
        <v>0.74478506898788954</v>
      </c>
      <c r="K16" s="128">
        <f t="shared" si="11"/>
        <v>6.9</v>
      </c>
      <c r="L16" s="19">
        <f t="shared" si="12"/>
        <v>38.264262528745569</v>
      </c>
      <c r="M16" s="4">
        <f t="shared" si="6"/>
        <v>5.545545294021097</v>
      </c>
      <c r="N16" s="440"/>
      <c r="O16" s="3"/>
      <c r="P16" s="533">
        <f>RF!C14-'SPM = RF'!C16</f>
        <v>-0.20788617301251477</v>
      </c>
      <c r="Q16" s="534">
        <f>RF!F14-'SPM = RF'!F16</f>
        <v>-1.5288718858801111</v>
      </c>
      <c r="R16" s="535">
        <f>RF!I14-'SPM = RF'!I16</f>
        <v>-5.7051114128285008E-2</v>
      </c>
      <c r="S16" s="1"/>
      <c r="T16" s="1"/>
      <c r="U16" s="1"/>
      <c r="V16" s="1"/>
      <c r="W16" s="1"/>
      <c r="X16" s="1"/>
      <c r="Y16" s="3"/>
      <c r="Z16" s="1"/>
      <c r="AA16" s="1"/>
      <c r="AB16" s="1"/>
      <c r="AC16" s="1"/>
      <c r="AD16" s="10"/>
      <c r="AE16" s="10"/>
      <c r="AF16" s="1"/>
      <c r="AG16" s="3"/>
    </row>
    <row r="17" spans="1:35" s="7" customFormat="1" x14ac:dyDescent="0.2">
      <c r="A17" s="180">
        <f t="shared" si="7"/>
        <v>2025</v>
      </c>
      <c r="B17" s="128">
        <f t="shared" si="0"/>
        <v>1.2</v>
      </c>
      <c r="C17" s="5">
        <f t="shared" si="8"/>
        <v>17.375307971334195</v>
      </c>
      <c r="D17" s="195">
        <f t="shared" si="1"/>
        <v>14.479423309445163</v>
      </c>
      <c r="E17" s="5">
        <f t="shared" si="2"/>
        <v>4</v>
      </c>
      <c r="F17" s="5">
        <f t="shared" si="9"/>
        <v>17.881255024143684</v>
      </c>
      <c r="G17" s="4">
        <f t="shared" si="3"/>
        <v>4.470313756035921</v>
      </c>
      <c r="H17" s="128">
        <f t="shared" si="4"/>
        <v>1.7000000000000004</v>
      </c>
      <c r="I17" s="5">
        <f t="shared" si="10"/>
        <v>1.2592075506346134</v>
      </c>
      <c r="J17" s="4">
        <f t="shared" si="5"/>
        <v>0.74071032390271363</v>
      </c>
      <c r="K17" s="128">
        <f t="shared" si="11"/>
        <v>6.9</v>
      </c>
      <c r="L17" s="19">
        <f t="shared" si="12"/>
        <v>36.515770546112492</v>
      </c>
      <c r="M17" s="4">
        <f t="shared" si="6"/>
        <v>5.2921406588568827</v>
      </c>
      <c r="N17" s="440"/>
      <c r="O17" s="43"/>
      <c r="P17" s="533">
        <f>RF!C15-'SPM = RF'!C17</f>
        <v>5.2033214806684214E-2</v>
      </c>
      <c r="Q17" s="534">
        <f>RF!F15-'SPM = RF'!F17</f>
        <v>-1.3702384213044958</v>
      </c>
      <c r="R17" s="535">
        <f>RF!I15-'SPM = RF'!I17</f>
        <v>-5.4829948540116025E-2</v>
      </c>
      <c r="S17" s="1"/>
      <c r="T17" s="1"/>
      <c r="U17" s="1"/>
      <c r="V17" s="1"/>
      <c r="W17" s="1"/>
      <c r="X17" s="1"/>
      <c r="Y17" s="3"/>
      <c r="Z17" s="1"/>
      <c r="AA17" s="1"/>
      <c r="AB17" s="1"/>
      <c r="AC17" s="1"/>
      <c r="AD17" s="10"/>
      <c r="AE17" s="10"/>
      <c r="AF17" s="1"/>
      <c r="AG17" s="3"/>
    </row>
    <row r="18" spans="1:35" s="7" customFormat="1" x14ac:dyDescent="0.2">
      <c r="A18" s="180">
        <f t="shared" si="7"/>
        <v>2026</v>
      </c>
      <c r="B18" s="128">
        <f t="shared" si="0"/>
        <v>1.2</v>
      </c>
      <c r="C18" s="5">
        <f t="shared" si="8"/>
        <v>16.347712703188222</v>
      </c>
      <c r="D18" s="195">
        <f t="shared" si="1"/>
        <v>13.623093919323519</v>
      </c>
      <c r="E18" s="5">
        <f t="shared" si="2"/>
        <v>4</v>
      </c>
      <c r="F18" s="5">
        <f t="shared" si="9"/>
        <v>17.025717958490702</v>
      </c>
      <c r="G18" s="4">
        <f t="shared" si="3"/>
        <v>4.2564294896226755</v>
      </c>
      <c r="H18" s="128">
        <f t="shared" si="4"/>
        <v>1.7000000000000004</v>
      </c>
      <c r="I18" s="5">
        <f t="shared" si="10"/>
        <v>1.248091411985655</v>
      </c>
      <c r="J18" s="4">
        <f t="shared" si="5"/>
        <v>0.73417141881509096</v>
      </c>
      <c r="K18" s="128">
        <f t="shared" si="11"/>
        <v>6.9</v>
      </c>
      <c r="L18" s="19">
        <f t="shared" si="12"/>
        <v>34.621522073664579</v>
      </c>
      <c r="M18" s="4">
        <f t="shared" si="6"/>
        <v>5.0176118947339967</v>
      </c>
      <c r="N18" s="440"/>
      <c r="O18" s="3"/>
      <c r="P18" s="533">
        <f>RF!C16-'SPM = RF'!C18</f>
        <v>0.32294568452052985</v>
      </c>
      <c r="Q18" s="534">
        <f>RF!F16-'SPM = RF'!F18</f>
        <v>-1.1477627363400753</v>
      </c>
      <c r="R18" s="535">
        <f>RF!I16-'SPM = RF'!I18</f>
        <v>-4.8657074416808221E-2</v>
      </c>
      <c r="S18" s="1"/>
      <c r="T18" s="1"/>
      <c r="U18" s="1"/>
      <c r="V18" s="1"/>
      <c r="W18" s="1"/>
      <c r="X18" s="1"/>
      <c r="Y18" s="3"/>
      <c r="Z18" s="1"/>
      <c r="AA18" s="1"/>
      <c r="AB18" s="1"/>
      <c r="AC18" s="10"/>
      <c r="AD18" s="1"/>
      <c r="AE18" s="1"/>
      <c r="AF18" s="1"/>
      <c r="AG18" s="3"/>
    </row>
    <row r="19" spans="1:35" s="7" customFormat="1" x14ac:dyDescent="0.2">
      <c r="A19" s="180">
        <f t="shared" si="7"/>
        <v>2027</v>
      </c>
      <c r="B19" s="128">
        <f t="shared" si="0"/>
        <v>1.2</v>
      </c>
      <c r="C19" s="5">
        <f t="shared" si="8"/>
        <v>15.30065495712347</v>
      </c>
      <c r="D19" s="195">
        <f t="shared" si="1"/>
        <v>12.750545797602893</v>
      </c>
      <c r="E19" s="5">
        <f t="shared" si="2"/>
        <v>4</v>
      </c>
      <c r="F19" s="5">
        <f t="shared" si="9"/>
        <v>16.110577078970124</v>
      </c>
      <c r="G19" s="4">
        <f t="shared" si="3"/>
        <v>4.027644269742531</v>
      </c>
      <c r="H19" s="128">
        <f t="shared" si="4"/>
        <v>1.7000000000000004</v>
      </c>
      <c r="I19" s="5">
        <f t="shared" si="10"/>
        <v>1.2333438371297589</v>
      </c>
      <c r="J19" s="4">
        <f t="shared" si="5"/>
        <v>0.72549637478221096</v>
      </c>
      <c r="K19" s="128">
        <f t="shared" si="11"/>
        <v>6.9</v>
      </c>
      <c r="L19" s="19">
        <f t="shared" si="12"/>
        <v>32.644575873223353</v>
      </c>
      <c r="M19" s="4">
        <f t="shared" si="6"/>
        <v>4.7310979526410657</v>
      </c>
      <c r="N19" s="440"/>
      <c r="O19" s="43"/>
      <c r="P19" s="533">
        <f>RF!C17-'SPM = RF'!C19</f>
        <v>0.58327477250159099</v>
      </c>
      <c r="Q19" s="534">
        <f>RF!F17-'SPM = RF'!F19</f>
        <v>-0.89082041973871462</v>
      </c>
      <c r="R19" s="535">
        <f>RF!I17-'SPM = RF'!I19</f>
        <v>-3.9049047962007366E-2</v>
      </c>
      <c r="S19" s="10"/>
      <c r="T19" s="10"/>
      <c r="U19" s="10"/>
      <c r="V19" s="10"/>
      <c r="W19" s="10"/>
      <c r="X19" s="10"/>
      <c r="Y19" s="43"/>
      <c r="Z19" s="10"/>
      <c r="AA19" s="10"/>
      <c r="AB19" s="10"/>
      <c r="AC19" s="1"/>
      <c r="AD19" s="1"/>
      <c r="AE19" s="1"/>
      <c r="AF19" s="1"/>
    </row>
    <row r="20" spans="1:35" x14ac:dyDescent="0.2">
      <c r="A20" s="180">
        <f t="shared" si="7"/>
        <v>2028</v>
      </c>
      <c r="B20" s="128">
        <f t="shared" si="0"/>
        <v>1.2</v>
      </c>
      <c r="C20" s="5">
        <f t="shared" si="8"/>
        <v>14.255680936281294</v>
      </c>
      <c r="D20" s="195">
        <f t="shared" si="1"/>
        <v>11.879734113567746</v>
      </c>
      <c r="E20" s="5">
        <f t="shared" si="2"/>
        <v>4</v>
      </c>
      <c r="F20" s="5">
        <f t="shared" si="9"/>
        <v>15.16338193426941</v>
      </c>
      <c r="G20" s="4">
        <f t="shared" si="3"/>
        <v>3.7908454835673524</v>
      </c>
      <c r="H20" s="128">
        <f t="shared" si="4"/>
        <v>1.7000000000000004</v>
      </c>
      <c r="I20" s="5">
        <f t="shared" si="10"/>
        <v>1.2154686791989491</v>
      </c>
      <c r="J20" s="4">
        <f t="shared" si="5"/>
        <v>0.71498157599938161</v>
      </c>
      <c r="K20" s="128">
        <f t="shared" si="11"/>
        <v>6.9</v>
      </c>
      <c r="L20" s="19">
        <f t="shared" si="12"/>
        <v>30.634531549749653</v>
      </c>
      <c r="M20" s="4">
        <f t="shared" si="6"/>
        <v>4.4397871811231377</v>
      </c>
      <c r="N20" s="440"/>
      <c r="P20" s="533">
        <f>RF!C18-'SPM = RF'!C20</f>
        <v>0.81782929589920883</v>
      </c>
      <c r="Q20" s="534">
        <f>RF!F18-'SPM = RF'!F20</f>
        <v>-0.62164423761020338</v>
      </c>
      <c r="R20" s="535">
        <f>RF!I18-'SPM = RF'!I20</f>
        <v>-2.6468206171216035E-2</v>
      </c>
      <c r="AG20" s="7"/>
      <c r="AH20" s="7"/>
      <c r="AI20" s="7"/>
    </row>
    <row r="21" spans="1:35" x14ac:dyDescent="0.2">
      <c r="A21" s="180">
        <f t="shared" si="7"/>
        <v>2029</v>
      </c>
      <c r="B21" s="128">
        <f t="shared" si="0"/>
        <v>1.2</v>
      </c>
      <c r="C21" s="5">
        <f t="shared" si="8"/>
        <v>13.229174375899589</v>
      </c>
      <c r="D21" s="195">
        <f t="shared" si="1"/>
        <v>11.024311979916325</v>
      </c>
      <c r="E21" s="5">
        <f t="shared" si="2"/>
        <v>4</v>
      </c>
      <c r="F21" s="5">
        <f t="shared" si="9"/>
        <v>14.205813554120425</v>
      </c>
      <c r="G21" s="4">
        <f t="shared" si="3"/>
        <v>3.5514533885301063</v>
      </c>
      <c r="H21" s="128">
        <f t="shared" si="4"/>
        <v>1.7000000000000004</v>
      </c>
      <c r="I21" s="5">
        <f t="shared" si="10"/>
        <v>1.1949205813346069</v>
      </c>
      <c r="J21" s="4">
        <f t="shared" si="5"/>
        <v>0.70289445960859209</v>
      </c>
      <c r="K21" s="128">
        <f t="shared" si="11"/>
        <v>6.9</v>
      </c>
      <c r="L21" s="19">
        <f t="shared" si="12"/>
        <v>28.629908511354621</v>
      </c>
      <c r="M21" s="4">
        <f t="shared" si="6"/>
        <v>4.1492621030948724</v>
      </c>
      <c r="N21" s="440"/>
      <c r="P21" s="533">
        <f>RF!C19-'SPM = RF'!C21</f>
        <v>1.0165615253698448</v>
      </c>
      <c r="Q21" s="534">
        <f>RF!F19-'SPM = RF'!F21</f>
        <v>-0.35661434506913459</v>
      </c>
      <c r="R21" s="535">
        <f>RF!I19-'SPM = RF'!I21</f>
        <v>-1.132780026672231E-2</v>
      </c>
      <c r="AG21" s="7"/>
    </row>
    <row r="22" spans="1:35" x14ac:dyDescent="0.2">
      <c r="A22" s="180">
        <f t="shared" si="7"/>
        <v>2030</v>
      </c>
      <c r="B22" s="128">
        <f t="shared" si="0"/>
        <v>1.2</v>
      </c>
      <c r="C22" s="5">
        <f t="shared" si="8"/>
        <v>12.23332075458265</v>
      </c>
      <c r="D22" s="195">
        <f t="shared" si="1"/>
        <v>10.194433962152209</v>
      </c>
      <c r="E22" s="5">
        <f t="shared" si="2"/>
        <v>4</v>
      </c>
      <c r="F22" s="5">
        <f t="shared" si="9"/>
        <v>13.254710457975932</v>
      </c>
      <c r="G22" s="4">
        <f t="shared" si="3"/>
        <v>3.313677614493983</v>
      </c>
      <c r="H22" s="128">
        <f t="shared" si="4"/>
        <v>1.7000000000000004</v>
      </c>
      <c r="I22" s="5">
        <f t="shared" si="10"/>
        <v>1.1721091860778614</v>
      </c>
      <c r="J22" s="4">
        <f t="shared" si="5"/>
        <v>0.68947599181050656</v>
      </c>
      <c r="K22" s="128">
        <f t="shared" si="11"/>
        <v>6.9</v>
      </c>
      <c r="L22" s="19">
        <f t="shared" si="12"/>
        <v>26.660140398636443</v>
      </c>
      <c r="M22" s="4">
        <f t="shared" si="6"/>
        <v>3.8637884635704989</v>
      </c>
      <c r="N22" s="440"/>
      <c r="O22" s="11"/>
      <c r="P22" s="533">
        <f>RF!C20-'SPM = RF'!C22</f>
        <v>1.173520573134013</v>
      </c>
      <c r="Q22" s="534">
        <f>RF!F20-'SPM = RF'!F22</f>
        <v>-0.10735323355262238</v>
      </c>
      <c r="R22" s="535">
        <f>RF!I20-'SPM = RF'!I22</f>
        <v>6.003256604114604E-3</v>
      </c>
      <c r="AG22" s="7"/>
    </row>
    <row r="23" spans="1:35" x14ac:dyDescent="0.2">
      <c r="A23" s="180">
        <f t="shared" si="7"/>
        <v>2031</v>
      </c>
      <c r="B23" s="128">
        <f t="shared" si="0"/>
        <v>1.2</v>
      </c>
      <c r="C23" s="5">
        <f t="shared" si="8"/>
        <v>11.276909802470286</v>
      </c>
      <c r="D23" s="195">
        <f t="shared" si="1"/>
        <v>9.3974248353919059</v>
      </c>
      <c r="E23" s="5">
        <f t="shared" si="2"/>
        <v>4</v>
      </c>
      <c r="F23" s="5">
        <f t="shared" si="9"/>
        <v>12.322931154690451</v>
      </c>
      <c r="G23" s="4">
        <f t="shared" si="3"/>
        <v>3.0807327886726128</v>
      </c>
      <c r="H23" s="128">
        <f t="shared" si="4"/>
        <v>1.7000000000000004</v>
      </c>
      <c r="I23" s="5">
        <f t="shared" si="10"/>
        <v>1.1474030091383156</v>
      </c>
      <c r="J23" s="4">
        <f t="shared" si="5"/>
        <v>0.6749429465519502</v>
      </c>
      <c r="K23" s="128">
        <f t="shared" si="11"/>
        <v>6.9</v>
      </c>
      <c r="L23" s="19">
        <f t="shared" si="12"/>
        <v>24.747243966299052</v>
      </c>
      <c r="M23" s="4">
        <f t="shared" si="6"/>
        <v>3.5865570965650799</v>
      </c>
      <c r="N23" s="440"/>
      <c r="O23" s="7"/>
      <c r="P23" s="533">
        <f>RF!C21-'SPM = RF'!C23</f>
        <v>1.2859724180622951</v>
      </c>
      <c r="Q23" s="534">
        <f>RF!F21-'SPM = RF'!F23</f>
        <v>0.1183469587160868</v>
      </c>
      <c r="R23" s="535">
        <f>RF!I21-'SPM = RF'!I23</f>
        <v>2.5196009524655949E-2</v>
      </c>
      <c r="AC23" s="10"/>
      <c r="AG23" s="7"/>
    </row>
    <row r="24" spans="1:35" x14ac:dyDescent="0.2">
      <c r="A24" s="180">
        <f t="shared" si="7"/>
        <v>2032</v>
      </c>
      <c r="B24" s="128">
        <f t="shared" si="0"/>
        <v>1.2</v>
      </c>
      <c r="C24" s="5">
        <f t="shared" si="8"/>
        <v>10.366001834614877</v>
      </c>
      <c r="D24" s="195">
        <f t="shared" si="1"/>
        <v>8.6383348621790645</v>
      </c>
      <c r="E24" s="5">
        <f t="shared" si="2"/>
        <v>4</v>
      </c>
      <c r="F24" s="5">
        <f t="shared" si="9"/>
        <v>11.420077821128359</v>
      </c>
      <c r="G24" s="4">
        <f t="shared" si="3"/>
        <v>2.8550194552820898</v>
      </c>
      <c r="H24" s="128">
        <f t="shared" si="4"/>
        <v>1.7000000000000004</v>
      </c>
      <c r="I24" s="5">
        <f t="shared" si="10"/>
        <v>1.1211330031575741</v>
      </c>
      <c r="J24" s="4">
        <f t="shared" si="5"/>
        <v>0.65949000185739637</v>
      </c>
      <c r="K24" s="128">
        <f t="shared" si="11"/>
        <v>6.9</v>
      </c>
      <c r="L24" s="19">
        <f t="shared" si="12"/>
        <v>22.907212658900811</v>
      </c>
      <c r="M24" s="4">
        <f t="shared" si="6"/>
        <v>3.3198858925943204</v>
      </c>
      <c r="N24" s="440"/>
      <c r="O24" s="7"/>
      <c r="P24" s="533">
        <f>RF!C22-'SPM = RF'!C24</f>
        <v>1.3536623687107419</v>
      </c>
      <c r="Q24" s="534">
        <f>RF!F22-'SPM = RF'!F24</f>
        <v>0.31574119726428407</v>
      </c>
      <c r="R24" s="535">
        <f>RF!I22-'SPM = RF'!I24</f>
        <v>4.5957432885988636E-2</v>
      </c>
      <c r="S24" s="10"/>
      <c r="T24" s="10"/>
      <c r="U24" s="10"/>
      <c r="V24" s="10"/>
      <c r="W24" s="10"/>
      <c r="X24" s="10"/>
      <c r="Y24" s="43"/>
      <c r="Z24" s="10"/>
      <c r="AA24" s="10"/>
      <c r="AB24" s="10"/>
      <c r="AC24" s="10"/>
    </row>
    <row r="25" spans="1:35" x14ac:dyDescent="0.2">
      <c r="A25" s="180">
        <f t="shared" si="7"/>
        <v>2033</v>
      </c>
      <c r="B25" s="128">
        <f t="shared" si="0"/>
        <v>1.2</v>
      </c>
      <c r="C25" s="5">
        <f t="shared" si="8"/>
        <v>9.5044795608449277</v>
      </c>
      <c r="D25" s="195">
        <f t="shared" si="1"/>
        <v>7.9203996340374401</v>
      </c>
      <c r="E25" s="5">
        <f t="shared" si="2"/>
        <v>4</v>
      </c>
      <c r="F25" s="5">
        <f t="shared" si="9"/>
        <v>10.553102249693481</v>
      </c>
      <c r="G25" s="4">
        <f t="shared" si="3"/>
        <v>2.6382755624233702</v>
      </c>
      <c r="H25" s="128">
        <f t="shared" si="4"/>
        <v>1.7000000000000004</v>
      </c>
      <c r="I25" s="5">
        <f t="shared" si="10"/>
        <v>1.0935958351856598</v>
      </c>
      <c r="J25" s="4">
        <f t="shared" si="5"/>
        <v>0.64329166775627034</v>
      </c>
      <c r="K25" s="128">
        <f t="shared" si="11"/>
        <v>6.9</v>
      </c>
      <c r="L25" s="19">
        <f t="shared" si="12"/>
        <v>21.151177645724069</v>
      </c>
      <c r="M25" s="4">
        <f t="shared" si="6"/>
        <v>3.0653880645976908</v>
      </c>
      <c r="N25" s="440"/>
      <c r="O25" s="7"/>
      <c r="P25" s="533">
        <f>RF!C23-'SPM = RF'!C25</f>
        <v>1.3781994456552038</v>
      </c>
      <c r="Q25" s="534">
        <f>RF!F23-'SPM = RF'!F25</f>
        <v>0.48247222049993965</v>
      </c>
      <c r="R25" s="535">
        <f>RF!I23-'SPM = RF'!I25</f>
        <v>6.8026736066295168E-2</v>
      </c>
      <c r="S25" s="10"/>
      <c r="T25" s="10"/>
      <c r="U25" s="10"/>
      <c r="V25" s="10"/>
      <c r="W25" s="10"/>
      <c r="X25" s="10"/>
      <c r="Y25" s="43"/>
      <c r="Z25" s="10"/>
      <c r="AA25" s="10"/>
      <c r="AB25" s="10"/>
      <c r="AC25" s="10"/>
    </row>
    <row r="26" spans="1:35" x14ac:dyDescent="0.2">
      <c r="A26" s="180">
        <f t="shared" si="7"/>
        <v>2034</v>
      </c>
      <c r="B26" s="128">
        <f t="shared" si="0"/>
        <v>1.2</v>
      </c>
      <c r="C26" s="5">
        <f t="shared" si="8"/>
        <v>8.6945037195009292</v>
      </c>
      <c r="D26" s="195">
        <f t="shared" si="1"/>
        <v>7.2454197662507749</v>
      </c>
      <c r="E26" s="5">
        <f t="shared" si="2"/>
        <v>4</v>
      </c>
      <c r="F26" s="5">
        <f t="shared" si="9"/>
        <v>9.7268120682381749</v>
      </c>
      <c r="G26" s="4">
        <f t="shared" si="3"/>
        <v>2.4317030170595437</v>
      </c>
      <c r="H26" s="128">
        <f t="shared" si="4"/>
        <v>1.7000000000000004</v>
      </c>
      <c r="I26" s="5">
        <f t="shared" si="10"/>
        <v>1.0650568998291305</v>
      </c>
      <c r="J26" s="4">
        <f t="shared" si="5"/>
        <v>0.62650405872301784</v>
      </c>
      <c r="K26" s="128">
        <f t="shared" si="11"/>
        <v>6.9</v>
      </c>
      <c r="L26" s="19">
        <f t="shared" si="12"/>
        <v>19.486372687568235</v>
      </c>
      <c r="M26" s="4">
        <f t="shared" si="6"/>
        <v>2.8241119837055413</v>
      </c>
      <c r="N26" s="440"/>
      <c r="O26" s="7"/>
      <c r="P26" s="533">
        <f>RF!C24-'SPM = RF'!C26</f>
        <v>1.3625452498386093</v>
      </c>
      <c r="Q26" s="534">
        <f>RF!F24-'SPM = RF'!F26</f>
        <v>0.61801788873804142</v>
      </c>
      <c r="R26" s="535">
        <f>RF!I24-'SPM = RF'!I26</f>
        <v>9.1171987725422454E-2</v>
      </c>
      <c r="S26" s="10"/>
      <c r="T26" s="10"/>
      <c r="U26" s="10"/>
      <c r="V26" s="10"/>
      <c r="W26" s="10"/>
      <c r="X26" s="10"/>
      <c r="Y26" s="43"/>
      <c r="Z26" s="10"/>
      <c r="AA26" s="10"/>
      <c r="AB26" s="10"/>
    </row>
    <row r="27" spans="1:35" x14ac:dyDescent="0.2">
      <c r="A27" s="180">
        <f t="shared" si="7"/>
        <v>2035</v>
      </c>
      <c r="B27" s="128">
        <f t="shared" si="0"/>
        <v>1.2</v>
      </c>
      <c r="C27" s="5">
        <f t="shared" si="8"/>
        <v>7.9368880686165113</v>
      </c>
      <c r="D27" s="195">
        <f t="shared" si="1"/>
        <v>6.6140733905137594</v>
      </c>
      <c r="E27" s="5">
        <f t="shared" si="2"/>
        <v>4</v>
      </c>
      <c r="F27" s="5">
        <f t="shared" si="9"/>
        <v>8.9442925893221883</v>
      </c>
      <c r="G27" s="4">
        <f t="shared" si="3"/>
        <v>2.2360731473305471</v>
      </c>
      <c r="H27" s="128">
        <f t="shared" si="4"/>
        <v>1.7000000000000004</v>
      </c>
      <c r="I27" s="5">
        <f t="shared" si="10"/>
        <v>1.0357530883962731</v>
      </c>
      <c r="J27" s="4">
        <f t="shared" si="5"/>
        <v>0.60926652258604286</v>
      </c>
      <c r="K27" s="128">
        <f t="shared" si="11"/>
        <v>6.9</v>
      </c>
      <c r="L27" s="19">
        <f t="shared" si="12"/>
        <v>17.916933746334973</v>
      </c>
      <c r="M27" s="4">
        <f t="shared" si="6"/>
        <v>2.5966570646862279</v>
      </c>
      <c r="N27" s="440"/>
      <c r="O27" s="7"/>
      <c r="P27" s="533">
        <f>RF!C25-'SPM = RF'!C27</f>
        <v>1.3105924643256319</v>
      </c>
      <c r="Q27" s="534">
        <f>RF!F25-'SPM = RF'!F27</f>
        <v>0.72323042586871544</v>
      </c>
      <c r="R27" s="535">
        <f>RF!I25-'SPM = RF'!I27</f>
        <v>0.11518704283790093</v>
      </c>
    </row>
    <row r="28" spans="1:35" x14ac:dyDescent="0.2">
      <c r="A28" s="180">
        <f t="shared" si="7"/>
        <v>2036</v>
      </c>
      <c r="B28" s="128">
        <f t="shared" si="0"/>
        <v>1.2</v>
      </c>
      <c r="C28" s="5">
        <f t="shared" si="8"/>
        <v>7.2314068731842696</v>
      </c>
      <c r="D28" s="195">
        <f t="shared" si="1"/>
        <v>6.0261723943202252</v>
      </c>
      <c r="E28" s="5">
        <f t="shared" si="2"/>
        <v>4</v>
      </c>
      <c r="F28" s="5">
        <f t="shared" si="9"/>
        <v>8.2072573778169584</v>
      </c>
      <c r="G28" s="4">
        <f t="shared" si="3"/>
        <v>2.0518143444542396</v>
      </c>
      <c r="H28" s="128">
        <f t="shared" si="4"/>
        <v>1.7000000000000004</v>
      </c>
      <c r="I28" s="5">
        <f t="shared" si="10"/>
        <v>1.005895332851992</v>
      </c>
      <c r="J28" s="4">
        <f t="shared" si="5"/>
        <v>0.5917031369717598</v>
      </c>
      <c r="K28" s="128">
        <f t="shared" si="11"/>
        <v>6.9</v>
      </c>
      <c r="L28" s="19">
        <f t="shared" si="12"/>
        <v>16.44455958385322</v>
      </c>
      <c r="M28" s="4">
        <f t="shared" si="6"/>
        <v>2.3832695049062638</v>
      </c>
      <c r="N28" s="440"/>
      <c r="P28" s="533">
        <f>RF!C26-'SPM = RF'!C28</f>
        <v>1.226820291568</v>
      </c>
      <c r="Q28" s="534">
        <f>RF!F26-'SPM = RF'!F28</f>
        <v>0.79995483340871587</v>
      </c>
      <c r="R28" s="535">
        <f>RF!I26-'SPM = RF'!I28</f>
        <v>0.13988875653108224</v>
      </c>
    </row>
    <row r="29" spans="1:35" x14ac:dyDescent="0.2">
      <c r="A29" s="180">
        <f t="shared" si="7"/>
        <v>2037</v>
      </c>
      <c r="B29" s="128">
        <f t="shared" si="0"/>
        <v>1.2</v>
      </c>
      <c r="C29" s="5">
        <f t="shared" si="8"/>
        <v>6.5770459900594602</v>
      </c>
      <c r="D29" s="195">
        <f t="shared" si="1"/>
        <v>5.4808716583828838</v>
      </c>
      <c r="E29" s="5">
        <f t="shared" si="2"/>
        <v>4</v>
      </c>
      <c r="F29" s="5">
        <f t="shared" si="9"/>
        <v>7.5163386833325063</v>
      </c>
      <c r="G29" s="4">
        <f t="shared" si="3"/>
        <v>1.8790846708331266</v>
      </c>
      <c r="H29" s="128">
        <f t="shared" si="4"/>
        <v>1.7000000000000004</v>
      </c>
      <c r="I29" s="5">
        <f t="shared" si="10"/>
        <v>0.97567094199042614</v>
      </c>
      <c r="J29" s="4">
        <f t="shared" si="5"/>
        <v>0.57392408352377999</v>
      </c>
      <c r="K29" s="128">
        <f t="shared" si="11"/>
        <v>6.9</v>
      </c>
      <c r="L29" s="19">
        <f t="shared" si="12"/>
        <v>15.069055615382393</v>
      </c>
      <c r="M29" s="4">
        <f t="shared" si="6"/>
        <v>2.1839211036786077</v>
      </c>
      <c r="N29" s="440"/>
      <c r="P29" s="533">
        <f>RF!C27-'SPM = RF'!C29</f>
        <v>1.1160159254745823</v>
      </c>
      <c r="Q29" s="534">
        <f>RF!F27-'SPM = RF'!F29</f>
        <v>0.85071549849341999</v>
      </c>
      <c r="R29" s="535">
        <f>RF!I27-'SPM = RF'!I29</f>
        <v>0.16511446863246149</v>
      </c>
      <c r="S29" s="58"/>
      <c r="T29" s="28"/>
      <c r="Z29" s="28"/>
      <c r="AA29" s="28"/>
      <c r="AB29" s="28"/>
    </row>
    <row r="30" spans="1:35" x14ac:dyDescent="0.2">
      <c r="A30" s="180">
        <f t="shared" si="7"/>
        <v>2038</v>
      </c>
      <c r="B30" s="128">
        <f t="shared" si="0"/>
        <v>1.2</v>
      </c>
      <c r="C30" s="5">
        <f t="shared" si="8"/>
        <v>5.972206920552324</v>
      </c>
      <c r="D30" s="195">
        <f t="shared" si="1"/>
        <v>4.9768391004602703</v>
      </c>
      <c r="E30" s="5">
        <f t="shared" si="2"/>
        <v>4</v>
      </c>
      <c r="F30" s="5">
        <f t="shared" si="9"/>
        <v>6.8713272211479648</v>
      </c>
      <c r="G30" s="4">
        <f t="shared" si="3"/>
        <v>1.7178318052869912</v>
      </c>
      <c r="H30" s="128">
        <f t="shared" si="4"/>
        <v>1.7000000000000004</v>
      </c>
      <c r="I30" s="5">
        <f t="shared" si="10"/>
        <v>0.94524574593310007</v>
      </c>
      <c r="J30" s="4">
        <f t="shared" si="5"/>
        <v>0.55602690937241173</v>
      </c>
      <c r="K30" s="128">
        <f t="shared" si="11"/>
        <v>6.9</v>
      </c>
      <c r="L30" s="19">
        <f t="shared" si="12"/>
        <v>13.788779887633389</v>
      </c>
      <c r="M30" s="4">
        <f t="shared" si="6"/>
        <v>1.9983738967584621</v>
      </c>
      <c r="N30" s="440"/>
      <c r="P30" s="533">
        <f>RF!C28-'SPM = RF'!C30</f>
        <v>0.98305265658447993</v>
      </c>
      <c r="Q30" s="534">
        <f>RF!F28-'SPM = RF'!F30</f>
        <v>0.87846148564826798</v>
      </c>
      <c r="R30" s="535">
        <f>RF!I28-'SPM = RF'!I30</f>
        <v>0.19071974261160829</v>
      </c>
      <c r="Y30" s="7"/>
    </row>
    <row r="31" spans="1:35" x14ac:dyDescent="0.2">
      <c r="A31" s="180">
        <f t="shared" si="7"/>
        <v>2039</v>
      </c>
      <c r="B31" s="128">
        <f t="shared" si="0"/>
        <v>1.2</v>
      </c>
      <c r="C31" s="5">
        <f t="shared" si="8"/>
        <v>5.414871730055971</v>
      </c>
      <c r="D31" s="195">
        <f t="shared" si="1"/>
        <v>4.5123931083799764</v>
      </c>
      <c r="E31" s="5">
        <f t="shared" si="2"/>
        <v>4</v>
      </c>
      <c r="F31" s="5">
        <f t="shared" si="9"/>
        <v>6.2713693628411491</v>
      </c>
      <c r="G31" s="4">
        <f t="shared" si="3"/>
        <v>1.5678423407102873</v>
      </c>
      <c r="H31" s="128">
        <f t="shared" si="4"/>
        <v>1.7000000000000004</v>
      </c>
      <c r="I31" s="5">
        <f t="shared" si="10"/>
        <v>0.91476606385283787</v>
      </c>
      <c r="J31" s="4">
        <f t="shared" si="5"/>
        <v>0.53809768461931629</v>
      </c>
      <c r="K31" s="128">
        <f t="shared" si="11"/>
        <v>6.9</v>
      </c>
      <c r="L31" s="19">
        <f t="shared" si="12"/>
        <v>12.601007156749958</v>
      </c>
      <c r="M31" s="4">
        <f t="shared" si="6"/>
        <v>1.8262329212681097</v>
      </c>
      <c r="N31" s="440"/>
      <c r="P31" s="533">
        <f>RF!C29-'SPM = RF'!C31</f>
        <v>0.83271646071897809</v>
      </c>
      <c r="Q31" s="534">
        <f>RF!F29-'SPM = RF'!F31</f>
        <v>0.88636224175546552</v>
      </c>
      <c r="R31" s="535">
        <f>RF!I29-'SPM = RF'!I31</f>
        <v>0.21657634238146373</v>
      </c>
      <c r="Y31" s="7"/>
    </row>
    <row r="32" spans="1:35" x14ac:dyDescent="0.2">
      <c r="A32" s="180">
        <f t="shared" si="7"/>
        <v>2040</v>
      </c>
      <c r="B32" s="128">
        <f t="shared" si="0"/>
        <v>1.2</v>
      </c>
      <c r="C32" s="5">
        <f t="shared" si="8"/>
        <v>4.9027354858424204</v>
      </c>
      <c r="D32" s="195">
        <f t="shared" si="1"/>
        <v>4.0856129048686842</v>
      </c>
      <c r="E32" s="5">
        <f t="shared" si="2"/>
        <v>4</v>
      </c>
      <c r="F32" s="5">
        <f t="shared" si="9"/>
        <v>5.7151285816950192</v>
      </c>
      <c r="G32" s="4">
        <f t="shared" si="3"/>
        <v>1.4287821454237548</v>
      </c>
      <c r="H32" s="128">
        <f t="shared" si="4"/>
        <v>1.7000000000000004</v>
      </c>
      <c r="I32" s="5">
        <f t="shared" si="10"/>
        <v>0.88436050870687666</v>
      </c>
      <c r="J32" s="4">
        <f t="shared" si="5"/>
        <v>0.52021206394522146</v>
      </c>
      <c r="K32" s="128">
        <f t="shared" si="11"/>
        <v>6.9</v>
      </c>
      <c r="L32" s="19">
        <f t="shared" si="12"/>
        <v>11.502224576244316</v>
      </c>
      <c r="M32" s="4">
        <f t="shared" si="6"/>
        <v>1.6669890690209153</v>
      </c>
      <c r="N32" s="440"/>
      <c r="P32" s="533">
        <f>RF!C30-'SPM = RF'!C32</f>
        <v>0.66957397062602109</v>
      </c>
      <c r="Q32" s="534">
        <f>RF!F30-'SPM = RF'!F32</f>
        <v>0.87764649319657106</v>
      </c>
      <c r="R32" s="535">
        <f>RF!I30-'SPM = RF'!I32</f>
        <v>0.24257043024002201</v>
      </c>
      <c r="Y32" s="7"/>
    </row>
    <row r="33" spans="1:35" x14ac:dyDescent="0.2">
      <c r="A33" s="180">
        <f t="shared" si="7"/>
        <v>2041</v>
      </c>
      <c r="B33" s="128">
        <f t="shared" si="0"/>
        <v>1.2</v>
      </c>
      <c r="C33" s="5">
        <f t="shared" si="8"/>
        <v>4.4333118056242782</v>
      </c>
      <c r="D33" s="195">
        <f t="shared" si="1"/>
        <v>3.6944265046868985</v>
      </c>
      <c r="E33" s="5">
        <f t="shared" si="2"/>
        <v>4</v>
      </c>
      <c r="F33" s="5">
        <f t="shared" si="9"/>
        <v>5.2009169589691524</v>
      </c>
      <c r="G33" s="4">
        <f t="shared" si="3"/>
        <v>1.3002292397422881</v>
      </c>
      <c r="H33" s="128">
        <f t="shared" si="4"/>
        <v>1.7000000000000004</v>
      </c>
      <c r="I33" s="5">
        <f t="shared" si="10"/>
        <v>0.85414164172511775</v>
      </c>
      <c r="J33" s="4">
        <f t="shared" si="5"/>
        <v>0.50243625983830442</v>
      </c>
      <c r="K33" s="128">
        <f t="shared" si="11"/>
        <v>6.9</v>
      </c>
      <c r="L33" s="19">
        <f t="shared" si="12"/>
        <v>10.488370406318548</v>
      </c>
      <c r="M33" s="4">
        <f t="shared" si="6"/>
        <v>1.5200536820751518</v>
      </c>
      <c r="N33" s="440"/>
      <c r="P33" s="533">
        <f>RF!C31-'SPM = RF'!C33</f>
        <v>0.49787561385743295</v>
      </c>
      <c r="Q33" s="534">
        <f>RF!F31-'SPM = RF'!F33</f>
        <v>0.85547800689173492</v>
      </c>
      <c r="R33" s="535">
        <f>RF!I31-'SPM = RF'!I33</f>
        <v>0.26860096912893106</v>
      </c>
      <c r="Y33" s="7"/>
    </row>
    <row r="34" spans="1:35" x14ac:dyDescent="0.2">
      <c r="A34" s="180">
        <f t="shared" si="7"/>
        <v>2042</v>
      </c>
      <c r="B34" s="128">
        <f t="shared" si="0"/>
        <v>1.2</v>
      </c>
      <c r="C34" s="5">
        <f t="shared" si="8"/>
        <v>4.0040162125804599</v>
      </c>
      <c r="D34" s="195">
        <f t="shared" si="1"/>
        <v>3.3366801771503836</v>
      </c>
      <c r="E34" s="5">
        <f t="shared" si="2"/>
        <v>4</v>
      </c>
      <c r="F34" s="5">
        <f t="shared" si="9"/>
        <v>4.726801670098979</v>
      </c>
      <c r="G34" s="4">
        <f t="shared" si="3"/>
        <v>1.1817004175247448</v>
      </c>
      <c r="H34" s="128">
        <f t="shared" si="4"/>
        <v>1.7000000000000004</v>
      </c>
      <c r="I34" s="5">
        <f t="shared" si="10"/>
        <v>0.82420748843973257</v>
      </c>
      <c r="J34" s="4">
        <f t="shared" si="5"/>
        <v>0.48482793437631316</v>
      </c>
      <c r="K34" s="128">
        <f t="shared" si="11"/>
        <v>6.9</v>
      </c>
      <c r="L34" s="19">
        <f t="shared" si="12"/>
        <v>9.5550253711191715</v>
      </c>
      <c r="M34" s="4">
        <f t="shared" si="6"/>
        <v>1.3847862856694451</v>
      </c>
      <c r="N34" s="440"/>
      <c r="P34" s="533">
        <f>RF!C32-'SPM = RF'!C34</f>
        <v>0.32148845011866189</v>
      </c>
      <c r="Q34" s="534">
        <f>RF!F32-'SPM = RF'!F34</f>
        <v>0.82286265108156265</v>
      </c>
      <c r="R34" s="535">
        <f>RF!I32-'SPM = RF'!I34</f>
        <v>0.29457831238558874</v>
      </c>
      <c r="Y34" s="7"/>
    </row>
    <row r="35" spans="1:35" x14ac:dyDescent="0.2">
      <c r="A35" s="180">
        <f t="shared" si="7"/>
        <v>2043</v>
      </c>
      <c r="B35" s="128">
        <f t="shared" si="0"/>
        <v>1.2</v>
      </c>
      <c r="C35" s="5">
        <f t="shared" si="8"/>
        <v>3.6122312332895206</v>
      </c>
      <c r="D35" s="195">
        <f t="shared" si="1"/>
        <v>3.0101926944079338</v>
      </c>
      <c r="E35" s="5">
        <f t="shared" si="2"/>
        <v>4</v>
      </c>
      <c r="F35" s="5">
        <f t="shared" si="9"/>
        <v>4.2906906131702769</v>
      </c>
      <c r="G35" s="4">
        <f t="shared" si="3"/>
        <v>1.0726726532925692</v>
      </c>
      <c r="H35" s="128">
        <f t="shared" si="4"/>
        <v>1.7000000000000004</v>
      </c>
      <c r="I35" s="5">
        <f t="shared" si="10"/>
        <v>0.79464292715240603</v>
      </c>
      <c r="J35" s="4">
        <f t="shared" si="5"/>
        <v>0.46743701597200343</v>
      </c>
      <c r="K35" s="128">
        <f t="shared" si="11"/>
        <v>6.9</v>
      </c>
      <c r="L35" s="19">
        <f t="shared" si="12"/>
        <v>8.6975647736122035</v>
      </c>
      <c r="M35" s="4">
        <f t="shared" si="6"/>
        <v>1.260516633856841</v>
      </c>
      <c r="N35" s="440"/>
      <c r="P35" s="533">
        <f>RF!C33-'SPM = RF'!C35</f>
        <v>0.14385388409335675</v>
      </c>
      <c r="Q35" s="534">
        <f>RF!F33-'SPM = RF'!F35</f>
        <v>0.78258185095222732</v>
      </c>
      <c r="R35" s="535">
        <f>RF!I33-'SPM = RF'!I35</f>
        <v>0.32042296429423467</v>
      </c>
    </row>
    <row r="36" spans="1:35" x14ac:dyDescent="0.2">
      <c r="A36" s="180">
        <f t="shared" si="7"/>
        <v>2044</v>
      </c>
      <c r="B36" s="128">
        <f t="shared" si="0"/>
        <v>1.2</v>
      </c>
      <c r="C36" s="5">
        <f t="shared" si="8"/>
        <v>3.2553565329017573</v>
      </c>
      <c r="D36" s="195">
        <f t="shared" si="1"/>
        <v>2.7127971107514646</v>
      </c>
      <c r="E36" s="5">
        <f t="shared" si="2"/>
        <v>4</v>
      </c>
      <c r="F36" s="5">
        <f t="shared" si="9"/>
        <v>3.8904006969800662</v>
      </c>
      <c r="G36" s="4">
        <f t="shared" si="3"/>
        <v>0.97260017424501655</v>
      </c>
      <c r="H36" s="128">
        <f t="shared" si="4"/>
        <v>1.7000000000000004</v>
      </c>
      <c r="I36" s="5">
        <f t="shared" si="10"/>
        <v>0.76552095991071667</v>
      </c>
      <c r="J36" s="4">
        <f t="shared" si="5"/>
        <v>0.45030644700630384</v>
      </c>
      <c r="K36" s="128">
        <f t="shared" si="11"/>
        <v>6.9</v>
      </c>
      <c r="L36" s="19">
        <f t="shared" si="12"/>
        <v>7.9112781897925402</v>
      </c>
      <c r="M36" s="4">
        <f t="shared" si="6"/>
        <v>1.1465620564916725</v>
      </c>
      <c r="N36" s="440"/>
      <c r="P36" s="533">
        <f>RF!C34-'SPM = RF'!C36</f>
        <v>-3.2034012892636188E-2</v>
      </c>
      <c r="Q36" s="534">
        <f>RF!F34-'SPM = RF'!F36</f>
        <v>0.73714810833653921</v>
      </c>
      <c r="R36" s="535">
        <f>RF!I34-'SPM = RF'!I36</f>
        <v>0.34606449501265657</v>
      </c>
    </row>
    <row r="37" spans="1:35" x14ac:dyDescent="0.2">
      <c r="A37" s="180">
        <f t="shared" si="7"/>
        <v>2045</v>
      </c>
      <c r="B37" s="128">
        <f t="shared" si="0"/>
        <v>1.2</v>
      </c>
      <c r="C37" s="5">
        <f t="shared" si="8"/>
        <v>2.9308468394063638</v>
      </c>
      <c r="D37" s="195">
        <f t="shared" si="1"/>
        <v>2.4423723661719698</v>
      </c>
      <c r="E37" s="5">
        <f t="shared" si="2"/>
        <v>4</v>
      </c>
      <c r="F37" s="5">
        <f t="shared" si="9"/>
        <v>3.5237117566184537</v>
      </c>
      <c r="G37" s="4">
        <f t="shared" si="3"/>
        <v>0.88092793915461343</v>
      </c>
      <c r="H37" s="128">
        <f t="shared" si="4"/>
        <v>1.7000000000000004</v>
      </c>
      <c r="I37" s="5">
        <f t="shared" si="10"/>
        <v>0.7369038753018593</v>
      </c>
      <c r="J37" s="4">
        <f t="shared" si="5"/>
        <v>0.43347286782462302</v>
      </c>
      <c r="K37" s="128">
        <f t="shared" si="11"/>
        <v>6.9</v>
      </c>
      <c r="L37" s="19">
        <f t="shared" si="12"/>
        <v>7.1914624713266768</v>
      </c>
      <c r="M37" s="4">
        <f t="shared" si="6"/>
        <v>1.0422409378734314</v>
      </c>
      <c r="N37" s="440"/>
      <c r="P37" s="533">
        <f>RF!C35-'SPM = RF'!C37</f>
        <v>-0.20363334933480104</v>
      </c>
      <c r="Q37" s="534">
        <f>RF!F35-'SPM = RF'!F37</f>
        <v>0.688778759921016</v>
      </c>
      <c r="R37" s="535">
        <f>RF!I35-'SPM = RF'!I37</f>
        <v>0.37144059386945671</v>
      </c>
    </row>
    <row r="38" spans="1:35" x14ac:dyDescent="0.2">
      <c r="A38" s="180">
        <f t="shared" si="7"/>
        <v>2046</v>
      </c>
      <c r="B38" s="128">
        <f t="shared" si="0"/>
        <v>1.2</v>
      </c>
      <c r="C38" s="5">
        <f t="shared" si="8"/>
        <v>2.6362399510477807</v>
      </c>
      <c r="D38" s="195">
        <f t="shared" si="1"/>
        <v>2.1968666258731506</v>
      </c>
      <c r="E38" s="5">
        <f t="shared" si="2"/>
        <v>4</v>
      </c>
      <c r="F38" s="5">
        <f t="shared" si="9"/>
        <v>3.1884085970244591</v>
      </c>
      <c r="G38" s="4">
        <f t="shared" si="3"/>
        <v>0.79710214925611478</v>
      </c>
      <c r="H38" s="128">
        <f t="shared" si="4"/>
        <v>1.7000000000000004</v>
      </c>
      <c r="I38" s="5">
        <f t="shared" si="10"/>
        <v>0.70884431166402173</v>
      </c>
      <c r="J38" s="4">
        <f t="shared" si="5"/>
        <v>0.41696724215530678</v>
      </c>
      <c r="K38" s="128">
        <f t="shared" si="11"/>
        <v>6.9</v>
      </c>
      <c r="L38" s="19">
        <f t="shared" si="12"/>
        <v>6.5334928597362616</v>
      </c>
      <c r="M38" s="4">
        <f t="shared" si="6"/>
        <v>0.9468830231501828</v>
      </c>
      <c r="N38" s="440"/>
      <c r="P38" s="533">
        <f>RF!C36-'SPM = RF'!C38</f>
        <v>-0.36884576902975486</v>
      </c>
      <c r="Q38" s="534">
        <f>RF!F36-'SPM = RF'!F38</f>
        <v>0.63938459769563449</v>
      </c>
      <c r="R38" s="535">
        <f>RF!I36-'SPM = RF'!I38</f>
        <v>0.39649624559279051</v>
      </c>
    </row>
    <row r="39" spans="1:35" x14ac:dyDescent="0.2">
      <c r="A39" s="180">
        <f t="shared" si="7"/>
        <v>2047</v>
      </c>
      <c r="B39" s="128">
        <f t="shared" si="0"/>
        <v>1.2</v>
      </c>
      <c r="C39" s="5">
        <f t="shared" si="8"/>
        <v>2.3691767350651034</v>
      </c>
      <c r="D39" s="195">
        <f t="shared" si="1"/>
        <v>1.9743139458875862</v>
      </c>
      <c r="E39" s="5">
        <f t="shared" si="2"/>
        <v>4</v>
      </c>
      <c r="F39" s="5">
        <f t="shared" si="9"/>
        <v>2.8823132675496588</v>
      </c>
      <c r="G39" s="4">
        <f t="shared" si="3"/>
        <v>0.72057831688741469</v>
      </c>
      <c r="H39" s="128">
        <f t="shared" si="4"/>
        <v>1.7000000000000004</v>
      </c>
      <c r="I39" s="5">
        <f t="shared" si="10"/>
        <v>0.68138622866096021</v>
      </c>
      <c r="J39" s="4">
        <f t="shared" si="5"/>
        <v>0.40081542862409414</v>
      </c>
      <c r="K39" s="128">
        <f t="shared" si="11"/>
        <v>6.9</v>
      </c>
      <c r="L39" s="19">
        <f t="shared" si="12"/>
        <v>5.9328762312757224</v>
      </c>
      <c r="M39" s="4">
        <f t="shared" si="6"/>
        <v>0.85983713496749592</v>
      </c>
      <c r="N39" s="440"/>
      <c r="P39" s="533">
        <f>RF!C37-'SPM = RF'!C39</f>
        <v>-0.52599726303712968</v>
      </c>
      <c r="Q39" s="534">
        <f>RF!F37-'SPM = RF'!F39</f>
        <v>0.59057037911257915</v>
      </c>
      <c r="R39" s="535">
        <f>RF!I37-'SPM = RF'!I39</f>
        <v>0.42118301473554198</v>
      </c>
    </row>
    <row r="40" spans="1:35" x14ac:dyDescent="0.2">
      <c r="A40" s="180">
        <f t="shared" si="7"/>
        <v>2048</v>
      </c>
      <c r="B40" s="128">
        <f t="shared" si="0"/>
        <v>1.2</v>
      </c>
      <c r="C40" s="5">
        <f t="shared" si="8"/>
        <v>2.1274147010767805</v>
      </c>
      <c r="D40" s="195">
        <f t="shared" si="1"/>
        <v>1.7728455842306505</v>
      </c>
      <c r="E40" s="5">
        <f t="shared" si="2"/>
        <v>4</v>
      </c>
      <c r="F40" s="5">
        <f t="shared" si="9"/>
        <v>2.6033093330493529</v>
      </c>
      <c r="G40" s="4">
        <f t="shared" si="3"/>
        <v>0.65082733326233821</v>
      </c>
      <c r="H40" s="128">
        <f t="shared" si="4"/>
        <v>1.7000000000000004</v>
      </c>
      <c r="I40" s="5">
        <f t="shared" si="10"/>
        <v>0.65456579455829811</v>
      </c>
      <c r="J40" s="4">
        <f t="shared" si="5"/>
        <v>0.38503870268135176</v>
      </c>
      <c r="K40" s="128">
        <f t="shared" si="11"/>
        <v>6.9</v>
      </c>
      <c r="L40" s="19">
        <f t="shared" si="12"/>
        <v>5.3852898286844315</v>
      </c>
      <c r="M40" s="4">
        <f t="shared" si="6"/>
        <v>0.78047678676585963</v>
      </c>
      <c r="N40" s="440"/>
      <c r="P40" s="533">
        <f>RF!C38-'SPM = RF'!C40</f>
        <v>-0.67381102656117564</v>
      </c>
      <c r="Q40" s="534">
        <f>RF!F38-'SPM = RF'!F40</f>
        <v>0.54364462052742946</v>
      </c>
      <c r="R40" s="535">
        <f>RF!I38-'SPM = RF'!I40</f>
        <v>0.44545842439218064</v>
      </c>
    </row>
    <row r="41" spans="1:35" x14ac:dyDescent="0.2">
      <c r="A41" s="180">
        <f t="shared" si="7"/>
        <v>2049</v>
      </c>
      <c r="B41" s="128">
        <f t="shared" si="0"/>
        <v>1.2</v>
      </c>
      <c r="C41" s="5">
        <f t="shared" si="8"/>
        <v>1.9088364593326137</v>
      </c>
      <c r="D41" s="195">
        <f t="shared" si="1"/>
        <v>1.5906970494438448</v>
      </c>
      <c r="E41" s="5">
        <f t="shared" si="2"/>
        <v>4</v>
      </c>
      <c r="F41" s="5">
        <f t="shared" si="9"/>
        <v>2.3493596206916294</v>
      </c>
      <c r="G41" s="4">
        <f t="shared" si="3"/>
        <v>0.58733990517290735</v>
      </c>
      <c r="H41" s="128">
        <f t="shared" si="4"/>
        <v>1.7000000000000004</v>
      </c>
      <c r="I41" s="5">
        <f t="shared" si="10"/>
        <v>0.62841219597856579</v>
      </c>
      <c r="J41" s="4">
        <f t="shared" si="5"/>
        <v>0.36965423292856803</v>
      </c>
      <c r="K41" s="128">
        <f t="shared" si="11"/>
        <v>6.9</v>
      </c>
      <c r="L41" s="19">
        <f t="shared" si="12"/>
        <v>4.8866082760028089</v>
      </c>
      <c r="M41" s="4">
        <f t="shared" si="6"/>
        <v>0.70820409797142159</v>
      </c>
      <c r="N41" s="440"/>
      <c r="P41" s="533">
        <f>RF!C39-'SPM = RF'!C41</f>
        <v>-0.81137461856832727</v>
      </c>
      <c r="Q41" s="534">
        <f>RF!F39-'SPM = RF'!F41</f>
        <v>0.49963640194932912</v>
      </c>
      <c r="R41" s="535">
        <f>RF!I39-'SPM = RF'!I41</f>
        <v>0.46928541623983056</v>
      </c>
    </row>
    <row r="42" spans="1:35" ht="13.5" thickBot="1" x14ac:dyDescent="0.25">
      <c r="A42" s="189">
        <f>A41+1</f>
        <v>2050</v>
      </c>
      <c r="B42" s="181">
        <f>RF!B40</f>
        <v>1.2</v>
      </c>
      <c r="C42" s="182">
        <f t="shared" si="8"/>
        <v>1.7114541447994505</v>
      </c>
      <c r="D42" s="196">
        <f t="shared" si="1"/>
        <v>1.4262117873328755</v>
      </c>
      <c r="E42" s="190">
        <f>RF!E40</f>
        <v>4</v>
      </c>
      <c r="F42" s="182">
        <f t="shared" si="9"/>
        <v>2.1185186790482398</v>
      </c>
      <c r="G42" s="183">
        <f t="shared" si="3"/>
        <v>0.52962966976205994</v>
      </c>
      <c r="H42" s="184">
        <f>K42-E42-B42</f>
        <v>1.7000000000000004</v>
      </c>
      <c r="I42" s="182">
        <f t="shared" si="10"/>
        <v>0.60294837639172805</v>
      </c>
      <c r="J42" s="183">
        <f t="shared" si="5"/>
        <v>0.35467551552454585</v>
      </c>
      <c r="K42" s="181">
        <f>RF!K40</f>
        <v>6.9</v>
      </c>
      <c r="L42" s="185">
        <f t="shared" si="12"/>
        <v>4.4329212002394183</v>
      </c>
      <c r="M42" s="593">
        <f t="shared" si="6"/>
        <v>0.6424523478607852</v>
      </c>
      <c r="N42" s="441"/>
      <c r="P42" s="536">
        <f>RF!C40-'SPM = RF'!C42</f>
        <v>-0.93810337561001356</v>
      </c>
      <c r="Q42" s="537">
        <f>RF!F40-'SPM = RF'!F42</f>
        <v>0.45931721824988347</v>
      </c>
      <c r="R42" s="538">
        <f>RF!I40-'SPM = RF'!I42</f>
        <v>0.49263187995997448</v>
      </c>
    </row>
    <row r="43" spans="1:35" s="206" customFormat="1" x14ac:dyDescent="0.2">
      <c r="A43" s="489" t="s">
        <v>1</v>
      </c>
      <c r="B43" s="197"/>
      <c r="C43" s="207">
        <f>SUM(C12:C42)</f>
        <v>294.78639477853488</v>
      </c>
      <c r="D43" s="208"/>
      <c r="E43" s="207"/>
      <c r="F43" s="207">
        <f>SUM(F12:F42)</f>
        <v>313.16497631578534</v>
      </c>
      <c r="G43" s="207"/>
      <c r="H43" s="209"/>
      <c r="I43" s="207">
        <f>SUM(I12:I42)</f>
        <v>31.056795946125455</v>
      </c>
      <c r="J43" s="207"/>
      <c r="K43" s="210"/>
      <c r="L43" s="207">
        <f>SUM(L12:L42)</f>
        <v>639.00816704044564</v>
      </c>
      <c r="M43" s="198"/>
      <c r="N43" s="205"/>
      <c r="O43" s="3"/>
      <c r="T43" s="1"/>
      <c r="U43" s="1"/>
      <c r="V43" s="1"/>
      <c r="W43" s="1"/>
      <c r="X43" s="1"/>
      <c r="Y43" s="3"/>
      <c r="Z43" s="1"/>
      <c r="AA43" s="1"/>
      <c r="AB43" s="1"/>
      <c r="AC43" s="1"/>
      <c r="AD43" s="1"/>
      <c r="AE43" s="1"/>
      <c r="AF43" s="1"/>
      <c r="AG43" s="3"/>
      <c r="AH43" s="3"/>
      <c r="AI43" s="3"/>
    </row>
    <row r="44" spans="1:35" ht="13.5" thickBot="1" x14ac:dyDescent="0.25">
      <c r="A44" s="180" t="s">
        <v>52</v>
      </c>
      <c r="B44" s="197"/>
      <c r="C44" s="211">
        <f>C$11*EXP(-C$8*($A42-$A$11))/C$8^2*((C$7*C$8+C$8^2)*($A42-$A$11)+2*C$8+C$7)</f>
        <v>14.198195134426141</v>
      </c>
      <c r="D44" s="208"/>
      <c r="E44" s="207"/>
      <c r="F44" s="211">
        <f>F$11*EXP(-F$8*($A42-$A$11))/F$8^2*((F$7*F$8+F$8^2)*($A42-$A$11)+2*F$8+F$7)</f>
        <v>18.485595729991662</v>
      </c>
      <c r="G44" s="207"/>
      <c r="H44" s="209"/>
      <c r="I44" s="211">
        <f>I$11*EXP(-I$8*($A42-$A$11))/I$8^2*((I$7*I$8+I$8^2)*($A42-$A$11)+2*I$8+I$7)</f>
        <v>12.274247485778625</v>
      </c>
      <c r="J44" s="207"/>
      <c r="K44" s="212"/>
      <c r="L44" s="213">
        <f t="shared" si="12"/>
        <v>44.958038350196432</v>
      </c>
      <c r="M44" s="204"/>
      <c r="N44" s="152"/>
      <c r="AH44" s="206"/>
      <c r="AI44" s="206"/>
    </row>
    <row r="45" spans="1:35" ht="13.5" thickBot="1" x14ac:dyDescent="0.25">
      <c r="A45" s="143" t="s">
        <v>1</v>
      </c>
      <c r="B45" s="199"/>
      <c r="C45" s="145">
        <f>SUM(C43:C44)</f>
        <v>308.98458991296104</v>
      </c>
      <c r="D45" s="200"/>
      <c r="E45" s="145"/>
      <c r="F45" s="145">
        <f>SUM(F43:F44)</f>
        <v>331.65057204577698</v>
      </c>
      <c r="G45" s="146"/>
      <c r="H45" s="144"/>
      <c r="I45" s="145">
        <f>SUM(I43:I44)</f>
        <v>43.331043431904078</v>
      </c>
      <c r="J45" s="146"/>
      <c r="K45" s="144"/>
      <c r="L45" s="147">
        <f>SUM(L43:L44)</f>
        <v>683.96620539064202</v>
      </c>
      <c r="M45" s="148"/>
      <c r="N45" s="138"/>
    </row>
    <row r="46" spans="1:35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5" x14ac:dyDescent="0.2">
      <c r="A47" s="7"/>
      <c r="B47" s="7"/>
      <c r="C47" s="7"/>
      <c r="D47" s="7"/>
      <c r="E47" s="7"/>
      <c r="F47" s="7" t="s">
        <v>58</v>
      </c>
      <c r="K47" s="114"/>
      <c r="L47" s="113">
        <f>'global path'!C88</f>
        <v>683.96620539064213</v>
      </c>
      <c r="M47" s="7"/>
      <c r="N47" s="7"/>
      <c r="AF47" s="2"/>
      <c r="AG47" s="206"/>
    </row>
    <row r="48" spans="1:35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113">
        <f>L45-L47</f>
        <v>0</v>
      </c>
      <c r="M48" s="7"/>
      <c r="N48" s="7"/>
    </row>
    <row r="49" spans="1:31" x14ac:dyDescent="0.2">
      <c r="AD49" s="2"/>
      <c r="AE49" s="2"/>
    </row>
    <row r="50" spans="1:31" ht="13.5" thickBot="1" x14ac:dyDescent="0.25"/>
    <row r="51" spans="1:31" x14ac:dyDescent="0.2">
      <c r="A51" s="491">
        <f>A42+1</f>
        <v>2051</v>
      </c>
      <c r="B51" s="568">
        <f>B42</f>
        <v>1.2</v>
      </c>
      <c r="C51" s="493">
        <f>-C$11*EXP(-C$8*($A51-$A$11))/C$8^2*((C$7*C$8+C$8^2)*($A51-$A$11)+2*C$8+C$7)
  +C$11*EXP(-C$8*($A42-$A$11))/C$8^2*((C$7*C$8+C$8^2)*($A42-$A$11)+2*C$8+C$7)</f>
        <v>1.5334106959008551</v>
      </c>
      <c r="D51" s="494">
        <f t="shared" ref="D51:D100" si="13">C51/B51</f>
        <v>1.277842246584046</v>
      </c>
      <c r="E51" s="568">
        <f>E42</f>
        <v>4</v>
      </c>
      <c r="F51" s="493">
        <f>-F$11*EXP(-F$8*($A51-$A$11))/F$8^2*((F$7*F$8+F$8^2)*($A51-$A$11)+2*F$8+F$7)
  +F$11*EXP(-F$8*($A42-$A$11))/F$8^2*((F$7*F$8+F$8^2)*($A42-$A$11)+2*F$8+F$7)</f>
        <v>1.9089409806904918</v>
      </c>
      <c r="G51" s="495">
        <f t="shared" ref="G51:G100" si="14">F51/E51</f>
        <v>0.47723524517262295</v>
      </c>
      <c r="H51" s="568">
        <f>H42</f>
        <v>1.7000000000000004</v>
      </c>
      <c r="I51" s="493">
        <f>-I$11*EXP(-I$8*($A51-$A$11))/I$8^2*((I$7*I$8+I$8^2)*($A51-$A$11)+2*I$8+I$7)
  +I$11*EXP(-I$8*($A42-$A$11))/I$8^2*((I$7*I$8+I$8^2)*($A42-$A$11)+2*I$8+I$7)</f>
        <v>0.57819170911679763</v>
      </c>
      <c r="J51" s="495">
        <f t="shared" ref="J51:J100" si="15">I51/H51</f>
        <v>0.34011277006870438</v>
      </c>
      <c r="K51" s="492">
        <f t="shared" ref="K51:K100" si="16">B51+E51+H51</f>
        <v>6.9</v>
      </c>
      <c r="L51" s="496">
        <f t="shared" ref="L51:L100" si="17">I51+F51+C51</f>
        <v>4.0205433857081445</v>
      </c>
      <c r="M51" s="494">
        <f t="shared" ref="M51:M100" si="18">L51/K51</f>
        <v>0.58268744720407883</v>
      </c>
      <c r="N51" s="497"/>
      <c r="O51" s="206"/>
      <c r="P51" s="559">
        <f>RF!C46-'SPM = RF'!C51</f>
        <v>-0.85418668284412103</v>
      </c>
      <c r="Q51" s="560">
        <f>RF!F46-'SPM = RF'!F51</f>
        <v>0.35513906283195551</v>
      </c>
      <c r="R51" s="561">
        <f>RF!I46-'SPM = RF'!I51</f>
        <v>0.38404230938024253</v>
      </c>
    </row>
    <row r="52" spans="1:31" x14ac:dyDescent="0.2">
      <c r="A52" s="180">
        <f>A51+1</f>
        <v>2052</v>
      </c>
      <c r="B52" s="128">
        <f>B51</f>
        <v>1.2</v>
      </c>
      <c r="C52" s="5">
        <f t="shared" ref="C52:C100" si="19">-C$11*EXP(-C$8*($A52-$A$11))/C$8^2*((C$7*C$8+C$8^2)*($A52-$A$11)+2*C$8+C$7)
  +C$11*EXP(-C$8*($A51-$A$11))/C$8^2*((C$7*C$8+C$8^2)*($A51-$A$11)+2*C$8+C$7)</f>
        <v>1.3729787159656155</v>
      </c>
      <c r="D52" s="195">
        <f t="shared" si="13"/>
        <v>1.1441489299713463</v>
      </c>
      <c r="E52" s="128">
        <f>E51</f>
        <v>4</v>
      </c>
      <c r="F52" s="5">
        <f t="shared" ref="F52:F100" si="20">-F$11*EXP(-F$8*($A52-$A$11))/F$8^2*((F$7*F$8+F$8^2)*($A52-$A$11)+2*F$8+F$7)
  +F$11*EXP(-F$8*($A51-$A$11))/F$8^2*((F$7*F$8+F$8^2)*($A51-$A$11)+2*F$8+F$7)</f>
        <v>1.7188857259620018</v>
      </c>
      <c r="G52" s="4">
        <f t="shared" si="14"/>
        <v>0.42972143149050046</v>
      </c>
      <c r="H52" s="128">
        <f>H51</f>
        <v>1.7000000000000004</v>
      </c>
      <c r="I52" s="5">
        <f t="shared" ref="I52:I100" si="21">-I$11*EXP(-I$8*($A52-$A$11))/I$8^2*((I$7*I$8+I$8^2)*($A52-$A$11)+2*I$8+I$7)
  +I$11*EXP(-I$8*($A51-$A$11))/I$8^2*((I$7*I$8+I$8^2)*($A51-$A$11)+2*I$8+I$7)</f>
        <v>0.55415461016454692</v>
      </c>
      <c r="J52" s="4">
        <f t="shared" si="15"/>
        <v>0.32597330009679221</v>
      </c>
      <c r="K52" s="128">
        <f t="shared" si="16"/>
        <v>6.9</v>
      </c>
      <c r="L52" s="19">
        <f t="shared" si="17"/>
        <v>3.6460190520921643</v>
      </c>
      <c r="M52" s="195">
        <f t="shared" si="18"/>
        <v>0.52840855827422673</v>
      </c>
      <c r="N52" s="440"/>
      <c r="P52" s="533">
        <f>RF!C47-'SPM = RF'!C52</f>
        <v>-0.77865359501443376</v>
      </c>
      <c r="Q52" s="534">
        <f>RF!F47-'SPM = RF'!F52</f>
        <v>0.26219801054193748</v>
      </c>
      <c r="R52" s="535">
        <f>RF!I47-'SPM = RF'!I52</f>
        <v>0.28780597784962736</v>
      </c>
    </row>
    <row r="53" spans="1:31" x14ac:dyDescent="0.2">
      <c r="A53" s="180">
        <f t="shared" ref="A53:A100" si="22">A52+1</f>
        <v>2053</v>
      </c>
      <c r="B53" s="128">
        <f t="shared" ref="B53:B100" si="23">B52</f>
        <v>1.2</v>
      </c>
      <c r="C53" s="5">
        <f t="shared" si="19"/>
        <v>1.2285575111833804</v>
      </c>
      <c r="D53" s="195">
        <f t="shared" si="13"/>
        <v>1.0237979259861505</v>
      </c>
      <c r="E53" s="128">
        <f t="shared" ref="E53:E100" si="24">E52</f>
        <v>4</v>
      </c>
      <c r="F53" s="5">
        <f t="shared" si="20"/>
        <v>1.5467189591225772</v>
      </c>
      <c r="G53" s="4">
        <f t="shared" si="14"/>
        <v>0.38667973978064429</v>
      </c>
      <c r="H53" s="128">
        <f t="shared" ref="H53:H100" si="25">H52</f>
        <v>1.7000000000000004</v>
      </c>
      <c r="I53" s="5">
        <f t="shared" si="21"/>
        <v>0.53084509583893968</v>
      </c>
      <c r="J53" s="4">
        <f t="shared" si="15"/>
        <v>0.31226182108172917</v>
      </c>
      <c r="K53" s="128">
        <f t="shared" si="16"/>
        <v>6.9</v>
      </c>
      <c r="L53" s="19">
        <f t="shared" si="17"/>
        <v>3.3061215661448973</v>
      </c>
      <c r="M53" s="195">
        <f t="shared" si="18"/>
        <v>0.47914805306447783</v>
      </c>
      <c r="N53" s="440"/>
      <c r="P53" s="533">
        <f>RF!C48-'SPM = RF'!C53</f>
        <v>-0.71046945142298812</v>
      </c>
      <c r="Q53" s="534">
        <f>RF!F48-'SPM = RF'!F53</f>
        <v>0.18024124007873055</v>
      </c>
      <c r="R53" s="535">
        <f>RF!I48-'SPM = RF'!I53</f>
        <v>0.2031129888216161</v>
      </c>
    </row>
    <row r="54" spans="1:31" x14ac:dyDescent="0.2">
      <c r="A54" s="180">
        <f t="shared" si="22"/>
        <v>2054</v>
      </c>
      <c r="B54" s="128">
        <f t="shared" si="23"/>
        <v>1.2</v>
      </c>
      <c r="C54" s="5">
        <f t="shared" si="19"/>
        <v>1.0986687869737199</v>
      </c>
      <c r="D54" s="195">
        <f t="shared" si="13"/>
        <v>0.91555732247809996</v>
      </c>
      <c r="E54" s="128">
        <f t="shared" si="24"/>
        <v>4</v>
      </c>
      <c r="F54" s="5">
        <f t="shared" si="20"/>
        <v>1.3909135846260856</v>
      </c>
      <c r="G54" s="4">
        <f t="shared" si="14"/>
        <v>0.3477283961565214</v>
      </c>
      <c r="H54" s="128">
        <f t="shared" si="25"/>
        <v>1.7000000000000004</v>
      </c>
      <c r="I54" s="5">
        <f t="shared" si="21"/>
        <v>0.50826728963372325</v>
      </c>
      <c r="J54" s="4">
        <f t="shared" si="15"/>
        <v>0.29898075860807244</v>
      </c>
      <c r="K54" s="128">
        <f t="shared" si="16"/>
        <v>6.9</v>
      </c>
      <c r="L54" s="19">
        <f t="shared" si="17"/>
        <v>2.9978496612335288</v>
      </c>
      <c r="M54" s="195">
        <f t="shared" si="18"/>
        <v>0.43447096539616359</v>
      </c>
      <c r="N54" s="440"/>
      <c r="P54" s="533">
        <f>RF!C49-'SPM = RF'!C54</f>
        <v>-0.64873835706142746</v>
      </c>
      <c r="Q54" s="534">
        <f>RF!F49-'SPM = RF'!F54</f>
        <v>0.10885451508155608</v>
      </c>
      <c r="R54" s="535">
        <f>RF!I49-'SPM = RF'!I54</f>
        <v>0.12913415274202455</v>
      </c>
    </row>
    <row r="55" spans="1:31" x14ac:dyDescent="0.2">
      <c r="A55" s="180">
        <f t="shared" si="22"/>
        <v>2055</v>
      </c>
      <c r="B55" s="128">
        <f t="shared" si="23"/>
        <v>1.2</v>
      </c>
      <c r="C55" s="5">
        <f t="shared" si="19"/>
        <v>0.98195139163468514</v>
      </c>
      <c r="D55" s="195">
        <f t="shared" si="13"/>
        <v>0.81829282636223766</v>
      </c>
      <c r="E55" s="128">
        <f t="shared" si="24"/>
        <v>4</v>
      </c>
      <c r="F55" s="5">
        <f t="shared" si="20"/>
        <v>1.2500477674542729</v>
      </c>
      <c r="G55" s="4">
        <f t="shared" si="14"/>
        <v>0.31251194186356823</v>
      </c>
      <c r="H55" s="128">
        <f t="shared" si="25"/>
        <v>1.7000000000000004</v>
      </c>
      <c r="I55" s="5">
        <f t="shared" si="21"/>
        <v>0.48642188260763852</v>
      </c>
      <c r="J55" s="4">
        <f t="shared" si="15"/>
        <v>0.28613051918096377</v>
      </c>
      <c r="K55" s="128">
        <f t="shared" si="16"/>
        <v>6.9</v>
      </c>
      <c r="L55" s="19">
        <f t="shared" si="17"/>
        <v>2.7184210416965966</v>
      </c>
      <c r="M55" s="195">
        <f t="shared" si="18"/>
        <v>0.39397406401399948</v>
      </c>
      <c r="N55" s="440"/>
      <c r="P55" s="533">
        <f>RF!C50-'SPM = RF'!C55</f>
        <v>-0.59268829069655404</v>
      </c>
      <c r="Q55" s="534">
        <f>RF!F50-'SPM = RF'!F55</f>
        <v>4.7495902339497631E-2</v>
      </c>
      <c r="R55" s="535">
        <f>RF!I50-'SPM = RF'!I55</f>
        <v>6.5034177054714037E-2</v>
      </c>
    </row>
    <row r="56" spans="1:31" x14ac:dyDescent="0.2">
      <c r="A56" s="180">
        <f t="shared" si="22"/>
        <v>2056</v>
      </c>
      <c r="B56" s="128">
        <f t="shared" si="23"/>
        <v>1.2</v>
      </c>
      <c r="C56" s="5">
        <f t="shared" si="19"/>
        <v>0.87715541896162108</v>
      </c>
      <c r="D56" s="195">
        <f t="shared" si="13"/>
        <v>0.73096284913468423</v>
      </c>
      <c r="E56" s="128">
        <f t="shared" si="24"/>
        <v>4</v>
      </c>
      <c r="F56" s="5">
        <f t="shared" si="20"/>
        <v>1.1228021142295947</v>
      </c>
      <c r="G56" s="4">
        <f t="shared" si="14"/>
        <v>0.28070052855739869</v>
      </c>
      <c r="H56" s="128">
        <f t="shared" si="25"/>
        <v>1.7000000000000004</v>
      </c>
      <c r="I56" s="5">
        <f t="shared" si="21"/>
        <v>0.46530655109524943</v>
      </c>
      <c r="J56" s="4">
        <f t="shared" si="15"/>
        <v>0.27370973593838194</v>
      </c>
      <c r="K56" s="128">
        <f t="shared" si="16"/>
        <v>6.9</v>
      </c>
      <c r="L56" s="19">
        <f t="shared" si="17"/>
        <v>2.4652640842864653</v>
      </c>
      <c r="M56" s="195">
        <f t="shared" si="18"/>
        <v>0.35728464989658915</v>
      </c>
      <c r="N56" s="440"/>
      <c r="P56" s="533">
        <f>RF!C51-'SPM = RF'!C56</f>
        <v>-0.54165663427593369</v>
      </c>
      <c r="Q56" s="534">
        <f>RF!F51-'SPM = RF'!F56</f>
        <v>-4.4728319439701902E-3</v>
      </c>
      <c r="R56" s="535">
        <f>RF!I51-'SPM = RF'!I56</f>
        <v>9.9833938761410557E-3</v>
      </c>
    </row>
    <row r="57" spans="1:31" x14ac:dyDescent="0.2">
      <c r="A57" s="180">
        <f t="shared" si="22"/>
        <v>2057</v>
      </c>
      <c r="B57" s="128">
        <f t="shared" si="23"/>
        <v>1.2</v>
      </c>
      <c r="C57" s="5">
        <f t="shared" si="19"/>
        <v>0.78313591768713575</v>
      </c>
      <c r="D57" s="195">
        <f t="shared" si="13"/>
        <v>0.65261326473927983</v>
      </c>
      <c r="E57" s="128">
        <f t="shared" si="24"/>
        <v>4</v>
      </c>
      <c r="F57" s="5">
        <f t="shared" si="20"/>
        <v>1.0079559587525786</v>
      </c>
      <c r="G57" s="4">
        <f t="shared" si="14"/>
        <v>0.25198898968814465</v>
      </c>
      <c r="H57" s="128">
        <f t="shared" si="25"/>
        <v>1.7000000000000004</v>
      </c>
      <c r="I57" s="5">
        <f t="shared" si="21"/>
        <v>0.44491633530880748</v>
      </c>
      <c r="J57" s="4">
        <f t="shared" si="15"/>
        <v>0.261715491358122</v>
      </c>
      <c r="K57" s="128">
        <f t="shared" si="16"/>
        <v>6.9</v>
      </c>
      <c r="L57" s="19">
        <f t="shared" si="17"/>
        <v>2.2360082117485218</v>
      </c>
      <c r="M57" s="195">
        <f t="shared" si="18"/>
        <v>0.32405916112297417</v>
      </c>
      <c r="N57" s="440"/>
      <c r="P57" s="533">
        <f>RF!C52-'SPM = RF'!C57</f>
        <v>-0.49507641097819971</v>
      </c>
      <c r="Q57" s="534">
        <f>RF!F52-'SPM = RF'!F57</f>
        <v>-4.7757603056125086E-2</v>
      </c>
      <c r="R57" s="535">
        <f>RF!I52-'SPM = RF'!I57</f>
        <v>-3.6832034137814718E-2</v>
      </c>
      <c r="AC57" s="2"/>
    </row>
    <row r="58" spans="1:31" x14ac:dyDescent="0.2">
      <c r="A58" s="180">
        <f t="shared" si="22"/>
        <v>2058</v>
      </c>
      <c r="B58" s="128">
        <f t="shared" si="23"/>
        <v>1.2</v>
      </c>
      <c r="C58" s="5">
        <f t="shared" si="19"/>
        <v>0.69884640294703626</v>
      </c>
      <c r="D58" s="195">
        <f t="shared" si="13"/>
        <v>0.58237200245586362</v>
      </c>
      <c r="E58" s="128">
        <f t="shared" si="24"/>
        <v>4</v>
      </c>
      <c r="F58" s="5">
        <f t="shared" si="20"/>
        <v>0.90438301449644687</v>
      </c>
      <c r="G58" s="4">
        <f t="shared" si="14"/>
        <v>0.22609575362411172</v>
      </c>
      <c r="H58" s="128">
        <f t="shared" si="25"/>
        <v>1.7000000000000004</v>
      </c>
      <c r="I58" s="5">
        <f t="shared" si="21"/>
        <v>0.42524398210730396</v>
      </c>
      <c r="J58" s="4">
        <f t="shared" si="15"/>
        <v>0.25014351888664932</v>
      </c>
      <c r="K58" s="128">
        <f t="shared" si="16"/>
        <v>6.9</v>
      </c>
      <c r="L58" s="19">
        <f t="shared" si="17"/>
        <v>2.0284733995507871</v>
      </c>
      <c r="M58" s="195">
        <f t="shared" si="18"/>
        <v>0.29398165210880972</v>
      </c>
      <c r="N58" s="440"/>
      <c r="P58" s="533">
        <f>RF!C53-'SPM = RF'!C58</f>
        <v>-0.45246343647609977</v>
      </c>
      <c r="Q58" s="534">
        <f>RF!F53-'SPM = RF'!F58</f>
        <v>-8.3106459593325188E-2</v>
      </c>
      <c r="R58" s="535">
        <f>RF!I53-'SPM = RF'!I58</f>
        <v>-7.6201446273477247E-2</v>
      </c>
      <c r="S58" s="2"/>
      <c r="T58" s="2"/>
      <c r="U58" s="2"/>
      <c r="V58" s="2"/>
      <c r="W58" s="2"/>
      <c r="X58" s="2"/>
      <c r="Y58" s="206"/>
      <c r="Z58" s="2"/>
      <c r="AA58" s="2"/>
      <c r="AB58" s="2"/>
    </row>
    <row r="59" spans="1:31" x14ac:dyDescent="0.2">
      <c r="A59" s="180">
        <f t="shared" si="22"/>
        <v>2059</v>
      </c>
      <c r="B59" s="128">
        <f t="shared" si="23"/>
        <v>1.2</v>
      </c>
      <c r="C59" s="5">
        <f t="shared" si="19"/>
        <v>0.62333232170826669</v>
      </c>
      <c r="D59" s="195">
        <f t="shared" si="13"/>
        <v>0.51944360142355561</v>
      </c>
      <c r="E59" s="128">
        <f t="shared" si="24"/>
        <v>4</v>
      </c>
      <c r="F59" s="5">
        <f t="shared" si="20"/>
        <v>0.81104660561089315</v>
      </c>
      <c r="G59" s="4">
        <f t="shared" si="14"/>
        <v>0.20276165140272329</v>
      </c>
      <c r="H59" s="128">
        <f t="shared" si="25"/>
        <v>1.7000000000000004</v>
      </c>
      <c r="I59" s="5">
        <f t="shared" si="21"/>
        <v>0.40628025495104314</v>
      </c>
      <c r="J59" s="4">
        <f t="shared" si="15"/>
        <v>0.23898838526531943</v>
      </c>
      <c r="K59" s="128">
        <f t="shared" si="16"/>
        <v>6.9</v>
      </c>
      <c r="L59" s="19">
        <f t="shared" si="17"/>
        <v>1.840659182270203</v>
      </c>
      <c r="M59" s="195">
        <f t="shared" si="18"/>
        <v>0.26676220032901493</v>
      </c>
      <c r="N59" s="440"/>
      <c r="P59" s="533">
        <f>RF!C54-'SPM = RF'!C59</f>
        <v>-0.41340451802010492</v>
      </c>
      <c r="Q59" s="534">
        <f>RF!F54-'SPM = RF'!F59</f>
        <v>-0.11128725998368705</v>
      </c>
      <c r="R59" s="535">
        <f>RF!I54-'SPM = RF'!I59</f>
        <v>-0.10888253305948054</v>
      </c>
    </row>
    <row r="60" spans="1:31" x14ac:dyDescent="0.2">
      <c r="A60" s="180">
        <f t="shared" si="22"/>
        <v>2060</v>
      </c>
      <c r="B60" s="128">
        <f t="shared" si="23"/>
        <v>1.2</v>
      </c>
      <c r="C60" s="5">
        <f t="shared" si="19"/>
        <v>0.5557245886723523</v>
      </c>
      <c r="D60" s="195">
        <f t="shared" si="13"/>
        <v>0.46310382389362692</v>
      </c>
      <c r="E60" s="128">
        <f t="shared" si="24"/>
        <v>4</v>
      </c>
      <c r="F60" s="5">
        <f t="shared" si="20"/>
        <v>0.72699464556787152</v>
      </c>
      <c r="G60" s="4">
        <f t="shared" si="14"/>
        <v>0.18174866139196788</v>
      </c>
      <c r="H60" s="128">
        <f t="shared" si="25"/>
        <v>1.7000000000000004</v>
      </c>
      <c r="I60" s="5">
        <f t="shared" si="21"/>
        <v>0.38801421382134027</v>
      </c>
      <c r="J60" s="4">
        <f t="shared" si="15"/>
        <v>0.22824365518902365</v>
      </c>
      <c r="K60" s="128">
        <f t="shared" si="16"/>
        <v>6.9</v>
      </c>
      <c r="L60" s="19">
        <f t="shared" si="17"/>
        <v>1.6707334480615641</v>
      </c>
      <c r="M60" s="195">
        <f t="shared" si="18"/>
        <v>0.24213528232776291</v>
      </c>
      <c r="N60" s="440"/>
      <c r="P60" s="533">
        <f>RF!C55-'SPM = RF'!C60</f>
        <v>-0.37754677762752836</v>
      </c>
      <c r="Q60" s="534">
        <f>RF!F55-'SPM = RF'!F60</f>
        <v>-0.13306860875179161</v>
      </c>
      <c r="R60" s="535">
        <f>RF!I55-'SPM = RF'!I60</f>
        <v>-0.13559564817450631</v>
      </c>
    </row>
    <row r="61" spans="1:31" x14ac:dyDescent="0.2">
      <c r="A61" s="180">
        <f t="shared" si="22"/>
        <v>2061</v>
      </c>
      <c r="B61" s="128">
        <f t="shared" si="23"/>
        <v>1.2</v>
      </c>
      <c r="C61" s="5">
        <f t="shared" si="19"/>
        <v>0.49523328029486846</v>
      </c>
      <c r="D61" s="195">
        <f t="shared" si="13"/>
        <v>0.41269440024572374</v>
      </c>
      <c r="E61" s="128">
        <f t="shared" si="24"/>
        <v>4</v>
      </c>
      <c r="F61" s="5">
        <f t="shared" si="20"/>
        <v>0.65135449739236684</v>
      </c>
      <c r="G61" s="4">
        <f t="shared" si="14"/>
        <v>0.16283862434809171</v>
      </c>
      <c r="H61" s="128">
        <f t="shared" si="25"/>
        <v>1.7000000000000004</v>
      </c>
      <c r="I61" s="5">
        <f t="shared" si="21"/>
        <v>0.37043346766495677</v>
      </c>
      <c r="J61" s="4">
        <f t="shared" si="15"/>
        <v>0.2179020398029157</v>
      </c>
      <c r="K61" s="128">
        <f t="shared" si="16"/>
        <v>6.9</v>
      </c>
      <c r="L61" s="19">
        <f t="shared" si="17"/>
        <v>1.5170212453521921</v>
      </c>
      <c r="M61" s="195">
        <f t="shared" si="18"/>
        <v>0.21985815150031768</v>
      </c>
      <c r="N61" s="440"/>
      <c r="P61" s="533">
        <f>RF!C56-'SPM = RF'!C61</f>
        <v>-0.3445881278822599</v>
      </c>
      <c r="Q61" s="534">
        <f>RF!F56-'SPM = RF'!F61</f>
        <v>-0.14920398935033818</v>
      </c>
      <c r="R61" s="535">
        <f>RF!I56-'SPM = RF'!I61</f>
        <v>-0.15701950174709459</v>
      </c>
    </row>
    <row r="62" spans="1:31" x14ac:dyDescent="0.2">
      <c r="A62" s="180">
        <f t="shared" si="22"/>
        <v>2062</v>
      </c>
      <c r="B62" s="128">
        <f t="shared" si="23"/>
        <v>1.2</v>
      </c>
      <c r="C62" s="5">
        <f t="shared" si="19"/>
        <v>0.44114155114540976</v>
      </c>
      <c r="D62" s="195">
        <f t="shared" si="13"/>
        <v>0.36761795928784147</v>
      </c>
      <c r="E62" s="128">
        <f t="shared" si="24"/>
        <v>4</v>
      </c>
      <c r="F62" s="5">
        <f t="shared" si="20"/>
        <v>0.58332782032458752</v>
      </c>
      <c r="G62" s="4">
        <f t="shared" si="14"/>
        <v>0.14583195508114688</v>
      </c>
      <c r="H62" s="128">
        <f t="shared" si="25"/>
        <v>1.7000000000000004</v>
      </c>
      <c r="I62" s="5">
        <f t="shared" si="21"/>
        <v>0.35352440171904487</v>
      </c>
      <c r="J62" s="4">
        <f t="shared" si="15"/>
        <v>0.20795553042296752</v>
      </c>
      <c r="K62" s="128">
        <f t="shared" si="16"/>
        <v>6.9</v>
      </c>
      <c r="L62" s="19">
        <f t="shared" si="17"/>
        <v>1.3779937731890421</v>
      </c>
      <c r="M62" s="195">
        <f t="shared" si="18"/>
        <v>0.19970924249116551</v>
      </c>
      <c r="N62" s="440"/>
      <c r="P62" s="533">
        <f>RF!C57-'SPM = RF'!C62</f>
        <v>-0.31426889056684382</v>
      </c>
      <c r="Q62" s="534">
        <f>RF!F57-'SPM = RF'!F62</f>
        <v>-0.16041895172936765</v>
      </c>
      <c r="R62" s="535">
        <f>RF!I57-'SPM = RF'!I62</f>
        <v>-0.17378813256607639</v>
      </c>
    </row>
    <row r="63" spans="1:31" x14ac:dyDescent="0.2">
      <c r="A63" s="180">
        <f t="shared" si="22"/>
        <v>2063</v>
      </c>
      <c r="B63" s="128">
        <f t="shared" si="23"/>
        <v>1.2</v>
      </c>
      <c r="C63" s="5">
        <f t="shared" si="19"/>
        <v>0.392799817953287</v>
      </c>
      <c r="D63" s="195">
        <f t="shared" si="13"/>
        <v>0.32733318162773917</v>
      </c>
      <c r="E63" s="128">
        <f t="shared" si="24"/>
        <v>4</v>
      </c>
      <c r="F63" s="5">
        <f t="shared" si="20"/>
        <v>0.52218548379009988</v>
      </c>
      <c r="G63" s="4">
        <f t="shared" si="14"/>
        <v>0.13054637094752497</v>
      </c>
      <c r="H63" s="128">
        <f t="shared" si="25"/>
        <v>1.7000000000000004</v>
      </c>
      <c r="I63" s="5">
        <f t="shared" si="21"/>
        <v>0.337272381884131</v>
      </c>
      <c r="J63" s="4">
        <f t="shared" si="15"/>
        <v>0.19839551875537112</v>
      </c>
      <c r="K63" s="128">
        <f t="shared" si="16"/>
        <v>6.9</v>
      </c>
      <c r="L63" s="19">
        <f t="shared" si="17"/>
        <v>1.2522576836275179</v>
      </c>
      <c r="M63" s="195">
        <f t="shared" si="18"/>
        <v>0.18148662081558228</v>
      </c>
      <c r="N63" s="440"/>
      <c r="P63" s="533">
        <f>RF!C58-'SPM = RF'!C63</f>
        <v>-0.28636451854918027</v>
      </c>
      <c r="Q63" s="534">
        <f>RF!F58-'SPM = RF'!F63</f>
        <v>-0.16740115244307741</v>
      </c>
      <c r="R63" s="535">
        <f>RF!I58-'SPM = RF'!I63</f>
        <v>-0.18648904106164643</v>
      </c>
    </row>
    <row r="64" spans="1:31" x14ac:dyDescent="0.2">
      <c r="A64" s="180">
        <f t="shared" si="22"/>
        <v>2064</v>
      </c>
      <c r="B64" s="128">
        <f t="shared" si="23"/>
        <v>1.2</v>
      </c>
      <c r="C64" s="5">
        <f t="shared" si="19"/>
        <v>0.34962024156638138</v>
      </c>
      <c r="D64" s="195">
        <f t="shared" si="13"/>
        <v>0.29135020130531786</v>
      </c>
      <c r="E64" s="128">
        <f t="shared" si="24"/>
        <v>4</v>
      </c>
      <c r="F64" s="5">
        <f t="shared" si="20"/>
        <v>0.46726260989103752</v>
      </c>
      <c r="G64" s="4">
        <f t="shared" si="14"/>
        <v>0.11681565247275938</v>
      </c>
      <c r="H64" s="128">
        <f t="shared" si="25"/>
        <v>1.7000000000000004</v>
      </c>
      <c r="I64" s="5">
        <f t="shared" si="21"/>
        <v>0.321661938139429</v>
      </c>
      <c r="J64" s="4">
        <f t="shared" si="15"/>
        <v>0.18921290478789937</v>
      </c>
      <c r="K64" s="128">
        <f t="shared" si="16"/>
        <v>6.9</v>
      </c>
      <c r="L64" s="19">
        <f t="shared" si="17"/>
        <v>1.1385447895968479</v>
      </c>
      <c r="M64" s="195">
        <f t="shared" si="18"/>
        <v>0.16500649124591998</v>
      </c>
      <c r="N64" s="440"/>
      <c r="P64" s="533">
        <f>RF!C59-'SPM = RF'!C64</f>
        <v>-0.26067935904550404</v>
      </c>
      <c r="Q64" s="534">
        <f>RF!F59-'SPM = RF'!F64</f>
        <v>-0.17079300148811311</v>
      </c>
      <c r="R64" s="535">
        <f>RF!I59-'SPM = RF'!I64</f>
        <v>-0.19566235456818612</v>
      </c>
    </row>
    <row r="65" spans="1:18" x14ac:dyDescent="0.2">
      <c r="A65" s="180">
        <f t="shared" si="22"/>
        <v>2065</v>
      </c>
      <c r="B65" s="128">
        <f t="shared" si="23"/>
        <v>1.2</v>
      </c>
      <c r="C65" s="5">
        <f t="shared" si="19"/>
        <v>0.31107152504285329</v>
      </c>
      <c r="D65" s="195">
        <f t="shared" si="13"/>
        <v>0.25922627086904443</v>
      </c>
      <c r="E65" s="128">
        <f t="shared" si="24"/>
        <v>4</v>
      </c>
      <c r="F65" s="5">
        <f t="shared" si="20"/>
        <v>0.41795378957883189</v>
      </c>
      <c r="G65" s="4">
        <f t="shared" si="14"/>
        <v>0.10448844739470797</v>
      </c>
      <c r="H65" s="128">
        <f t="shared" si="25"/>
        <v>1.7000000000000004</v>
      </c>
      <c r="I65" s="5">
        <f t="shared" si="21"/>
        <v>0.30667692883374276</v>
      </c>
      <c r="J65" s="4">
        <f t="shared" si="15"/>
        <v>0.18039819343161334</v>
      </c>
      <c r="K65" s="128">
        <f t="shared" si="16"/>
        <v>6.9</v>
      </c>
      <c r="L65" s="19">
        <f t="shared" si="17"/>
        <v>1.0357022434554279</v>
      </c>
      <c r="M65" s="195">
        <f t="shared" si="18"/>
        <v>0.15010177441383013</v>
      </c>
      <c r="N65" s="440"/>
      <c r="P65" s="533">
        <f>RF!C60-'SPM = RF'!C65</f>
        <v>-0.23704138062402158</v>
      </c>
      <c r="Q65" s="534">
        <f>RF!F60-'SPM = RF'!F65</f>
        <v>-0.1711866415160595</v>
      </c>
      <c r="R65" s="535">
        <f>RF!I60-'SPM = RF'!I65</f>
        <v>-0.20180089090706449</v>
      </c>
    </row>
    <row r="66" spans="1:18" x14ac:dyDescent="0.2">
      <c r="A66" s="180">
        <f t="shared" si="22"/>
        <v>2066</v>
      </c>
      <c r="B66" s="128">
        <f t="shared" si="23"/>
        <v>1.2</v>
      </c>
      <c r="C66" s="5">
        <f t="shared" si="19"/>
        <v>0.27667403665200618</v>
      </c>
      <c r="D66" s="195">
        <f t="shared" si="13"/>
        <v>0.23056169721000516</v>
      </c>
      <c r="E66" s="128">
        <f t="shared" si="24"/>
        <v>4</v>
      </c>
      <c r="F66" s="5">
        <f t="shared" si="20"/>
        <v>0.37370850463582217</v>
      </c>
      <c r="G66" s="4">
        <f t="shared" si="14"/>
        <v>9.3427126158955542E-2</v>
      </c>
      <c r="H66" s="128">
        <f t="shared" si="25"/>
        <v>1.7000000000000004</v>
      </c>
      <c r="I66" s="5">
        <f t="shared" si="21"/>
        <v>0.29230068753771921</v>
      </c>
      <c r="J66" s="4">
        <f t="shared" si="15"/>
        <v>0.17194158090454068</v>
      </c>
      <c r="K66" s="128">
        <f t="shared" si="16"/>
        <v>6.9</v>
      </c>
      <c r="L66" s="19">
        <f t="shared" si="17"/>
        <v>0.94268322882554756</v>
      </c>
      <c r="M66" s="195">
        <f t="shared" si="18"/>
        <v>0.13662075780080399</v>
      </c>
      <c r="N66" s="440"/>
      <c r="P66" s="533">
        <f>RF!C61-'SPM = RF'!C66</f>
        <v>-0.21529777617918999</v>
      </c>
      <c r="Q66" s="534">
        <f>RF!F61-'SPM = RF'!F66</f>
        <v>-0.16912096972643487</v>
      </c>
      <c r="R66" s="535">
        <f>RF!I61-'SPM = RF'!I66</f>
        <v>-0.20535098520122957</v>
      </c>
    </row>
    <row r="67" spans="1:18" x14ac:dyDescent="0.2">
      <c r="A67" s="180">
        <f t="shared" si="22"/>
        <v>2067</v>
      </c>
      <c r="B67" s="128">
        <f t="shared" si="23"/>
        <v>1.2</v>
      </c>
      <c r="C67" s="5">
        <f t="shared" si="19"/>
        <v>0.24599525922315313</v>
      </c>
      <c r="D67" s="195">
        <f t="shared" si="13"/>
        <v>0.20499604935262761</v>
      </c>
      <c r="E67" s="128">
        <f t="shared" si="24"/>
        <v>4</v>
      </c>
      <c r="F67" s="5">
        <f t="shared" si="20"/>
        <v>0.33402677708027806</v>
      </c>
      <c r="G67" s="4">
        <f t="shared" si="14"/>
        <v>8.3506694270069515E-2</v>
      </c>
      <c r="H67" s="128">
        <f t="shared" si="25"/>
        <v>1.7000000000000004</v>
      </c>
      <c r="I67" s="5">
        <f t="shared" si="21"/>
        <v>0.27851615400591268</v>
      </c>
      <c r="J67" s="4">
        <f t="shared" si="15"/>
        <v>0.1638330317681839</v>
      </c>
      <c r="K67" s="128">
        <f t="shared" si="16"/>
        <v>6.9</v>
      </c>
      <c r="L67" s="19">
        <f t="shared" si="17"/>
        <v>0.85853819030934386</v>
      </c>
      <c r="M67" s="195">
        <f t="shared" si="18"/>
        <v>0.12442582468251359</v>
      </c>
      <c r="N67" s="440"/>
      <c r="P67" s="533">
        <f>RF!C62-'SPM = RF'!C67</f>
        <v>-0.19531134871460523</v>
      </c>
      <c r="Q67" s="534">
        <f>RF!F62-'SPM = RF'!F67</f>
        <v>-0.16508040871845173</v>
      </c>
      <c r="R67" s="535">
        <f>RF!I62-'SPM = RF'!I67</f>
        <v>-0.20671394745213648</v>
      </c>
    </row>
    <row r="68" spans="1:18" x14ac:dyDescent="0.2">
      <c r="A68" s="180">
        <f t="shared" si="22"/>
        <v>2068</v>
      </c>
      <c r="B68" s="128">
        <f t="shared" si="23"/>
        <v>1.2</v>
      </c>
      <c r="C68" s="5">
        <f t="shared" si="19"/>
        <v>0.21864556166713922</v>
      </c>
      <c r="D68" s="195">
        <f t="shared" si="13"/>
        <v>0.18220463472261603</v>
      </c>
      <c r="E68" s="128">
        <f t="shared" si="24"/>
        <v>4</v>
      </c>
      <c r="F68" s="5">
        <f t="shared" si="20"/>
        <v>0.2984550591949251</v>
      </c>
      <c r="G68" s="4">
        <f t="shared" si="14"/>
        <v>7.4613764798731275E-2</v>
      </c>
      <c r="H68" s="128">
        <f t="shared" si="25"/>
        <v>1.7000000000000004</v>
      </c>
      <c r="I68" s="5">
        <f t="shared" si="21"/>
        <v>0.26530599067154625</v>
      </c>
      <c r="J68" s="4">
        <f t="shared" si="15"/>
        <v>0.1560623474538507</v>
      </c>
      <c r="K68" s="128">
        <f t="shared" si="16"/>
        <v>6.9</v>
      </c>
      <c r="L68" s="19">
        <f t="shared" si="17"/>
        <v>0.78240661153361057</v>
      </c>
      <c r="M68" s="195">
        <f t="shared" si="18"/>
        <v>0.11339226254110298</v>
      </c>
      <c r="N68" s="440"/>
      <c r="P68" s="533">
        <f>RF!C63-'SPM = RF'!C68</f>
        <v>-0.17695758529260494</v>
      </c>
      <c r="Q68" s="534">
        <f>RF!F63-'SPM = RF'!F68</f>
        <v>-0.15949513794647746</v>
      </c>
      <c r="R68" s="535">
        <f>RF!I63-'SPM = RF'!I68</f>
        <v>-0.206248024140956</v>
      </c>
    </row>
    <row r="69" spans="1:18" x14ac:dyDescent="0.2">
      <c r="A69" s="180">
        <f t="shared" si="22"/>
        <v>2069</v>
      </c>
      <c r="B69" s="128">
        <f t="shared" si="23"/>
        <v>1.2</v>
      </c>
      <c r="C69" s="5">
        <f t="shared" si="19"/>
        <v>0.1942742842850933</v>
      </c>
      <c r="D69" s="195">
        <f t="shared" si="13"/>
        <v>0.16189523690424443</v>
      </c>
      <c r="E69" s="128">
        <f t="shared" si="24"/>
        <v>4</v>
      </c>
      <c r="F69" s="5">
        <f t="shared" si="20"/>
        <v>0.26658237070486912</v>
      </c>
      <c r="G69" s="4">
        <f t="shared" si="14"/>
        <v>6.664559267621728E-2</v>
      </c>
      <c r="H69" s="128">
        <f t="shared" si="25"/>
        <v>1.7000000000000004</v>
      </c>
      <c r="I69" s="5">
        <f t="shared" si="21"/>
        <v>0.25265268597998958</v>
      </c>
      <c r="J69" s="4">
        <f t="shared" si="15"/>
        <v>0.14861922704705266</v>
      </c>
      <c r="K69" s="128">
        <f t="shared" si="16"/>
        <v>6.9</v>
      </c>
      <c r="L69" s="19">
        <f t="shared" si="17"/>
        <v>0.713509340969952</v>
      </c>
      <c r="M69" s="195">
        <f t="shared" si="18"/>
        <v>0.10340715086521043</v>
      </c>
      <c r="N69" s="440"/>
      <c r="P69" s="533">
        <f>RF!C64-'SPM = RF'!C69</f>
        <v>-0.1601223261687047</v>
      </c>
      <c r="Q69" s="534">
        <f>RF!F64-'SPM = RF'!F69</f>
        <v>-0.15274251031690711</v>
      </c>
      <c r="R69" s="535">
        <f>RF!I64-'SPM = RF'!I69</f>
        <v>-0.20427074531510572</v>
      </c>
    </row>
    <row r="70" spans="1:18" x14ac:dyDescent="0.2">
      <c r="A70" s="180">
        <f t="shared" si="22"/>
        <v>2070</v>
      </c>
      <c r="B70" s="128">
        <f t="shared" si="23"/>
        <v>1.2</v>
      </c>
      <c r="C70" s="5">
        <f t="shared" si="19"/>
        <v>0.17256612640618796</v>
      </c>
      <c r="D70" s="195">
        <f t="shared" si="13"/>
        <v>0.14380510533848997</v>
      </c>
      <c r="E70" s="128">
        <f t="shared" si="24"/>
        <v>4</v>
      </c>
      <c r="F70" s="5">
        <f t="shared" si="20"/>
        <v>0.23803668439768688</v>
      </c>
      <c r="G70" s="4">
        <f t="shared" si="14"/>
        <v>5.950917109942172E-2</v>
      </c>
      <c r="H70" s="128">
        <f t="shared" si="25"/>
        <v>1.7000000000000004</v>
      </c>
      <c r="I70" s="5">
        <f t="shared" si="21"/>
        <v>0.2405386457598917</v>
      </c>
      <c r="J70" s="4">
        <f t="shared" si="15"/>
        <v>0.14149332103523038</v>
      </c>
      <c r="K70" s="128">
        <f t="shared" si="16"/>
        <v>6.9</v>
      </c>
      <c r="L70" s="19">
        <f t="shared" si="17"/>
        <v>0.65114145656376654</v>
      </c>
      <c r="M70" s="195">
        <f t="shared" si="18"/>
        <v>9.4368327038227034E-2</v>
      </c>
      <c r="N70" s="440"/>
      <c r="P70" s="533">
        <f>RF!C65-'SPM = RF'!C70</f>
        <v>-0.14469994022048499</v>
      </c>
      <c r="Q70" s="534">
        <f>RF!F65-'SPM = RF'!F70</f>
        <v>-0.14514939711201036</v>
      </c>
      <c r="R70" s="535">
        <f>RF!I65-'SPM = RF'!I70</f>
        <v>-0.20106154866347917</v>
      </c>
    </row>
    <row r="71" spans="1:18" x14ac:dyDescent="0.2">
      <c r="A71" s="180">
        <f t="shared" si="22"/>
        <v>2071</v>
      </c>
      <c r="B71" s="128">
        <f t="shared" si="23"/>
        <v>1.2</v>
      </c>
      <c r="C71" s="5">
        <f t="shared" si="19"/>
        <v>0.15323782274016007</v>
      </c>
      <c r="D71" s="195">
        <f t="shared" si="13"/>
        <v>0.12769818561680008</v>
      </c>
      <c r="E71" s="128">
        <f t="shared" si="24"/>
        <v>4</v>
      </c>
      <c r="F71" s="5">
        <f t="shared" si="20"/>
        <v>0.21248155743203401</v>
      </c>
      <c r="G71" s="4">
        <f t="shared" si="14"/>
        <v>5.3120389358008502E-2</v>
      </c>
      <c r="H71" s="128">
        <f t="shared" si="25"/>
        <v>1.7000000000000004</v>
      </c>
      <c r="I71" s="5">
        <f t="shared" si="21"/>
        <v>0.2289462737318182</v>
      </c>
      <c r="J71" s="4">
        <f t="shared" si="15"/>
        <v>0.13467427866577539</v>
      </c>
      <c r="K71" s="128">
        <f t="shared" si="16"/>
        <v>6.9</v>
      </c>
      <c r="L71" s="19">
        <f t="shared" si="17"/>
        <v>0.59466565390401227</v>
      </c>
      <c r="M71" s="195">
        <f t="shared" si="18"/>
        <v>8.6183428102030765E-2</v>
      </c>
      <c r="N71" s="440"/>
      <c r="P71" s="533">
        <f>RF!C66-'SPM = RF'!C71</f>
        <v>-0.13059192366722544</v>
      </c>
      <c r="Q71" s="534">
        <f>RF!F66-'SPM = RF'!F71</f>
        <v>-0.1369952271889186</v>
      </c>
      <c r="R71" s="535">
        <f>RF!I66-'SPM = RF'!I71</f>
        <v>-0.19686458337849416</v>
      </c>
    </row>
    <row r="72" spans="1:18" x14ac:dyDescent="0.2">
      <c r="A72" s="180">
        <f t="shared" si="22"/>
        <v>2072</v>
      </c>
      <c r="B72" s="128">
        <f t="shared" si="23"/>
        <v>1.2</v>
      </c>
      <c r="C72" s="5">
        <f t="shared" si="19"/>
        <v>0.13603509340736042</v>
      </c>
      <c r="D72" s="195">
        <f t="shared" si="13"/>
        <v>0.11336257783946702</v>
      </c>
      <c r="E72" s="128">
        <f t="shared" si="24"/>
        <v>4</v>
      </c>
      <c r="F72" s="5">
        <f t="shared" si="20"/>
        <v>0.1896130025093048</v>
      </c>
      <c r="G72" s="4">
        <f t="shared" si="14"/>
        <v>4.7403250627326199E-2</v>
      </c>
      <c r="H72" s="128">
        <f t="shared" si="25"/>
        <v>1.7000000000000004</v>
      </c>
      <c r="I72" s="5">
        <f t="shared" si="21"/>
        <v>0.21785804216295634</v>
      </c>
      <c r="J72" s="4">
        <f t="shared" si="15"/>
        <v>0.12815178950762135</v>
      </c>
      <c r="K72" s="128">
        <f t="shared" si="16"/>
        <v>6.9</v>
      </c>
      <c r="L72" s="19">
        <f t="shared" si="17"/>
        <v>0.54350613807962156</v>
      </c>
      <c r="M72" s="195">
        <f t="shared" si="18"/>
        <v>7.8769005518785726E-2</v>
      </c>
      <c r="N72" s="440"/>
      <c r="P72" s="533">
        <f>RF!C67-'SPM = RF'!C72</f>
        <v>-0.11770584619572107</v>
      </c>
      <c r="Q72" s="534">
        <f>RF!F67-'SPM = RF'!F72</f>
        <v>-0.12851551180384027</v>
      </c>
      <c r="R72" s="535">
        <f>RF!I67-'SPM = RF'!I72</f>
        <v>-0.19189160861313392</v>
      </c>
    </row>
    <row r="73" spans="1:18" x14ac:dyDescent="0.2">
      <c r="A73" s="180">
        <f t="shared" si="22"/>
        <v>2073</v>
      </c>
      <c r="B73" s="128">
        <f t="shared" si="23"/>
        <v>1.2</v>
      </c>
      <c r="C73" s="5">
        <f t="shared" si="19"/>
        <v>0.12072985176769147</v>
      </c>
      <c r="D73" s="195">
        <f t="shared" si="13"/>
        <v>0.10060820980640955</v>
      </c>
      <c r="E73" s="128">
        <f t="shared" si="24"/>
        <v>4</v>
      </c>
      <c r="F73" s="5">
        <f t="shared" si="20"/>
        <v>0.1691565908074204</v>
      </c>
      <c r="G73" s="4">
        <f t="shared" si="14"/>
        <v>4.2289147701855101E-2</v>
      </c>
      <c r="H73" s="128">
        <f t="shared" si="25"/>
        <v>1.7000000000000004</v>
      </c>
      <c r="I73" s="5">
        <f t="shared" si="21"/>
        <v>0.20725655359235207</v>
      </c>
      <c r="J73" s="4">
        <f t="shared" si="15"/>
        <v>0.12191561976020707</v>
      </c>
      <c r="K73" s="128">
        <f t="shared" si="16"/>
        <v>6.9</v>
      </c>
      <c r="L73" s="19">
        <f t="shared" si="17"/>
        <v>0.49714299616746394</v>
      </c>
      <c r="M73" s="195">
        <f t="shared" si="18"/>
        <v>7.2049709589487518E-2</v>
      </c>
      <c r="N73" s="440"/>
      <c r="P73" s="533">
        <f>RF!C68-'SPM = RF'!C73</f>
        <v>-0.10595457647350991</v>
      </c>
      <c r="Q73" s="534">
        <f>RF!F68-'SPM = RF'!F73</f>
        <v>-0.11990567316014852</v>
      </c>
      <c r="R73" s="535">
        <f>RF!I68-'SPM = RF'!I73</f>
        <v>-0.18632491359226153</v>
      </c>
    </row>
    <row r="74" spans="1:18" x14ac:dyDescent="0.2">
      <c r="A74" s="180">
        <f t="shared" si="22"/>
        <v>2074</v>
      </c>
      <c r="B74" s="128">
        <f t="shared" si="23"/>
        <v>1.2</v>
      </c>
      <c r="C74" s="5">
        <f t="shared" si="19"/>
        <v>0.10711765378528371</v>
      </c>
      <c r="D74" s="195">
        <f t="shared" si="13"/>
        <v>8.9264711487736431E-2</v>
      </c>
      <c r="E74" s="128">
        <f t="shared" si="24"/>
        <v>4</v>
      </c>
      <c r="F74" s="5">
        <f t="shared" si="20"/>
        <v>0.15086477694688649</v>
      </c>
      <c r="G74" s="4">
        <f t="shared" si="14"/>
        <v>3.7716194236721623E-2</v>
      </c>
      <c r="H74" s="128">
        <f t="shared" si="25"/>
        <v>1.7000000000000004</v>
      </c>
      <c r="I74" s="5">
        <f t="shared" si="21"/>
        <v>0.19712459447357711</v>
      </c>
      <c r="J74" s="4">
        <f t="shared" si="15"/>
        <v>0.11595564380798651</v>
      </c>
      <c r="K74" s="128">
        <f t="shared" si="16"/>
        <v>6.9</v>
      </c>
      <c r="L74" s="19">
        <f t="shared" si="17"/>
        <v>0.45510702520574731</v>
      </c>
      <c r="M74" s="195">
        <f t="shared" si="18"/>
        <v>6.5957539884890906E-2</v>
      </c>
      <c r="N74" s="440"/>
      <c r="P74" s="533">
        <f>RF!C69-'SPM = RF'!C74</f>
        <v>-9.5896350408559941E-2</v>
      </c>
      <c r="Q74" s="534">
        <f>RF!F69-'SPM = RF'!F74</f>
        <v>-0.11346043235780726</v>
      </c>
      <c r="R74" s="535">
        <f>RF!I69-'SPM = RF'!I74</f>
        <v>-0.18122774802321842</v>
      </c>
    </row>
    <row r="75" spans="1:18" x14ac:dyDescent="0.2">
      <c r="A75" s="180">
        <f t="shared" si="22"/>
        <v>2075</v>
      </c>
      <c r="B75" s="128">
        <f t="shared" si="23"/>
        <v>1.2</v>
      </c>
      <c r="C75" s="5">
        <f t="shared" si="19"/>
        <v>9.5015372635359752E-2</v>
      </c>
      <c r="D75" s="195">
        <f t="shared" si="13"/>
        <v>7.9179477196133136E-2</v>
      </c>
      <c r="E75" s="128">
        <f t="shared" si="24"/>
        <v>4</v>
      </c>
      <c r="F75" s="5">
        <f t="shared" si="20"/>
        <v>0.13451443515307315</v>
      </c>
      <c r="G75" s="4">
        <f t="shared" si="14"/>
        <v>3.3628608788268288E-2</v>
      </c>
      <c r="H75" s="128">
        <f t="shared" si="25"/>
        <v>1.7000000000000004</v>
      </c>
      <c r="I75" s="5">
        <f t="shared" si="21"/>
        <v>0.18744518151035816</v>
      </c>
      <c r="J75" s="4">
        <f t="shared" si="15"/>
        <v>0.11026187147668125</v>
      </c>
      <c r="K75" s="128">
        <f t="shared" si="16"/>
        <v>6.9</v>
      </c>
      <c r="L75" s="19">
        <f t="shared" si="17"/>
        <v>0.41697498929879107</v>
      </c>
      <c r="M75" s="195">
        <f t="shared" si="18"/>
        <v>6.0431157869390004E-2</v>
      </c>
      <c r="N75" s="440"/>
      <c r="P75" s="533">
        <f>RF!C70-'SPM = RF'!C75</f>
        <v>-8.734804117609378E-2</v>
      </c>
      <c r="Q75" s="534">
        <f>RF!F70-'SPM = RF'!F75</f>
        <v>-0.10895666362218656</v>
      </c>
      <c r="R75" s="535">
        <f>RF!I70-'SPM = RF'!I75</f>
        <v>-0.17658312860973135</v>
      </c>
    </row>
    <row r="76" spans="1:18" x14ac:dyDescent="0.2">
      <c r="A76" s="180">
        <f t="shared" si="22"/>
        <v>2076</v>
      </c>
      <c r="B76" s="128">
        <f t="shared" si="23"/>
        <v>1.2</v>
      </c>
      <c r="C76" s="5">
        <f t="shared" si="19"/>
        <v>8.4259082499836935E-2</v>
      </c>
      <c r="D76" s="195">
        <f t="shared" si="13"/>
        <v>7.0215902083197446E-2</v>
      </c>
      <c r="E76" s="128">
        <f t="shared" si="24"/>
        <v>4</v>
      </c>
      <c r="F76" s="5">
        <f t="shared" si="20"/>
        <v>0.1199045950907428</v>
      </c>
      <c r="G76" s="4">
        <f t="shared" si="14"/>
        <v>2.9976148772685701E-2</v>
      </c>
      <c r="H76" s="128">
        <f t="shared" si="25"/>
        <v>1.7000000000000004</v>
      </c>
      <c r="I76" s="5">
        <f t="shared" si="21"/>
        <v>0.17820160139492813</v>
      </c>
      <c r="J76" s="4">
        <f t="shared" si="15"/>
        <v>0.10482447140878123</v>
      </c>
      <c r="K76" s="128">
        <f t="shared" si="16"/>
        <v>6.9</v>
      </c>
      <c r="L76" s="19">
        <f t="shared" si="17"/>
        <v>0.38236527898550787</v>
      </c>
      <c r="M76" s="195">
        <f t="shared" si="18"/>
        <v>5.5415257823986645E-2</v>
      </c>
      <c r="N76" s="440"/>
      <c r="P76" s="533">
        <f>RF!C71-'SPM = RF'!C76</f>
        <v>-8.0145722958028742E-2</v>
      </c>
      <c r="Q76" s="534">
        <f>RF!F71-'SPM = RF'!F76</f>
        <v>-0.10619339661804886</v>
      </c>
      <c r="R76" s="535">
        <f>RF!I71-'SPM = RF'!I76</f>
        <v>-0.17237434204403321</v>
      </c>
    </row>
    <row r="77" spans="1:18" x14ac:dyDescent="0.2">
      <c r="A77" s="180">
        <f t="shared" si="22"/>
        <v>2077</v>
      </c>
      <c r="B77" s="128">
        <f t="shared" si="23"/>
        <v>1.2</v>
      </c>
      <c r="C77" s="5">
        <f t="shared" si="19"/>
        <v>7.4702135940478476E-2</v>
      </c>
      <c r="D77" s="195">
        <f t="shared" si="13"/>
        <v>6.2251779950398732E-2</v>
      </c>
      <c r="E77" s="128">
        <f t="shared" si="24"/>
        <v>4</v>
      </c>
      <c r="F77" s="5">
        <f t="shared" si="20"/>
        <v>0.10685436549151839</v>
      </c>
      <c r="G77" s="4">
        <f t="shared" si="14"/>
        <v>2.6713591372879597E-2</v>
      </c>
      <c r="H77" s="128">
        <f t="shared" si="25"/>
        <v>1.7000000000000004</v>
      </c>
      <c r="I77" s="5">
        <f t="shared" si="21"/>
        <v>0.16937744459827009</v>
      </c>
      <c r="J77" s="4">
        <f t="shared" si="15"/>
        <v>9.9633790940158853E-2</v>
      </c>
      <c r="K77" s="128">
        <f t="shared" si="16"/>
        <v>6.9</v>
      </c>
      <c r="L77" s="19">
        <f t="shared" si="17"/>
        <v>0.35093394603026695</v>
      </c>
      <c r="M77" s="195">
        <f t="shared" si="18"/>
        <v>5.0859992178299555E-2</v>
      </c>
      <c r="N77" s="440"/>
      <c r="P77" s="533">
        <f>RF!C72-'SPM = RF'!C77</f>
        <v>-7.4142748316128076E-2</v>
      </c>
      <c r="Q77" s="534">
        <f>RF!F72-'SPM = RF'!F77</f>
        <v>-0.10498974007701707</v>
      </c>
      <c r="R77" s="535">
        <f>RF!I72-'SPM = RF'!I77</f>
        <v>-0.16858497879710704</v>
      </c>
    </row>
    <row r="78" spans="1:18" x14ac:dyDescent="0.2">
      <c r="A78" s="180">
        <f t="shared" si="22"/>
        <v>2078</v>
      </c>
      <c r="B78" s="128">
        <f t="shared" si="23"/>
        <v>1.2</v>
      </c>
      <c r="C78" s="5">
        <f t="shared" si="19"/>
        <v>6.621341982752782E-2</v>
      </c>
      <c r="D78" s="195">
        <f t="shared" si="13"/>
        <v>5.5177849856273185E-2</v>
      </c>
      <c r="E78" s="128">
        <f t="shared" si="24"/>
        <v>4</v>
      </c>
      <c r="F78" s="5">
        <f t="shared" si="20"/>
        <v>9.5201033600822549E-2</v>
      </c>
      <c r="G78" s="4">
        <f t="shared" si="14"/>
        <v>2.3800258400205637E-2</v>
      </c>
      <c r="H78" s="128">
        <f t="shared" si="25"/>
        <v>1.7000000000000004</v>
      </c>
      <c r="I78" s="5">
        <f t="shared" si="21"/>
        <v>0.16095663380570624</v>
      </c>
      <c r="J78" s="4">
        <f t="shared" si="15"/>
        <v>9.4680372826886003E-2</v>
      </c>
      <c r="K78" s="128">
        <f t="shared" si="16"/>
        <v>6.9</v>
      </c>
      <c r="L78" s="19">
        <f t="shared" si="17"/>
        <v>0.32237108723405661</v>
      </c>
      <c r="M78" s="195">
        <f t="shared" si="18"/>
        <v>4.6720447425225596E-2</v>
      </c>
      <c r="N78" s="440"/>
      <c r="P78" s="533">
        <f>RF!C73-'SPM = RF'!C78</f>
        <v>-6.621341982752782E-2</v>
      </c>
      <c r="Q78" s="534">
        <f>RF!F73-'SPM = RF'!F78</f>
        <v>-9.5201033600822549E-2</v>
      </c>
      <c r="R78" s="535">
        <f>RF!I73-'SPM = RF'!I78</f>
        <v>-0.16095663380570624</v>
      </c>
    </row>
    <row r="79" spans="1:18" x14ac:dyDescent="0.2">
      <c r="A79" s="180">
        <f t="shared" si="22"/>
        <v>2079</v>
      </c>
      <c r="B79" s="128">
        <f t="shared" si="23"/>
        <v>1.2</v>
      </c>
      <c r="C79" s="5">
        <f t="shared" si="19"/>
        <v>5.8675775493320481E-2</v>
      </c>
      <c r="D79" s="195">
        <f t="shared" si="13"/>
        <v>4.889647957776707E-2</v>
      </c>
      <c r="E79" s="128">
        <f t="shared" si="24"/>
        <v>4</v>
      </c>
      <c r="F79" s="5">
        <f t="shared" si="20"/>
        <v>8.4798328578956195E-2</v>
      </c>
      <c r="G79" s="4">
        <f t="shared" si="14"/>
        <v>2.1199582144739049E-2</v>
      </c>
      <c r="H79" s="128">
        <f t="shared" si="25"/>
        <v>1.7000000000000004</v>
      </c>
      <c r="I79" s="5">
        <f t="shared" si="21"/>
        <v>0.15292344754005072</v>
      </c>
      <c r="J79" s="4">
        <f t="shared" si="15"/>
        <v>8.9954969141206279E-2</v>
      </c>
      <c r="K79" s="128">
        <f t="shared" si="16"/>
        <v>6.9</v>
      </c>
      <c r="L79" s="19">
        <f t="shared" si="17"/>
        <v>0.29639755161232739</v>
      </c>
      <c r="M79" s="195">
        <f t="shared" si="18"/>
        <v>4.2956166900337302E-2</v>
      </c>
      <c r="N79" s="440"/>
      <c r="P79" s="533">
        <f>RF!C74-'SPM = RF'!C79</f>
        <v>-5.8675775493320481E-2</v>
      </c>
      <c r="Q79" s="534">
        <f>RF!F74-'SPM = RF'!F79</f>
        <v>-8.4798328578956195E-2</v>
      </c>
      <c r="R79" s="535">
        <f>RF!I74-'SPM = RF'!I79</f>
        <v>-0.15292344754005072</v>
      </c>
    </row>
    <row r="80" spans="1:18" x14ac:dyDescent="0.2">
      <c r="A80" s="180">
        <f t="shared" si="22"/>
        <v>2080</v>
      </c>
      <c r="B80" s="128">
        <f t="shared" si="23"/>
        <v>1.2</v>
      </c>
      <c r="C80" s="5">
        <f t="shared" si="19"/>
        <v>5.1984569538830849E-2</v>
      </c>
      <c r="D80" s="195">
        <f t="shared" si="13"/>
        <v>4.3320474615692377E-2</v>
      </c>
      <c r="E80" s="128">
        <f t="shared" si="24"/>
        <v>4</v>
      </c>
      <c r="F80" s="5">
        <f t="shared" si="20"/>
        <v>7.5514837253192746E-2</v>
      </c>
      <c r="G80" s="4">
        <f t="shared" si="14"/>
        <v>1.8878709313298186E-2</v>
      </c>
      <c r="H80" s="128">
        <f t="shared" si="25"/>
        <v>1.7000000000000004</v>
      </c>
      <c r="I80" s="5">
        <f t="shared" si="21"/>
        <v>0.14526253946734613</v>
      </c>
      <c r="J80" s="4">
        <f t="shared" si="15"/>
        <v>8.5448552627850644E-2</v>
      </c>
      <c r="K80" s="128">
        <f t="shared" si="16"/>
        <v>6.9</v>
      </c>
      <c r="L80" s="19">
        <f t="shared" si="17"/>
        <v>0.27276194625936973</v>
      </c>
      <c r="M80" s="195">
        <f t="shared" si="18"/>
        <v>3.9530716849184015E-2</v>
      </c>
      <c r="N80" s="440"/>
      <c r="P80" s="533">
        <f>RF!C75-'SPM = RF'!C80</f>
        <v>-5.1984569538830849E-2</v>
      </c>
      <c r="Q80" s="534">
        <f>RF!F75-'SPM = RF'!F80</f>
        <v>-7.5514837253192746E-2</v>
      </c>
      <c r="R80" s="535">
        <f>RF!I75-'SPM = RF'!I80</f>
        <v>-0.14526253946734613</v>
      </c>
    </row>
    <row r="81" spans="1:18" x14ac:dyDescent="0.2">
      <c r="A81" s="180">
        <f t="shared" si="22"/>
        <v>2081</v>
      </c>
      <c r="B81" s="128">
        <f t="shared" si="23"/>
        <v>1.2</v>
      </c>
      <c r="C81" s="5">
        <f t="shared" si="19"/>
        <v>4.6046402518191976E-2</v>
      </c>
      <c r="D81" s="195">
        <f t="shared" si="13"/>
        <v>3.8372002098493313E-2</v>
      </c>
      <c r="E81" s="128">
        <f t="shared" si="24"/>
        <v>4</v>
      </c>
      <c r="F81" s="5">
        <f t="shared" si="20"/>
        <v>6.7232560994653578E-2</v>
      </c>
      <c r="G81" s="4">
        <f t="shared" si="14"/>
        <v>1.6808140248663395E-2</v>
      </c>
      <c r="H81" s="128">
        <f t="shared" si="25"/>
        <v>1.7000000000000004</v>
      </c>
      <c r="I81" s="5">
        <f t="shared" si="21"/>
        <v>0.1379589538367787</v>
      </c>
      <c r="J81" s="4">
        <f t="shared" si="15"/>
        <v>8.1152325786340393E-2</v>
      </c>
      <c r="K81" s="128">
        <f t="shared" si="16"/>
        <v>6.9</v>
      </c>
      <c r="L81" s="19">
        <f t="shared" si="17"/>
        <v>0.25123791734962425</v>
      </c>
      <c r="M81" s="195">
        <f t="shared" si="18"/>
        <v>3.641129236951076E-2</v>
      </c>
      <c r="N81" s="440"/>
      <c r="P81" s="533">
        <f>RF!C76-'SPM = RF'!C81</f>
        <v>-4.6046402518191976E-2</v>
      </c>
      <c r="Q81" s="534">
        <f>RF!F76-'SPM = RF'!F81</f>
        <v>-6.7232560994653578E-2</v>
      </c>
      <c r="R81" s="535">
        <f>RF!I76-'SPM = RF'!I81</f>
        <v>-0.1379589538367787</v>
      </c>
    </row>
    <row r="82" spans="1:18" x14ac:dyDescent="0.2">
      <c r="A82" s="180">
        <f t="shared" si="22"/>
        <v>2082</v>
      </c>
      <c r="B82" s="128">
        <f t="shared" si="23"/>
        <v>1.2</v>
      </c>
      <c r="C82" s="5">
        <f t="shared" si="19"/>
        <v>4.0777943540004302E-2</v>
      </c>
      <c r="D82" s="195">
        <f t="shared" si="13"/>
        <v>3.3981619616670254E-2</v>
      </c>
      <c r="E82" s="128">
        <f t="shared" si="24"/>
        <v>4</v>
      </c>
      <c r="F82" s="5">
        <f t="shared" si="20"/>
        <v>5.9845602952988186E-2</v>
      </c>
      <c r="G82" s="4">
        <f t="shared" si="14"/>
        <v>1.4961400738247047E-2</v>
      </c>
      <c r="H82" s="128">
        <f t="shared" si="25"/>
        <v>1.7000000000000004</v>
      </c>
      <c r="I82" s="5">
        <f t="shared" si="21"/>
        <v>0.13099813746665623</v>
      </c>
      <c r="J82" s="4">
        <f t="shared" si="15"/>
        <v>7.7057727921562472E-2</v>
      </c>
      <c r="K82" s="128">
        <f t="shared" si="16"/>
        <v>6.9</v>
      </c>
      <c r="L82" s="19">
        <f t="shared" si="17"/>
        <v>0.23162168395964872</v>
      </c>
      <c r="M82" s="195">
        <f t="shared" si="18"/>
        <v>3.3568359994151989E-2</v>
      </c>
      <c r="N82" s="440"/>
      <c r="P82" s="533">
        <f>RF!C77-'SPM = RF'!C82</f>
        <v>-4.0777943540004302E-2</v>
      </c>
      <c r="Q82" s="534">
        <f>RF!F77-'SPM = RF'!F82</f>
        <v>-5.9845602952988186E-2</v>
      </c>
      <c r="R82" s="535">
        <f>RF!I77-'SPM = RF'!I82</f>
        <v>-0.13099813746665623</v>
      </c>
    </row>
    <row r="83" spans="1:18" x14ac:dyDescent="0.2">
      <c r="A83" s="180">
        <f t="shared" si="22"/>
        <v>2083</v>
      </c>
      <c r="B83" s="128">
        <f t="shared" si="23"/>
        <v>1.2</v>
      </c>
      <c r="C83" s="5">
        <f t="shared" si="19"/>
        <v>3.6104879637464615E-2</v>
      </c>
      <c r="D83" s="195">
        <f t="shared" si="13"/>
        <v>3.0087399697887179E-2</v>
      </c>
      <c r="E83" s="128">
        <f t="shared" si="24"/>
        <v>4</v>
      </c>
      <c r="F83" s="5">
        <f t="shared" si="20"/>
        <v>5.3258975397750152E-2</v>
      </c>
      <c r="G83" s="4">
        <f t="shared" si="14"/>
        <v>1.3314743849437538E-2</v>
      </c>
      <c r="H83" s="128">
        <f t="shared" si="25"/>
        <v>1.7000000000000004</v>
      </c>
      <c r="I83" s="5">
        <f t="shared" si="21"/>
        <v>0.12436594865152362</v>
      </c>
      <c r="J83" s="4">
        <f t="shared" si="15"/>
        <v>7.3156440383249172E-2</v>
      </c>
      <c r="K83" s="128">
        <f t="shared" si="16"/>
        <v>6.9</v>
      </c>
      <c r="L83" s="19">
        <f t="shared" si="17"/>
        <v>0.21372980368673838</v>
      </c>
      <c r="M83" s="195">
        <f t="shared" si="18"/>
        <v>3.0975333867643243E-2</v>
      </c>
      <c r="N83" s="440"/>
      <c r="P83" s="533">
        <f>RF!C78-'SPM = RF'!C83</f>
        <v>-3.6104879637464615E-2</v>
      </c>
      <c r="Q83" s="534">
        <f>RF!F78-'SPM = RF'!F83</f>
        <v>-5.3258975397750152E-2</v>
      </c>
      <c r="R83" s="535">
        <f>RF!I78-'SPM = RF'!I83</f>
        <v>-0.12436594865152362</v>
      </c>
    </row>
    <row r="84" spans="1:18" x14ac:dyDescent="0.2">
      <c r="A84" s="180">
        <f t="shared" si="22"/>
        <v>2084</v>
      </c>
      <c r="B84" s="128">
        <f t="shared" si="23"/>
        <v>1.2</v>
      </c>
      <c r="C84" s="5">
        <f t="shared" si="19"/>
        <v>3.1960969559129859E-2</v>
      </c>
      <c r="D84" s="195">
        <f t="shared" si="13"/>
        <v>2.6634141299274883E-2</v>
      </c>
      <c r="E84" s="128">
        <f t="shared" si="24"/>
        <v>4</v>
      </c>
      <c r="F84" s="5">
        <f t="shared" si="20"/>
        <v>4.7387517466927098E-2</v>
      </c>
      <c r="G84" s="4">
        <f t="shared" si="14"/>
        <v>1.1846879366731775E-2</v>
      </c>
      <c r="H84" s="128">
        <f t="shared" si="25"/>
        <v>1.7000000000000004</v>
      </c>
      <c r="I84" s="5">
        <f t="shared" si="21"/>
        <v>0.11804866333200348</v>
      </c>
      <c r="J84" s="4">
        <f t="shared" si="15"/>
        <v>6.9440390195296145E-2</v>
      </c>
      <c r="K84" s="128">
        <f t="shared" si="16"/>
        <v>6.9</v>
      </c>
      <c r="L84" s="19">
        <f t="shared" si="17"/>
        <v>0.19739715035806044</v>
      </c>
      <c r="M84" s="195">
        <f t="shared" si="18"/>
        <v>2.8608282660588468E-2</v>
      </c>
      <c r="N84" s="440"/>
      <c r="P84" s="533">
        <f>RF!C79-'SPM = RF'!C84</f>
        <v>-3.1960969559129859E-2</v>
      </c>
      <c r="Q84" s="534">
        <f>RF!F79-'SPM = RF'!F84</f>
        <v>-4.7387517466927098E-2</v>
      </c>
      <c r="R84" s="535">
        <f>RF!I79-'SPM = RF'!I84</f>
        <v>-0.11804866333200348</v>
      </c>
    </row>
    <row r="85" spans="1:18" x14ac:dyDescent="0.2">
      <c r="A85" s="180">
        <f t="shared" si="22"/>
        <v>2085</v>
      </c>
      <c r="B85" s="128">
        <f t="shared" si="23"/>
        <v>1.2</v>
      </c>
      <c r="C85" s="5">
        <f t="shared" si="19"/>
        <v>2.8287192408612633E-2</v>
      </c>
      <c r="D85" s="195">
        <f t="shared" si="13"/>
        <v>2.3572660340510528E-2</v>
      </c>
      <c r="E85" s="128">
        <f t="shared" si="24"/>
        <v>4</v>
      </c>
      <c r="F85" s="5">
        <f t="shared" si="20"/>
        <v>4.2154914193807458E-2</v>
      </c>
      <c r="G85" s="4">
        <f t="shared" si="14"/>
        <v>1.0538728548451864E-2</v>
      </c>
      <c r="H85" s="128">
        <f t="shared" si="25"/>
        <v>1.7000000000000004</v>
      </c>
      <c r="I85" s="5">
        <f t="shared" si="21"/>
        <v>0.11203297883795638</v>
      </c>
      <c r="J85" s="4">
        <f t="shared" si="15"/>
        <v>6.5901752257621377E-2</v>
      </c>
      <c r="K85" s="128">
        <f t="shared" si="16"/>
        <v>6.9</v>
      </c>
      <c r="L85" s="19">
        <f t="shared" si="17"/>
        <v>0.18247508544037647</v>
      </c>
      <c r="M85" s="195">
        <f t="shared" si="18"/>
        <v>2.64456645565763E-2</v>
      </c>
      <c r="N85" s="440"/>
      <c r="P85" s="533">
        <f>RF!C80-'SPM = RF'!C85</f>
        <v>-2.8287192408612633E-2</v>
      </c>
      <c r="Q85" s="534">
        <f>RF!F80-'SPM = RF'!F85</f>
        <v>-4.2154914193807458E-2</v>
      </c>
      <c r="R85" s="535">
        <f>RF!I80-'SPM = RF'!I85</f>
        <v>-0.11203297883795638</v>
      </c>
    </row>
    <row r="86" spans="1:18" x14ac:dyDescent="0.2">
      <c r="A86" s="180">
        <f t="shared" si="22"/>
        <v>2086</v>
      </c>
      <c r="B86" s="128">
        <f t="shared" si="23"/>
        <v>1.2</v>
      </c>
      <c r="C86" s="5">
        <f t="shared" si="19"/>
        <v>2.5030982307845701E-2</v>
      </c>
      <c r="D86" s="195">
        <f t="shared" si="13"/>
        <v>2.0859151923204752E-2</v>
      </c>
      <c r="E86" s="128">
        <f t="shared" si="24"/>
        <v>4</v>
      </c>
      <c r="F86" s="5">
        <f t="shared" si="20"/>
        <v>3.7492808260227717E-2</v>
      </c>
      <c r="G86" s="4">
        <f t="shared" si="14"/>
        <v>9.3732020650569292E-3</v>
      </c>
      <c r="H86" s="128">
        <f t="shared" si="25"/>
        <v>1.7000000000000004</v>
      </c>
      <c r="I86" s="5">
        <f t="shared" si="21"/>
        <v>0.10630601548728791</v>
      </c>
      <c r="J86" s="4">
        <f t="shared" si="15"/>
        <v>6.2532950286639938E-2</v>
      </c>
      <c r="K86" s="128">
        <f t="shared" si="16"/>
        <v>6.9</v>
      </c>
      <c r="L86" s="19">
        <f t="shared" si="17"/>
        <v>0.16882980605536133</v>
      </c>
      <c r="M86" s="195">
        <f t="shared" si="18"/>
        <v>2.4468087834110336E-2</v>
      </c>
      <c r="N86" s="440"/>
      <c r="P86" s="533">
        <f>RF!C81-'SPM = RF'!C86</f>
        <v>-2.5030982307845701E-2</v>
      </c>
      <c r="Q86" s="534">
        <f>RF!F81-'SPM = RF'!F86</f>
        <v>-3.7492808260227717E-2</v>
      </c>
      <c r="R86" s="535">
        <f>RF!I81-'SPM = RF'!I86</f>
        <v>-0.10630601548728791</v>
      </c>
    </row>
    <row r="87" spans="1:18" x14ac:dyDescent="0.2">
      <c r="A87" s="180">
        <f t="shared" si="22"/>
        <v>2087</v>
      </c>
      <c r="B87" s="128">
        <f t="shared" si="23"/>
        <v>1.2</v>
      </c>
      <c r="C87" s="5">
        <f t="shared" si="19"/>
        <v>2.2145540969742722E-2</v>
      </c>
      <c r="D87" s="195">
        <f t="shared" si="13"/>
        <v>1.8454617474785603E-2</v>
      </c>
      <c r="E87" s="128">
        <f t="shared" si="24"/>
        <v>4</v>
      </c>
      <c r="F87" s="5">
        <f t="shared" si="20"/>
        <v>3.3339996497114277E-2</v>
      </c>
      <c r="G87" s="4">
        <f t="shared" si="14"/>
        <v>8.3349991242785693E-3</v>
      </c>
      <c r="H87" s="128">
        <f t="shared" si="25"/>
        <v>1.7000000000000004</v>
      </c>
      <c r="I87" s="5">
        <f t="shared" si="21"/>
        <v>0.10085531629667011</v>
      </c>
      <c r="J87" s="4">
        <f t="shared" si="15"/>
        <v>5.9326656645100048E-2</v>
      </c>
      <c r="K87" s="128">
        <f t="shared" si="16"/>
        <v>6.9</v>
      </c>
      <c r="L87" s="19">
        <f t="shared" si="17"/>
        <v>0.1563408537635271</v>
      </c>
      <c r="M87" s="195">
        <f t="shared" si="18"/>
        <v>2.265809474833726E-2</v>
      </c>
      <c r="N87" s="440"/>
      <c r="P87" s="533">
        <f>RF!C82-'SPM = RF'!C87</f>
        <v>-2.2145540969742722E-2</v>
      </c>
      <c r="Q87" s="534">
        <f>RF!F82-'SPM = RF'!F87</f>
        <v>-3.3339996497114277E-2</v>
      </c>
      <c r="R87" s="535">
        <f>RF!I82-'SPM = RF'!I87</f>
        <v>-0.10085531629667011</v>
      </c>
    </row>
    <row r="88" spans="1:18" x14ac:dyDescent="0.2">
      <c r="A88" s="180">
        <f t="shared" si="22"/>
        <v>2088</v>
      </c>
      <c r="B88" s="128">
        <f t="shared" si="23"/>
        <v>1.2</v>
      </c>
      <c r="C88" s="5">
        <f t="shared" si="19"/>
        <v>1.9589220739073931E-2</v>
      </c>
      <c r="D88" s="195">
        <f t="shared" si="13"/>
        <v>1.6324350615894944E-2</v>
      </c>
      <c r="E88" s="128">
        <f t="shared" si="24"/>
        <v>4</v>
      </c>
      <c r="F88" s="5">
        <f t="shared" si="20"/>
        <v>2.9641703714414186E-2</v>
      </c>
      <c r="G88" s="4">
        <f t="shared" si="14"/>
        <v>7.4104259286035465E-3</v>
      </c>
      <c r="H88" s="128">
        <f t="shared" si="25"/>
        <v>1.7000000000000004</v>
      </c>
      <c r="I88" s="5">
        <f t="shared" si="21"/>
        <v>9.5668845036618322E-2</v>
      </c>
      <c r="J88" s="4">
        <f t="shared" si="15"/>
        <v>5.6275791198010766E-2</v>
      </c>
      <c r="K88" s="128">
        <f t="shared" si="16"/>
        <v>6.9</v>
      </c>
      <c r="L88" s="19">
        <f t="shared" si="17"/>
        <v>0.14489976949010644</v>
      </c>
      <c r="M88" s="195">
        <f t="shared" si="18"/>
        <v>2.0999966592769048E-2</v>
      </c>
      <c r="N88" s="440"/>
      <c r="P88" s="533">
        <f>RF!C83-'SPM = RF'!C88</f>
        <v>-1.9589220739073931E-2</v>
      </c>
      <c r="Q88" s="534">
        <f>RF!F83-'SPM = RF'!F88</f>
        <v>-2.9641703714414186E-2</v>
      </c>
      <c r="R88" s="535">
        <f>RF!I83-'SPM = RF'!I88</f>
        <v>-9.5668845036618322E-2</v>
      </c>
    </row>
    <row r="89" spans="1:18" x14ac:dyDescent="0.2">
      <c r="A89" s="180">
        <f t="shared" si="22"/>
        <v>2089</v>
      </c>
      <c r="B89" s="128">
        <f t="shared" si="23"/>
        <v>1.2</v>
      </c>
      <c r="C89" s="5">
        <f t="shared" si="19"/>
        <v>1.7324971293372987E-2</v>
      </c>
      <c r="D89" s="195">
        <f t="shared" si="13"/>
        <v>1.4437476077810823E-2</v>
      </c>
      <c r="E89" s="128">
        <f t="shared" si="24"/>
        <v>4</v>
      </c>
      <c r="F89" s="5">
        <f t="shared" si="20"/>
        <v>2.6348926986176968E-2</v>
      </c>
      <c r="G89" s="4">
        <f t="shared" si="14"/>
        <v>6.587231746544242E-3</v>
      </c>
      <c r="H89" s="128">
        <f t="shared" si="25"/>
        <v>1.7000000000000004</v>
      </c>
      <c r="I89" s="5">
        <f t="shared" si="21"/>
        <v>9.0734982841569778E-2</v>
      </c>
      <c r="J89" s="4">
        <f t="shared" si="15"/>
        <v>5.3373519318570442E-2</v>
      </c>
      <c r="K89" s="128">
        <f t="shared" si="16"/>
        <v>6.9</v>
      </c>
      <c r="L89" s="19">
        <f t="shared" si="17"/>
        <v>0.13440888112111973</v>
      </c>
      <c r="M89" s="195">
        <f t="shared" si="18"/>
        <v>1.9479547988568078E-2</v>
      </c>
      <c r="N89" s="440"/>
      <c r="P89" s="533">
        <f>RF!C84-'SPM = RF'!C89</f>
        <v>-1.7324971293372987E-2</v>
      </c>
      <c r="Q89" s="534">
        <f>RF!F84-'SPM = RF'!F89</f>
        <v>-2.6348926986176968E-2</v>
      </c>
      <c r="R89" s="535">
        <f>RF!I84-'SPM = RF'!I89</f>
        <v>-9.0734982841569778E-2</v>
      </c>
    </row>
    <row r="90" spans="1:18" x14ac:dyDescent="0.2">
      <c r="A90" s="180">
        <f t="shared" si="22"/>
        <v>2090</v>
      </c>
      <c r="B90" s="128">
        <f t="shared" si="23"/>
        <v>1.2</v>
      </c>
      <c r="C90" s="5">
        <f t="shared" si="19"/>
        <v>1.5319843787966067E-2</v>
      </c>
      <c r="D90" s="195">
        <f t="shared" si="13"/>
        <v>1.2766536489971723E-2</v>
      </c>
      <c r="E90" s="128">
        <f t="shared" si="24"/>
        <v>4</v>
      </c>
      <c r="F90" s="5">
        <f t="shared" si="20"/>
        <v>2.3417844038626234E-2</v>
      </c>
      <c r="G90" s="4">
        <f t="shared" si="14"/>
        <v>5.8544610096565586E-3</v>
      </c>
      <c r="H90" s="128">
        <f t="shared" si="25"/>
        <v>1.7000000000000004</v>
      </c>
      <c r="I90" s="5">
        <f t="shared" si="21"/>
        <v>8.604252356546449E-2</v>
      </c>
      <c r="J90" s="4">
        <f t="shared" si="15"/>
        <v>5.0613249156155574E-2</v>
      </c>
      <c r="K90" s="128">
        <f t="shared" si="16"/>
        <v>6.9</v>
      </c>
      <c r="L90" s="19">
        <f t="shared" si="17"/>
        <v>0.12478021139205679</v>
      </c>
      <c r="M90" s="195">
        <f t="shared" si="18"/>
        <v>1.8084088607544461E-2</v>
      </c>
      <c r="N90" s="440"/>
      <c r="P90" s="533">
        <f>RF!C85-'SPM = RF'!C90</f>
        <v>-1.5319843787966067E-2</v>
      </c>
      <c r="Q90" s="534">
        <f>RF!F85-'SPM = RF'!F90</f>
        <v>-2.3417844038626234E-2</v>
      </c>
      <c r="R90" s="535">
        <f>RF!I85-'SPM = RF'!I90</f>
        <v>-8.604252356546449E-2</v>
      </c>
    </row>
    <row r="91" spans="1:18" x14ac:dyDescent="0.2">
      <c r="A91" s="180">
        <f t="shared" si="22"/>
        <v>2091</v>
      </c>
      <c r="B91" s="128">
        <f t="shared" si="23"/>
        <v>1.2</v>
      </c>
      <c r="C91" s="5">
        <f t="shared" si="19"/>
        <v>1.3544546780934863E-2</v>
      </c>
      <c r="D91" s="195">
        <f t="shared" si="13"/>
        <v>1.1287122317445719E-2</v>
      </c>
      <c r="E91" s="128">
        <f t="shared" si="24"/>
        <v>4</v>
      </c>
      <c r="F91" s="5">
        <f t="shared" si="20"/>
        <v>2.0809279886536941E-2</v>
      </c>
      <c r="G91" s="4">
        <f t="shared" si="14"/>
        <v>5.2023199716342353E-3</v>
      </c>
      <c r="H91" s="128">
        <f t="shared" si="25"/>
        <v>1.7000000000000004</v>
      </c>
      <c r="I91" s="5">
        <f t="shared" si="21"/>
        <v>8.1580668055155625E-2</v>
      </c>
      <c r="J91" s="4">
        <f t="shared" si="15"/>
        <v>4.7988628267738594E-2</v>
      </c>
      <c r="K91" s="128">
        <f t="shared" si="16"/>
        <v>6.9</v>
      </c>
      <c r="L91" s="19">
        <f t="shared" si="17"/>
        <v>0.11593449472262743</v>
      </c>
      <c r="M91" s="195">
        <f t="shared" si="18"/>
        <v>1.6802100684438756E-2</v>
      </c>
      <c r="N91" s="440"/>
      <c r="P91" s="533">
        <f>RF!C86-'SPM = RF'!C91</f>
        <v>-1.3544546780934863E-2</v>
      </c>
      <c r="Q91" s="534">
        <f>RF!F86-'SPM = RF'!F91</f>
        <v>-2.0809279886536941E-2</v>
      </c>
      <c r="R91" s="535">
        <f>RF!I86-'SPM = RF'!I91</f>
        <v>-8.1580668055155625E-2</v>
      </c>
    </row>
    <row r="92" spans="1:18" x14ac:dyDescent="0.2">
      <c r="A92" s="180">
        <f t="shared" si="22"/>
        <v>2092</v>
      </c>
      <c r="B92" s="128">
        <f t="shared" si="23"/>
        <v>1.2</v>
      </c>
      <c r="C92" s="5">
        <f t="shared" si="19"/>
        <v>1.197304878569827E-2</v>
      </c>
      <c r="D92" s="195">
        <f t="shared" si="13"/>
        <v>9.9775406547485592E-3</v>
      </c>
      <c r="E92" s="128">
        <f t="shared" si="24"/>
        <v>4</v>
      </c>
      <c r="F92" s="5">
        <f t="shared" si="20"/>
        <v>1.8488226334384072E-2</v>
      </c>
      <c r="G92" s="4">
        <f t="shared" si="14"/>
        <v>4.6220565835960181E-3</v>
      </c>
      <c r="H92" s="128">
        <f t="shared" si="25"/>
        <v>1.7000000000000004</v>
      </c>
      <c r="I92" s="5">
        <f t="shared" si="21"/>
        <v>7.7339017497082496E-2</v>
      </c>
      <c r="J92" s="4">
        <f t="shared" si="15"/>
        <v>4.5493539704166162E-2</v>
      </c>
      <c r="K92" s="128">
        <f t="shared" si="16"/>
        <v>6.9</v>
      </c>
      <c r="L92" s="19">
        <f t="shared" si="17"/>
        <v>0.10780029261716484</v>
      </c>
      <c r="M92" s="195">
        <f t="shared" si="18"/>
        <v>1.5623230814081859E-2</v>
      </c>
      <c r="N92" s="440"/>
      <c r="P92" s="533">
        <f>RF!C87-'SPM = RF'!C92</f>
        <v>-1.197304878569827E-2</v>
      </c>
      <c r="Q92" s="534">
        <f>RF!F87-'SPM = RF'!F92</f>
        <v>-1.8488226334384072E-2</v>
      </c>
      <c r="R92" s="535">
        <f>RF!I87-'SPM = RF'!I92</f>
        <v>-7.7339017497082496E-2</v>
      </c>
    </row>
    <row r="93" spans="1:18" x14ac:dyDescent="0.2">
      <c r="A93" s="180">
        <f t="shared" si="22"/>
        <v>2093</v>
      </c>
      <c r="B93" s="128">
        <f t="shared" si="23"/>
        <v>1.2</v>
      </c>
      <c r="C93" s="5">
        <f t="shared" si="19"/>
        <v>1.0582222772149097E-2</v>
      </c>
      <c r="D93" s="195">
        <f t="shared" si="13"/>
        <v>8.8185189767909147E-3</v>
      </c>
      <c r="E93" s="128">
        <f t="shared" si="24"/>
        <v>4</v>
      </c>
      <c r="F93" s="5">
        <f t="shared" si="20"/>
        <v>1.6423409402442912E-2</v>
      </c>
      <c r="G93" s="4">
        <f t="shared" si="14"/>
        <v>4.1058523506107281E-3</v>
      </c>
      <c r="H93" s="128">
        <f t="shared" si="25"/>
        <v>1.7000000000000004</v>
      </c>
      <c r="I93" s="5">
        <f t="shared" si="21"/>
        <v>7.3307565977371869E-2</v>
      </c>
      <c r="J93" s="4">
        <f t="shared" si="15"/>
        <v>4.3122097633748149E-2</v>
      </c>
      <c r="K93" s="128">
        <f t="shared" si="16"/>
        <v>6.9</v>
      </c>
      <c r="L93" s="19">
        <f t="shared" si="17"/>
        <v>0.10031319815196388</v>
      </c>
      <c r="M93" s="195">
        <f t="shared" si="18"/>
        <v>1.453814465970491E-2</v>
      </c>
      <c r="N93" s="440"/>
      <c r="P93" s="533">
        <f>RF!C88-'SPM = RF'!C93</f>
        <v>-1.0582222772149097E-2</v>
      </c>
      <c r="Q93" s="534">
        <f>RF!F88-'SPM = RF'!F93</f>
        <v>-1.6423409402442912E-2</v>
      </c>
      <c r="R93" s="535">
        <f>RF!I88-'SPM = RF'!I93</f>
        <v>-7.3307565977371869E-2</v>
      </c>
    </row>
    <row r="94" spans="1:18" x14ac:dyDescent="0.2">
      <c r="A94" s="180">
        <f t="shared" si="22"/>
        <v>2094</v>
      </c>
      <c r="B94" s="128">
        <f t="shared" si="23"/>
        <v>1.2</v>
      </c>
      <c r="C94" s="5">
        <f t="shared" si="19"/>
        <v>9.3515283734813826E-3</v>
      </c>
      <c r="D94" s="195">
        <f t="shared" si="13"/>
        <v>7.792940311234486E-3</v>
      </c>
      <c r="E94" s="128">
        <f t="shared" si="24"/>
        <v>4</v>
      </c>
      <c r="F94" s="5">
        <f t="shared" si="20"/>
        <v>1.4586900153949589E-2</v>
      </c>
      <c r="G94" s="4">
        <f t="shared" si="14"/>
        <v>3.6467250384873973E-3</v>
      </c>
      <c r="H94" s="128">
        <f t="shared" si="25"/>
        <v>1.7000000000000004</v>
      </c>
      <c r="I94" s="5">
        <f t="shared" si="21"/>
        <v>6.9476692381473359E-2</v>
      </c>
      <c r="J94" s="4">
        <f t="shared" si="15"/>
        <v>4.0868642577337258E-2</v>
      </c>
      <c r="K94" s="128">
        <f t="shared" si="16"/>
        <v>6.9</v>
      </c>
      <c r="L94" s="19">
        <f t="shared" si="17"/>
        <v>9.3415120908904331E-2</v>
      </c>
      <c r="M94" s="195">
        <f t="shared" si="18"/>
        <v>1.3538423320131061E-2</v>
      </c>
      <c r="N94" s="440"/>
      <c r="P94" s="533">
        <f>RF!C89-'SPM = RF'!C94</f>
        <v>-9.3515283734813826E-3</v>
      </c>
      <c r="Q94" s="534">
        <f>RF!F89-'SPM = RF'!F94</f>
        <v>-1.4586900153949589E-2</v>
      </c>
      <c r="R94" s="535">
        <f>RF!I89-'SPM = RF'!I94</f>
        <v>-6.9476692381473359E-2</v>
      </c>
    </row>
    <row r="95" spans="1:18" x14ac:dyDescent="0.2">
      <c r="A95" s="180">
        <f t="shared" si="22"/>
        <v>2095</v>
      </c>
      <c r="B95" s="128">
        <f t="shared" si="23"/>
        <v>1.2</v>
      </c>
      <c r="C95" s="5">
        <f t="shared" si="19"/>
        <v>8.2627279567221643E-3</v>
      </c>
      <c r="D95" s="195">
        <f t="shared" si="13"/>
        <v>6.8856066306018041E-3</v>
      </c>
      <c r="E95" s="128">
        <f t="shared" si="24"/>
        <v>4</v>
      </c>
      <c r="F95" s="5">
        <f t="shared" si="20"/>
        <v>1.2953764787736924E-2</v>
      </c>
      <c r="G95" s="4">
        <f t="shared" si="14"/>
        <v>3.238441196934231E-3</v>
      </c>
      <c r="H95" s="128">
        <f t="shared" si="25"/>
        <v>1.7000000000000004</v>
      </c>
      <c r="I95" s="5">
        <f t="shared" si="21"/>
        <v>6.5837151746648059E-2</v>
      </c>
      <c r="J95" s="4">
        <f t="shared" si="15"/>
        <v>3.8727736321557675E-2</v>
      </c>
      <c r="K95" s="128">
        <f t="shared" si="16"/>
        <v>6.9</v>
      </c>
      <c r="L95" s="19">
        <f t="shared" si="17"/>
        <v>8.7053644491107141E-2</v>
      </c>
      <c r="M95" s="195">
        <f t="shared" si="18"/>
        <v>1.2616470216102484E-2</v>
      </c>
      <c r="N95" s="440"/>
      <c r="P95" s="533">
        <f>RF!C90-'SPM = RF'!C95</f>
        <v>-8.2627279567221643E-3</v>
      </c>
      <c r="Q95" s="534">
        <f>RF!F90-'SPM = RF'!F95</f>
        <v>-1.2953764787736924E-2</v>
      </c>
      <c r="R95" s="535">
        <f>RF!I90-'SPM = RF'!I95</f>
        <v>-6.5837151746648059E-2</v>
      </c>
    </row>
    <row r="96" spans="1:18" x14ac:dyDescent="0.2">
      <c r="A96" s="180">
        <f t="shared" si="22"/>
        <v>2096</v>
      </c>
      <c r="B96" s="128">
        <f t="shared" si="23"/>
        <v>1.2</v>
      </c>
      <c r="C96" s="5">
        <f t="shared" si="19"/>
        <v>7.2996330825201919E-3</v>
      </c>
      <c r="D96" s="195">
        <f t="shared" si="13"/>
        <v>6.0830275687668266E-3</v>
      </c>
      <c r="E96" s="128">
        <f t="shared" si="24"/>
        <v>4</v>
      </c>
      <c r="F96" s="5">
        <f t="shared" si="20"/>
        <v>1.1501750221893814E-2</v>
      </c>
      <c r="G96" s="4">
        <f t="shared" si="14"/>
        <v>2.8754375554734535E-3</v>
      </c>
      <c r="H96" s="128">
        <f t="shared" si="25"/>
        <v>1.7000000000000004</v>
      </c>
      <c r="I96" s="5">
        <f t="shared" si="21"/>
        <v>6.2380066168949311E-2</v>
      </c>
      <c r="J96" s="4">
        <f t="shared" si="15"/>
        <v>3.6694156569970174E-2</v>
      </c>
      <c r="K96" s="128">
        <f t="shared" si="16"/>
        <v>6.9</v>
      </c>
      <c r="L96" s="19">
        <f t="shared" si="17"/>
        <v>8.118144947336331E-2</v>
      </c>
      <c r="M96" s="195">
        <f t="shared" si="18"/>
        <v>1.1765427459907725E-2</v>
      </c>
      <c r="N96" s="440"/>
      <c r="P96" s="533">
        <f>RF!C91-'SPM = RF'!C96</f>
        <v>-7.2996330825201919E-3</v>
      </c>
      <c r="Q96" s="534">
        <f>RF!F91-'SPM = RF'!F96</f>
        <v>-1.1501750221893814E-2</v>
      </c>
      <c r="R96" s="535">
        <f>RF!I91-'SPM = RF'!I96</f>
        <v>-6.2380066168949311E-2</v>
      </c>
    </row>
    <row r="97" spans="1:22" x14ac:dyDescent="0.2">
      <c r="A97" s="180">
        <f t="shared" si="22"/>
        <v>2097</v>
      </c>
      <c r="B97" s="128">
        <f t="shared" si="23"/>
        <v>1.2</v>
      </c>
      <c r="C97" s="5">
        <f t="shared" si="19"/>
        <v>6.447878215902654E-3</v>
      </c>
      <c r="D97" s="195">
        <f t="shared" si="13"/>
        <v>5.3732318465855456E-3</v>
      </c>
      <c r="E97" s="128">
        <f t="shared" si="24"/>
        <v>4</v>
      </c>
      <c r="F97" s="5">
        <f t="shared" si="20"/>
        <v>1.0211001728834032E-2</v>
      </c>
      <c r="G97" s="4">
        <f t="shared" si="14"/>
        <v>2.552750432208508E-3</v>
      </c>
      <c r="H97" s="128">
        <f t="shared" si="25"/>
        <v>1.7000000000000004</v>
      </c>
      <c r="I97" s="5">
        <f t="shared" si="21"/>
        <v>5.9096915355605795E-2</v>
      </c>
      <c r="J97" s="4">
        <f t="shared" si="15"/>
        <v>3.476289138565046E-2</v>
      </c>
      <c r="K97" s="128">
        <f t="shared" si="16"/>
        <v>6.9</v>
      </c>
      <c r="L97" s="19">
        <f t="shared" si="17"/>
        <v>7.5755795300342488E-2</v>
      </c>
      <c r="M97" s="195">
        <f t="shared" si="18"/>
        <v>1.0979100768165577E-2</v>
      </c>
      <c r="N97" s="440"/>
      <c r="P97" s="533">
        <f>RF!C92-'SPM = RF'!C97</f>
        <v>-6.447878215902654E-3</v>
      </c>
      <c r="Q97" s="534">
        <f>RF!F92-'SPM = RF'!F97</f>
        <v>-1.0211001728834032E-2</v>
      </c>
      <c r="R97" s="535">
        <f>RF!I92-'SPM = RF'!I97</f>
        <v>-5.9096915355605795E-2</v>
      </c>
    </row>
    <row r="98" spans="1:22" x14ac:dyDescent="0.2">
      <c r="A98" s="180">
        <f t="shared" si="22"/>
        <v>2098</v>
      </c>
      <c r="B98" s="128">
        <f t="shared" si="23"/>
        <v>1.2</v>
      </c>
      <c r="C98" s="5">
        <f t="shared" si="19"/>
        <v>5.6947188565521986E-3</v>
      </c>
      <c r="D98" s="195">
        <f t="shared" si="13"/>
        <v>4.7455990471268325E-3</v>
      </c>
      <c r="E98" s="128">
        <f t="shared" si="24"/>
        <v>4</v>
      </c>
      <c r="F98" s="5">
        <f t="shared" si="20"/>
        <v>9.0638094916729584E-3</v>
      </c>
      <c r="G98" s="4">
        <f t="shared" si="14"/>
        <v>2.2659523729182396E-3</v>
      </c>
      <c r="H98" s="128">
        <f t="shared" si="25"/>
        <v>1.7000000000000004</v>
      </c>
      <c r="I98" s="5">
        <f t="shared" si="21"/>
        <v>5.5979526904093024E-2</v>
      </c>
      <c r="J98" s="4">
        <f t="shared" si="15"/>
        <v>3.2929133472995892E-2</v>
      </c>
      <c r="K98" s="128">
        <f t="shared" si="16"/>
        <v>6.9</v>
      </c>
      <c r="L98" s="19">
        <f t="shared" si="17"/>
        <v>7.0738055252318188E-2</v>
      </c>
      <c r="M98" s="195">
        <f t="shared" si="18"/>
        <v>1.025189206555336E-2</v>
      </c>
      <c r="N98" s="440"/>
      <c r="P98" s="533">
        <f>RF!C93-'SPM = RF'!C98</f>
        <v>-5.6947188565521986E-3</v>
      </c>
      <c r="Q98" s="534">
        <f>RF!F93-'SPM = RF'!F98</f>
        <v>-9.0638094916729584E-3</v>
      </c>
      <c r="R98" s="535">
        <f>RF!I93-'SPM = RF'!I98</f>
        <v>-5.5979526904093024E-2</v>
      </c>
    </row>
    <row r="99" spans="1:22" x14ac:dyDescent="0.2">
      <c r="A99" s="180">
        <f t="shared" si="22"/>
        <v>2099</v>
      </c>
      <c r="B99" s="128">
        <f t="shared" si="23"/>
        <v>1.2</v>
      </c>
      <c r="C99" s="5">
        <f t="shared" si="19"/>
        <v>5.0288515366908593E-3</v>
      </c>
      <c r="D99" s="195">
        <f t="shared" si="13"/>
        <v>4.1907096139090494E-3</v>
      </c>
      <c r="E99" s="128">
        <f t="shared" si="24"/>
        <v>4</v>
      </c>
      <c r="F99" s="5">
        <f t="shared" si="20"/>
        <v>8.0443812371916584E-3</v>
      </c>
      <c r="G99" s="4">
        <f t="shared" si="14"/>
        <v>2.0110953092979146E-3</v>
      </c>
      <c r="H99" s="128">
        <f t="shared" si="25"/>
        <v>1.7000000000000004</v>
      </c>
      <c r="I99" s="5">
        <f t="shared" si="21"/>
        <v>5.302006638022505E-2</v>
      </c>
      <c r="J99" s="4">
        <f t="shared" si="15"/>
        <v>3.1188274341308844E-2</v>
      </c>
      <c r="K99" s="128">
        <f t="shared" si="16"/>
        <v>6.9</v>
      </c>
      <c r="L99" s="19">
        <f t="shared" si="17"/>
        <v>6.6093299154107568E-2</v>
      </c>
      <c r="M99" s="195">
        <f t="shared" si="18"/>
        <v>9.5787390078416763E-3</v>
      </c>
      <c r="N99" s="440"/>
      <c r="P99" s="533">
        <f>RF!C94-'SPM = RF'!C99</f>
        <v>-5.0288515366908593E-3</v>
      </c>
      <c r="Q99" s="534">
        <f>RF!F94-'SPM = RF'!F99</f>
        <v>-8.0443812371916584E-3</v>
      </c>
      <c r="R99" s="535">
        <f>RF!I94-'SPM = RF'!I99</f>
        <v>-5.302006638022505E-2</v>
      </c>
    </row>
    <row r="100" spans="1:22" ht="13.5" thickBot="1" x14ac:dyDescent="0.25">
      <c r="A100" s="498">
        <f t="shared" si="22"/>
        <v>2100</v>
      </c>
      <c r="B100" s="499">
        <f t="shared" si="23"/>
        <v>1.2</v>
      </c>
      <c r="C100" s="500">
        <f t="shared" si="19"/>
        <v>4.4402533888797044E-3</v>
      </c>
      <c r="D100" s="204">
        <f t="shared" si="13"/>
        <v>3.7002111573997539E-3</v>
      </c>
      <c r="E100" s="499">
        <f t="shared" si="24"/>
        <v>4</v>
      </c>
      <c r="F100" s="500">
        <f t="shared" si="20"/>
        <v>7.1386383631542941E-3</v>
      </c>
      <c r="G100" s="501">
        <f t="shared" si="14"/>
        <v>1.7846595907885735E-3</v>
      </c>
      <c r="H100" s="499">
        <f t="shared" si="25"/>
        <v>1.7000000000000004</v>
      </c>
      <c r="I100" s="500">
        <f t="shared" si="21"/>
        <v>5.0211027259600138E-2</v>
      </c>
      <c r="J100" s="501">
        <f t="shared" si="15"/>
        <v>2.9535898388000074E-2</v>
      </c>
      <c r="K100" s="499">
        <f t="shared" si="16"/>
        <v>6.9</v>
      </c>
      <c r="L100" s="268">
        <f t="shared" si="17"/>
        <v>6.1789919011634137E-2</v>
      </c>
      <c r="M100" s="204">
        <f t="shared" si="18"/>
        <v>8.9550607263237866E-3</v>
      </c>
      <c r="N100" s="441"/>
      <c r="P100" s="533">
        <f>RF!C95-'SPM = RF'!C100</f>
        <v>-4.4402533888797044E-3</v>
      </c>
      <c r="Q100" s="534">
        <f>RF!F95-'SPM = RF'!F100</f>
        <v>-7.1386383631542941E-3</v>
      </c>
      <c r="R100" s="535">
        <f>RF!I95-'SPM = RF'!I100</f>
        <v>-5.0211027259600138E-2</v>
      </c>
    </row>
    <row r="101" spans="1:22" ht="13.5" thickBot="1" x14ac:dyDescent="0.25">
      <c r="A101" s="489" t="s">
        <v>1</v>
      </c>
      <c r="B101" s="197"/>
      <c r="C101" s="140">
        <f>SUM(C51:C100)</f>
        <v>14.164967570017836</v>
      </c>
      <c r="D101" s="208"/>
      <c r="E101" s="207"/>
      <c r="F101" s="140">
        <f>SUM(F51:F100)</f>
        <v>18.429828488477757</v>
      </c>
      <c r="G101" s="207"/>
      <c r="H101" s="209"/>
      <c r="I101" s="140">
        <f>SUM(I51:I100)</f>
        <v>11.403118582197846</v>
      </c>
      <c r="J101" s="207"/>
      <c r="K101" s="210"/>
      <c r="L101" s="140">
        <f>SUM(L51:L100)</f>
        <v>43.997914640693438</v>
      </c>
      <c r="M101" s="198"/>
      <c r="P101" s="574">
        <f>SUM(P12:P100)</f>
        <v>1.2882989589824019</v>
      </c>
      <c r="Q101" s="575">
        <f>SUM(Q12:Q100)</f>
        <v>-0.37254233089525118</v>
      </c>
      <c r="R101" s="575">
        <f>SUM(R12:R100)</f>
        <v>4.4367081415956355E-2</v>
      </c>
      <c r="S101" s="576">
        <f>SUM(P101:R101)</f>
        <v>0.9601237095031071</v>
      </c>
    </row>
    <row r="102" spans="1:22" ht="13.5" thickBot="1" x14ac:dyDescent="0.25">
      <c r="A102" s="180" t="s">
        <v>52</v>
      </c>
      <c r="B102" s="197"/>
      <c r="C102" s="4">
        <f>C$11*EXP(-C$8*($A100-$A$11))/C$8^2*((C$7*C$8+C$8^2)*($A100-$A$11)+2*C$8+C$7)</f>
        <v>3.3227564408307424E-2</v>
      </c>
      <c r="D102" s="208"/>
      <c r="E102" s="207"/>
      <c r="F102" s="4">
        <f>F$11*EXP(-F$8*($A100-$A$11))/F$8^2*((F$7*F$8+F$8^2)*($A100-$A$11)+2*F$8+F$7)</f>
        <v>5.5767241513908002E-2</v>
      </c>
      <c r="G102" s="207"/>
      <c r="H102" s="209"/>
      <c r="I102" s="4">
        <f>I$11*EXP(-I$8*($A100-$A$11))/I$8^2*((I$7*I$8+I$8^2)*($A100-$A$11)+2*I$8+I$7)</f>
        <v>0.87112890358077422</v>
      </c>
      <c r="J102" s="207"/>
      <c r="K102" s="212"/>
      <c r="L102" s="564">
        <f>I102+F102+C102</f>
        <v>0.96012370950298964</v>
      </c>
      <c r="M102" s="204"/>
      <c r="P102" s="799">
        <f>P101^2/RF!C98^2+Q101^2/RF!F98^2+R101^2/RF!I98^2</f>
        <v>1.9598662549407273E-5</v>
      </c>
      <c r="Q102" s="800"/>
      <c r="R102" s="801"/>
      <c r="S102" s="567"/>
      <c r="T102" s="583" t="s">
        <v>184</v>
      </c>
      <c r="U102" s="668" t="s">
        <v>202</v>
      </c>
      <c r="V102" s="669"/>
    </row>
    <row r="103" spans="1:22" ht="13.5" thickBot="1" x14ac:dyDescent="0.25">
      <c r="A103" s="143" t="s">
        <v>1</v>
      </c>
      <c r="B103" s="199"/>
      <c r="C103" s="565">
        <f>SUM(C101:C102)</f>
        <v>14.198195134426143</v>
      </c>
      <c r="D103" s="200"/>
      <c r="E103" s="145"/>
      <c r="F103" s="565">
        <f>SUM(F101:F102)</f>
        <v>18.485595729991665</v>
      </c>
      <c r="G103" s="146"/>
      <c r="H103" s="144"/>
      <c r="I103" s="565">
        <f>SUM(I101:I102)</f>
        <v>12.27424748577862</v>
      </c>
      <c r="J103" s="146"/>
      <c r="K103" s="144"/>
      <c r="L103" s="566">
        <f>SUM(L101:L102)</f>
        <v>44.958038350196425</v>
      </c>
      <c r="M103" s="148"/>
      <c r="P103" s="591">
        <f>P101/RF!C98</f>
        <v>4.1525927199402559E-3</v>
      </c>
      <c r="Q103" s="592">
        <f>Q101/RF!F98</f>
        <v>-1.1247502752783894E-3</v>
      </c>
      <c r="R103" s="592">
        <f>R101/RF!I98</f>
        <v>1.0438261684627618E-3</v>
      </c>
      <c r="S103" s="578"/>
      <c r="T103" s="583" t="s">
        <v>185</v>
      </c>
      <c r="U103" s="562"/>
      <c r="V103" s="563"/>
    </row>
    <row r="104" spans="1:22" ht="13.5" thickBot="1" x14ac:dyDescent="0.25"/>
    <row r="105" spans="1:22" s="1" customFormat="1" ht="13.5" thickBot="1" x14ac:dyDescent="0.25">
      <c r="A105" s="562"/>
      <c r="B105" s="562"/>
      <c r="C105" s="572">
        <f>C103+C43</f>
        <v>308.98458991296104</v>
      </c>
      <c r="D105" s="563"/>
      <c r="E105" s="456"/>
      <c r="F105" s="572">
        <f>F103+F43</f>
        <v>331.65057204577698</v>
      </c>
      <c r="G105" s="456"/>
      <c r="H105" s="562"/>
      <c r="I105" s="572">
        <f>I103+I43</f>
        <v>43.331043431904078</v>
      </c>
      <c r="J105" s="563"/>
      <c r="K105" s="456"/>
      <c r="L105" s="572">
        <f>SUM(C105:I105)</f>
        <v>683.96620539064213</v>
      </c>
      <c r="M105" s="563"/>
    </row>
    <row r="106" spans="1:22" x14ac:dyDescent="0.2">
      <c r="P106" s="1"/>
      <c r="Q106" s="1"/>
      <c r="R106" s="1"/>
    </row>
    <row r="107" spans="1:22" s="1" customFormat="1" x14ac:dyDescent="0.2">
      <c r="J107" s="1" t="s">
        <v>41</v>
      </c>
      <c r="K107" s="114"/>
      <c r="L107" s="573">
        <f>'global path'!C88</f>
        <v>683.96620539064213</v>
      </c>
      <c r="P107" s="3"/>
      <c r="Q107" s="3"/>
      <c r="R107" s="3"/>
    </row>
    <row r="108" spans="1:22" s="1" customFormat="1" x14ac:dyDescent="0.2">
      <c r="L108" s="573">
        <f>L105-L107</f>
        <v>0</v>
      </c>
      <c r="P108" s="3"/>
      <c r="Q108" s="3"/>
      <c r="R108" s="3"/>
    </row>
  </sheetData>
  <sheetProtection selectLockedCells="1"/>
  <mergeCells count="8">
    <mergeCell ref="P102:R102"/>
    <mergeCell ref="P9:R9"/>
    <mergeCell ref="T4:U4"/>
    <mergeCell ref="B4:D4"/>
    <mergeCell ref="E4:G4"/>
    <mergeCell ref="H4:J4"/>
    <mergeCell ref="K4:N4"/>
    <mergeCell ref="K6:N8"/>
  </mergeCells>
  <conditionalFormatting sqref="L48">
    <cfRule type="cellIs" dxfId="17" priority="6" stopIfTrue="1" operator="equal">
      <formula>0</formula>
    </cfRule>
  </conditionalFormatting>
  <conditionalFormatting sqref="N11:N42">
    <cfRule type="expression" dxfId="16" priority="7" stopIfTrue="1">
      <formula>AND(N11=-100,N12=-100)</formula>
    </cfRule>
  </conditionalFormatting>
  <conditionalFormatting sqref="N44">
    <cfRule type="expression" dxfId="15" priority="8" stopIfTrue="1">
      <formula>AND(N44=-100,N46=-100)</formula>
    </cfRule>
  </conditionalFormatting>
  <conditionalFormatting sqref="N43">
    <cfRule type="expression" dxfId="14" priority="9" stopIfTrue="1">
      <formula>AND(N43=-100,N46=-100)</formula>
    </cfRule>
  </conditionalFormatting>
  <conditionalFormatting sqref="N53">
    <cfRule type="expression" dxfId="13" priority="5" stopIfTrue="1">
      <formula>AND(N53=-100,N54=-100)</formula>
    </cfRule>
  </conditionalFormatting>
  <conditionalFormatting sqref="N54:N100">
    <cfRule type="expression" dxfId="12" priority="4" stopIfTrue="1">
      <formula>AND(N54=-100,N55=-100)</formula>
    </cfRule>
  </conditionalFormatting>
  <conditionalFormatting sqref="N51">
    <cfRule type="expression" dxfId="11" priority="3" stopIfTrue="1">
      <formula>AND(N51=-100,N52=-100)</formula>
    </cfRule>
  </conditionalFormatting>
  <conditionalFormatting sqref="N52">
    <cfRule type="expression" dxfId="10" priority="2" stopIfTrue="1">
      <formula>AND(N52=-100,N53=-100)</formula>
    </cfRule>
  </conditionalFormatting>
  <conditionalFormatting sqref="L108">
    <cfRule type="cellIs" dxfId="9" priority="1" stopIfTrue="1" operator="equal">
      <formula>0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>
    <tabColor theme="7" tint="0.39997558519241921"/>
    <pageSetUpPr fitToPage="1"/>
  </sheetPr>
  <dimension ref="A1:AI108"/>
  <sheetViews>
    <sheetView zoomScaleNormal="100" workbookViewId="0">
      <selection activeCell="C5" sqref="C5"/>
    </sheetView>
  </sheetViews>
  <sheetFormatPr baseColWidth="10" defaultColWidth="11.7109375" defaultRowHeight="12.75" x14ac:dyDescent="0.2"/>
  <cols>
    <col min="1" max="1" width="10.42578125" style="3" customWidth="1"/>
    <col min="2" max="2" width="4.42578125" style="3" bestFit="1" customWidth="1"/>
    <col min="3" max="3" width="6" style="3" bestFit="1" customWidth="1"/>
    <col min="4" max="4" width="5.42578125" style="3" bestFit="1" customWidth="1"/>
    <col min="5" max="5" width="4.42578125" style="3" customWidth="1"/>
    <col min="6" max="6" width="6" style="3" customWidth="1"/>
    <col min="7" max="7" width="4.42578125" style="3" bestFit="1" customWidth="1"/>
    <col min="8" max="8" width="4.7109375" style="3" customWidth="1"/>
    <col min="9" max="9" width="7.28515625" style="3" bestFit="1" customWidth="1"/>
    <col min="10" max="10" width="5.85546875" style="3" customWidth="1"/>
    <col min="11" max="11" width="5.28515625" style="3" bestFit="1" customWidth="1"/>
    <col min="12" max="12" width="7.5703125" style="3" bestFit="1" customWidth="1"/>
    <col min="13" max="13" width="6.140625" style="3" customWidth="1"/>
    <col min="14" max="14" width="7.28515625" style="3" bestFit="1" customWidth="1"/>
    <col min="15" max="15" width="4.42578125" style="3" bestFit="1" customWidth="1"/>
    <col min="16" max="16" width="6" style="3" customWidth="1"/>
    <col min="17" max="17" width="6.7109375" style="3" customWidth="1"/>
    <col min="18" max="18" width="6.28515625" style="3" customWidth="1"/>
    <col min="19" max="19" width="8.42578125" style="1" customWidth="1"/>
    <col min="20" max="20" width="13.28515625" style="1" customWidth="1"/>
    <col min="21" max="21" width="18.85546875" style="1" bestFit="1" customWidth="1"/>
    <col min="22" max="24" width="8.42578125" style="1" bestFit="1" customWidth="1"/>
    <col min="25" max="25" width="8.42578125" style="3" bestFit="1" customWidth="1"/>
    <col min="26" max="32" width="8.42578125" style="1" bestFit="1" customWidth="1"/>
    <col min="33" max="33" width="8.42578125" style="3" bestFit="1" customWidth="1"/>
    <col min="34" max="16384" width="11.7109375" style="3"/>
  </cols>
  <sheetData>
    <row r="1" spans="1:35" ht="15.75" x14ac:dyDescent="0.25">
      <c r="A1" s="167" t="s">
        <v>187</v>
      </c>
      <c r="D1" s="1"/>
      <c r="F1" s="16"/>
    </row>
    <row r="2" spans="1:35" ht="15.75" x14ac:dyDescent="0.25">
      <c r="A2" s="169" t="str">
        <f>CONCATENATE("SPM-",ROUND(T8*100,0))</f>
        <v>SPM-50</v>
      </c>
      <c r="B2" s="166" t="s">
        <v>80</v>
      </c>
      <c r="D2" s="1"/>
      <c r="F2" s="16"/>
    </row>
    <row r="3" spans="1:35" ht="16.5" thickBot="1" x14ac:dyDescent="0.3">
      <c r="A3" s="51"/>
      <c r="D3" s="1"/>
      <c r="F3" s="16"/>
    </row>
    <row r="4" spans="1:35" s="43" customFormat="1" ht="16.5" thickBot="1" x14ac:dyDescent="0.3">
      <c r="A4" s="6"/>
      <c r="B4" s="754" t="s">
        <v>7</v>
      </c>
      <c r="C4" s="755"/>
      <c r="D4" s="755"/>
      <c r="E4" s="756" t="s">
        <v>8</v>
      </c>
      <c r="F4" s="757"/>
      <c r="G4" s="757"/>
      <c r="H4" s="758" t="s">
        <v>9</v>
      </c>
      <c r="I4" s="759"/>
      <c r="J4" s="759"/>
      <c r="K4" s="751" t="s">
        <v>5</v>
      </c>
      <c r="L4" s="752"/>
      <c r="M4" s="752"/>
      <c r="N4" s="753"/>
      <c r="O4" s="3"/>
      <c r="P4" s="167"/>
      <c r="Q4" s="3"/>
      <c r="R4" s="3"/>
      <c r="S4" s="1"/>
      <c r="T4" s="743" t="s">
        <v>134</v>
      </c>
      <c r="U4" s="744"/>
      <c r="V4" s="1"/>
      <c r="W4" s="1"/>
      <c r="X4" s="1"/>
      <c r="Y4" s="3"/>
      <c r="Z4" s="1"/>
      <c r="AA4" s="1"/>
      <c r="AB4" s="1"/>
      <c r="AC4" s="1"/>
      <c r="AD4" s="1"/>
      <c r="AE4" s="1"/>
      <c r="AF4" s="10"/>
    </row>
    <row r="5" spans="1:35" ht="15.6" customHeight="1" x14ac:dyDescent="0.2">
      <c r="A5" s="173"/>
      <c r="B5" s="457" t="s">
        <v>89</v>
      </c>
      <c r="C5" s="458">
        <f>T8*'global path'!C88/K11*B11+(1-T8)*'global path'!C88*C11/L11</f>
        <v>230.81303194650883</v>
      </c>
      <c r="D5" s="459" t="s">
        <v>21</v>
      </c>
      <c r="E5" s="457" t="s">
        <v>90</v>
      </c>
      <c r="F5" s="458">
        <f>T8*'global path'!C88/K11*E11+(1-T8)*'global path'!C88*F11/L11</f>
        <v>358.32764134392352</v>
      </c>
      <c r="G5" s="459" t="s">
        <v>21</v>
      </c>
      <c r="H5" s="457" t="s">
        <v>91</v>
      </c>
      <c r="I5" s="458">
        <f>T8*'global path'!C88/K11*H11+(1-T8)*'global path'!C88*I11/L11</f>
        <v>94.825532100209799</v>
      </c>
      <c r="J5" s="459" t="s">
        <v>21</v>
      </c>
      <c r="K5" s="457" t="s">
        <v>92</v>
      </c>
      <c r="L5" s="460">
        <f>C5+F5+I5</f>
        <v>683.96620539064213</v>
      </c>
      <c r="M5" s="459" t="s">
        <v>21</v>
      </c>
      <c r="N5" s="461"/>
      <c r="P5" s="585"/>
      <c r="Q5" s="585"/>
      <c r="R5" s="585"/>
      <c r="S5" s="585"/>
      <c r="T5" s="585"/>
      <c r="U5" s="585"/>
      <c r="V5" s="585"/>
      <c r="W5" s="585"/>
      <c r="X5" s="585"/>
      <c r="Y5" s="585"/>
      <c r="Z5" s="585"/>
      <c r="AA5" s="585"/>
      <c r="AB5" s="585"/>
    </row>
    <row r="6" spans="1:35" ht="15.75" x14ac:dyDescent="0.2">
      <c r="A6" s="176"/>
      <c r="B6" s="174" t="s">
        <v>43</v>
      </c>
      <c r="C6" s="175">
        <f>C5/C11</f>
        <v>10.991096759357564</v>
      </c>
      <c r="D6" s="178"/>
      <c r="E6" s="174" t="s">
        <v>47</v>
      </c>
      <c r="F6" s="175">
        <f>F5/F11</f>
        <v>18.375776479175563</v>
      </c>
      <c r="G6" s="579"/>
      <c r="H6" s="174" t="s">
        <v>49</v>
      </c>
      <c r="I6" s="175">
        <f>I5/I11</f>
        <v>77.237282106272772</v>
      </c>
      <c r="J6" s="178"/>
      <c r="K6" s="783" t="s">
        <v>57</v>
      </c>
      <c r="L6" s="784"/>
      <c r="M6" s="784"/>
      <c r="N6" s="785"/>
      <c r="P6" s="585"/>
      <c r="Q6" s="585"/>
      <c r="R6" s="585"/>
      <c r="S6" s="585"/>
      <c r="T6" s="585"/>
      <c r="U6" s="585"/>
      <c r="V6" s="585"/>
      <c r="W6" s="585"/>
      <c r="X6" s="585"/>
      <c r="Y6" s="585"/>
      <c r="Z6" s="585"/>
      <c r="AA6" s="585"/>
      <c r="AB6" s="585"/>
      <c r="AD6" s="10"/>
      <c r="AE6" s="10"/>
    </row>
    <row r="7" spans="1:35" ht="16.5" thickBot="1" x14ac:dyDescent="0.25">
      <c r="A7" s="176"/>
      <c r="B7" s="174" t="s">
        <v>44</v>
      </c>
      <c r="C7" s="502">
        <f>'SPM-eq'!C7</f>
        <v>0</v>
      </c>
      <c r="D7" s="178"/>
      <c r="E7" s="174" t="s">
        <v>46</v>
      </c>
      <c r="F7" s="502">
        <f>'SPM-eq'!F7</f>
        <v>0.03</v>
      </c>
      <c r="G7" s="579"/>
      <c r="H7" s="174" t="s">
        <v>50</v>
      </c>
      <c r="I7" s="502">
        <f>'SPM-eq'!I7</f>
        <v>0.02</v>
      </c>
      <c r="J7" s="178"/>
      <c r="K7" s="783"/>
      <c r="L7" s="784"/>
      <c r="M7" s="784"/>
      <c r="N7" s="785"/>
      <c r="P7" s="585"/>
      <c r="Q7" s="585"/>
      <c r="R7" s="585"/>
      <c r="S7" s="585"/>
      <c r="T7" s="585"/>
      <c r="U7" s="585"/>
      <c r="V7" s="585"/>
      <c r="W7" s="585"/>
      <c r="X7" s="585"/>
      <c r="Y7" s="585"/>
      <c r="Z7" s="585"/>
      <c r="AA7" s="585"/>
      <c r="AB7" s="585"/>
    </row>
    <row r="8" spans="1:35" ht="16.5" thickBot="1" x14ac:dyDescent="0.3">
      <c r="A8" s="177"/>
      <c r="B8" s="87" t="s">
        <v>45</v>
      </c>
      <c r="C8" s="88">
        <f>(1+SQRT(1+C7*C6))/C6</f>
        <v>0.18196546202700351</v>
      </c>
      <c r="D8" s="179"/>
      <c r="E8" s="87" t="s">
        <v>48</v>
      </c>
      <c r="F8" s="88">
        <f>(1+SQRT(1+F7*F6))/F6</f>
        <v>0.12219898433646989</v>
      </c>
      <c r="G8" s="90"/>
      <c r="H8" s="87" t="s">
        <v>51</v>
      </c>
      <c r="I8" s="88">
        <f>(1+SQRT(1+I7*I6))/I6</f>
        <v>3.3600688940035067E-2</v>
      </c>
      <c r="J8" s="179"/>
      <c r="K8" s="786"/>
      <c r="L8" s="787"/>
      <c r="M8" s="787"/>
      <c r="N8" s="788"/>
      <c r="P8" s="455" t="s">
        <v>188</v>
      </c>
      <c r="Q8" s="312"/>
      <c r="R8" s="312"/>
      <c r="S8" s="456"/>
      <c r="T8" s="603">
        <v>0.50341643882091736</v>
      </c>
      <c r="U8" s="666" t="s">
        <v>183</v>
      </c>
      <c r="V8" s="667"/>
      <c r="W8" s="577"/>
      <c r="X8" s="366" t="s">
        <v>41</v>
      </c>
      <c r="Y8" s="22"/>
      <c r="Z8" s="605">
        <f>'global path'!C2</f>
        <v>3</v>
      </c>
    </row>
    <row r="9" spans="1:35" s="43" customFormat="1" ht="46.5" x14ac:dyDescent="0.25">
      <c r="A9" s="126" t="s">
        <v>10</v>
      </c>
      <c r="B9" s="191" t="s">
        <v>13</v>
      </c>
      <c r="C9" s="20" t="s">
        <v>12</v>
      </c>
      <c r="D9" s="192" t="s">
        <v>11</v>
      </c>
      <c r="E9" s="14" t="s">
        <v>13</v>
      </c>
      <c r="F9" s="14" t="s">
        <v>12</v>
      </c>
      <c r="G9" s="14" t="s">
        <v>11</v>
      </c>
      <c r="H9" s="13" t="s">
        <v>13</v>
      </c>
      <c r="I9" s="14" t="s">
        <v>12</v>
      </c>
      <c r="J9" s="14" t="s">
        <v>11</v>
      </c>
      <c r="K9" s="191" t="s">
        <v>22</v>
      </c>
      <c r="L9" s="20" t="s">
        <v>23</v>
      </c>
      <c r="M9" s="20" t="s">
        <v>11</v>
      </c>
      <c r="N9" s="91"/>
      <c r="O9" s="3"/>
      <c r="P9" s="802" t="s">
        <v>182</v>
      </c>
      <c r="Q9" s="803"/>
      <c r="R9" s="804"/>
      <c r="S9" s="1"/>
      <c r="T9" s="584"/>
      <c r="U9" s="1"/>
      <c r="V9" s="1"/>
      <c r="W9" s="1"/>
      <c r="X9" s="1"/>
      <c r="Y9" s="3"/>
      <c r="Z9" s="1"/>
      <c r="AA9" s="1"/>
      <c r="AB9" s="1"/>
      <c r="AC9" s="1"/>
      <c r="AD9" s="1"/>
      <c r="AE9" s="1"/>
      <c r="AF9" s="10"/>
    </row>
    <row r="10" spans="1:35" s="43" customFormat="1" x14ac:dyDescent="0.2">
      <c r="A10" s="187"/>
      <c r="B10" s="127" t="s">
        <v>6</v>
      </c>
      <c r="C10" s="108" t="s">
        <v>21</v>
      </c>
      <c r="D10" s="193" t="s">
        <v>0</v>
      </c>
      <c r="E10" s="108" t="s">
        <v>6</v>
      </c>
      <c r="F10" s="108" t="s">
        <v>21</v>
      </c>
      <c r="G10" s="30" t="s">
        <v>0</v>
      </c>
      <c r="H10" s="109" t="s">
        <v>6</v>
      </c>
      <c r="I10" s="108" t="s">
        <v>21</v>
      </c>
      <c r="J10" s="30" t="s">
        <v>0</v>
      </c>
      <c r="K10" s="202" t="s">
        <v>6</v>
      </c>
      <c r="L10" s="108" t="s">
        <v>21</v>
      </c>
      <c r="M10" s="30" t="s">
        <v>0</v>
      </c>
      <c r="N10" s="33"/>
      <c r="O10" s="3"/>
      <c r="P10" s="580" t="s">
        <v>129</v>
      </c>
      <c r="Q10" s="581" t="s">
        <v>130</v>
      </c>
      <c r="R10" s="582" t="s">
        <v>131</v>
      </c>
      <c r="S10" s="1"/>
      <c r="T10" s="1">
        <f>COUNT($T$8)</f>
        <v>1</v>
      </c>
      <c r="U10" s="1"/>
      <c r="V10" s="1"/>
      <c r="W10" s="1"/>
      <c r="X10" s="1"/>
      <c r="Y10" s="3"/>
      <c r="Z10" s="1"/>
      <c r="AA10" s="1"/>
      <c r="AB10" s="1"/>
      <c r="AC10" s="1"/>
      <c r="AD10" s="1"/>
      <c r="AE10" s="1"/>
      <c r="AF10" s="10"/>
    </row>
    <row r="11" spans="1:35" s="43" customFormat="1" x14ac:dyDescent="0.2">
      <c r="A11" s="188">
        <v>2019</v>
      </c>
      <c r="B11" s="131">
        <f>RF!B9</f>
        <v>1.2</v>
      </c>
      <c r="C11" s="132">
        <f>RF!C9</f>
        <v>21</v>
      </c>
      <c r="D11" s="194">
        <f>C11/B11</f>
        <v>17.5</v>
      </c>
      <c r="E11" s="132">
        <f>RF!E9</f>
        <v>4</v>
      </c>
      <c r="F11" s="132">
        <f>RF!F9</f>
        <v>19.5</v>
      </c>
      <c r="G11" s="130">
        <f>F11/E11</f>
        <v>4.875</v>
      </c>
      <c r="H11" s="137">
        <f>K11-E11-B11</f>
        <v>1.7000000000000004</v>
      </c>
      <c r="I11" s="117">
        <f>'global path'!$C$6-C11-F11</f>
        <v>1.2277171013052595</v>
      </c>
      <c r="J11" s="130">
        <f>I11/H11</f>
        <v>0.72218653017956425</v>
      </c>
      <c r="K11" s="131">
        <f>RF!K9</f>
        <v>6.9</v>
      </c>
      <c r="L11" s="32">
        <f>I11+F11+C11</f>
        <v>41.727717101305259</v>
      </c>
      <c r="M11" s="31">
        <f>L11/K11</f>
        <v>6.047495232073226</v>
      </c>
      <c r="N11" s="594"/>
      <c r="O11" s="3"/>
      <c r="P11" s="530">
        <f>'C&amp;C-exp'!C11-'SPM = C&amp;C_exp'!C11</f>
        <v>0</v>
      </c>
      <c r="Q11" s="531">
        <f>'C&amp;C-exp'!F11-'SPM = C&amp;C_exp'!F11</f>
        <v>0</v>
      </c>
      <c r="R11" s="532">
        <f>'C&amp;C-exp'!I11-'SPM = C&amp;C_exp'!I11</f>
        <v>0</v>
      </c>
      <c r="S11" s="1"/>
      <c r="T11" s="1">
        <f>{32767;32767;0.000001;0.01;FALSE;FALSE;TRUE;1;1;1;0.0001;TRUE}</f>
        <v>32767</v>
      </c>
      <c r="U11" s="1"/>
      <c r="V11" s="1"/>
      <c r="W11" s="1"/>
      <c r="X11" s="1"/>
      <c r="Y11" s="3"/>
      <c r="Z11" s="1"/>
      <c r="AA11" s="1"/>
      <c r="AB11" s="1"/>
      <c r="AC11" s="1"/>
      <c r="AD11" s="1"/>
      <c r="AE11" s="1"/>
      <c r="AF11" s="10"/>
    </row>
    <row r="12" spans="1:35" x14ac:dyDescent="0.2">
      <c r="A12" s="180">
        <f>A11+1</f>
        <v>2020</v>
      </c>
      <c r="B12" s="128">
        <f t="shared" ref="B12:B41" si="0">B$11*(B$42/B$11)^(($A12-2019)/31)</f>
        <v>1.2</v>
      </c>
      <c r="C12" s="5">
        <f>-C$11*EXP(-C$8*($A12-$A$11))/C$8^2*((C$7*C$8+C$8^2)*($A12-$A$11)+2*C$8+C$7)
  +C$11*EXP(-C$8*($A11-$A$11))/C$8^2*((C$7*C$8+C$8^2)*($A11-$A$11)+2*C$8+C$7)</f>
        <v>20.894100932579619</v>
      </c>
      <c r="D12" s="195">
        <f t="shared" ref="D12:D42" si="1">C12/B12</f>
        <v>17.411750777149685</v>
      </c>
      <c r="E12" s="5">
        <f t="shared" ref="E12:E41" si="2">E$11*(E$42/E$11)^(($A12-2019)/31)</f>
        <v>4</v>
      </c>
      <c r="F12" s="5">
        <f>-F$11*EXP(-F$8*($A12-$A$11))/F$8^2*((F$7*F$8+F$8^2)*($A12-$A$11)+2*F$8+F$7)
  +F$11*EXP(-F$8*($A11-$A$11))/F$8^2*((F$7*F$8+F$8^2)*($A11-$A$11)+2*F$8+F$7)</f>
        <v>19.724056924744673</v>
      </c>
      <c r="G12" s="4">
        <f t="shared" ref="G12:G42" si="3">F12/E12</f>
        <v>4.9310142311861682</v>
      </c>
      <c r="H12" s="128">
        <f t="shared" ref="H12:H41" si="4">H$11*(H$42/H$11)^(($A12-2019)/31)</f>
        <v>1.7000000000000004</v>
      </c>
      <c r="I12" s="5">
        <f>-I$11*EXP(-I$8*($A12-$A$11))/I$8^2*((I$7*I$8+I$8^2)*($A12-$A$11)+2*I$8+I$7)
  +I$11*EXP(-I$8*($A11-$A$11))/I$8^2*((I$7*I$8+I$8^2)*($A11-$A$11)+2*I$8+I$7)</f>
        <v>1.2394955180713652</v>
      </c>
      <c r="J12" s="4">
        <f t="shared" ref="J12:J42" si="5">I12/H12</f>
        <v>0.72911501063021467</v>
      </c>
      <c r="K12" s="128">
        <f>B12+E12+H12</f>
        <v>6.9</v>
      </c>
      <c r="L12" s="19">
        <f>I12+F12+C12</f>
        <v>41.857653375395657</v>
      </c>
      <c r="M12" s="4">
        <f t="shared" ref="M12:M42" si="6">L12/K12</f>
        <v>6.0663265761442977</v>
      </c>
      <c r="N12" s="439"/>
      <c r="O12" s="43"/>
      <c r="P12" s="533">
        <f>'C&amp;C-exp'!C12-'SPM = C&amp;C_exp'!C12</f>
        <v>-0.59475275912184955</v>
      </c>
      <c r="Q12" s="534">
        <f>'C&amp;C-exp'!F12-'SPM = C&amp;C_exp'!F12</f>
        <v>-0.51828080846807012</v>
      </c>
      <c r="R12" s="535">
        <f>'C&amp;C-exp'!I12-'SPM = C&amp;C_exp'!I12</f>
        <v>0.1485429514734109</v>
      </c>
      <c r="T12" s="1">
        <f>{0;0;1;100;0;FALSE;TRUE;0.075;0;0;FALSE;30}</f>
        <v>0</v>
      </c>
      <c r="AF12" s="10"/>
      <c r="AG12" s="43"/>
      <c r="AH12" s="43"/>
      <c r="AI12" s="43"/>
    </row>
    <row r="13" spans="1:35" x14ac:dyDescent="0.2">
      <c r="A13" s="180">
        <f t="shared" ref="A13:A41" si="7">A12+1</f>
        <v>2021</v>
      </c>
      <c r="B13" s="128">
        <f t="shared" si="0"/>
        <v>1.2</v>
      </c>
      <c r="C13" s="5">
        <f t="shared" ref="C13:C42" si="8">-C$11*EXP(-C$8*($A13-$A$11))/C$8^2*((C$7*C$8+C$8^2)*($A13-$A$11)+2*C$8+C$7)
  +C$11*EXP(-C$8*($A12-$A$11))/C$8^2*((C$7*C$8+C$8^2)*($A12-$A$11)+2*C$8+C$7)</f>
        <v>20.330461752619243</v>
      </c>
      <c r="D13" s="195">
        <f t="shared" si="1"/>
        <v>16.942051460516037</v>
      </c>
      <c r="E13" s="5">
        <f t="shared" si="2"/>
        <v>4</v>
      </c>
      <c r="F13" s="5">
        <f t="shared" ref="F13:F42" si="9">-F$11*EXP(-F$8*($A13-$A$11))/F$8^2*((F$7*F$8+F$8^2)*($A13-$A$11)+2*F$8+F$7)
  +F$11*EXP(-F$8*($A12-$A$11))/F$8^2*((F$7*F$8+F$8^2)*($A12-$A$11)+2*F$8+F$7)</f>
        <v>19.927599275176931</v>
      </c>
      <c r="G13" s="4">
        <f t="shared" si="3"/>
        <v>4.9818998187942327</v>
      </c>
      <c r="H13" s="128">
        <f t="shared" si="4"/>
        <v>1.7000000000000004</v>
      </c>
      <c r="I13" s="5">
        <f t="shared" ref="I13:I42" si="10">-I$11*EXP(-I$8*($A13-$A$11))/I$8^2*((I$7*I$8+I$8^2)*($A13-$A$11)+2*I$8+I$7)
  +I$11*EXP(-I$8*($A12-$A$11))/I$8^2*((I$7*I$8+I$8^2)*($A12-$A$11)+2*I$8+I$7)</f>
        <v>1.2611144499479678</v>
      </c>
      <c r="J13" s="4">
        <f t="shared" si="5"/>
        <v>0.74183202938115733</v>
      </c>
      <c r="K13" s="128">
        <f t="shared" ref="K13:K41" si="11">B13+E13+H13</f>
        <v>6.9</v>
      </c>
      <c r="L13" s="19">
        <f t="shared" ref="L13:L44" si="12">I13+F13+C13</f>
        <v>41.519175477744142</v>
      </c>
      <c r="M13" s="4">
        <f t="shared" si="6"/>
        <v>6.017271808368716</v>
      </c>
      <c r="N13" s="440"/>
      <c r="P13" s="533">
        <f>'C&amp;C-exp'!C13-'SPM = C&amp;C_exp'!C13</f>
        <v>-0.80907645482108848</v>
      </c>
      <c r="Q13" s="534">
        <f>'C&amp;C-exp'!F13-'SPM = C&amp;C_exp'!F13</f>
        <v>-1.0647416277445387</v>
      </c>
      <c r="R13" s="535">
        <f>'C&amp;C-exp'!I13-'SPM = C&amp;C_exp'!I13</f>
        <v>0.29576915039103779</v>
      </c>
      <c r="AF13" s="10"/>
      <c r="AG13" s="43"/>
    </row>
    <row r="14" spans="1:35" x14ac:dyDescent="0.2">
      <c r="A14" s="180">
        <f t="shared" si="7"/>
        <v>2022</v>
      </c>
      <c r="B14" s="128">
        <f t="shared" si="0"/>
        <v>1.2</v>
      </c>
      <c r="C14" s="5">
        <f t="shared" si="8"/>
        <v>19.376041304156388</v>
      </c>
      <c r="D14" s="195">
        <f t="shared" si="1"/>
        <v>16.146701086796991</v>
      </c>
      <c r="E14" s="5">
        <f t="shared" si="2"/>
        <v>4</v>
      </c>
      <c r="F14" s="5">
        <f t="shared" si="9"/>
        <v>19.823339058122656</v>
      </c>
      <c r="G14" s="4">
        <f t="shared" si="3"/>
        <v>4.955834764530664</v>
      </c>
      <c r="H14" s="128">
        <f t="shared" si="4"/>
        <v>1.7000000000000004</v>
      </c>
      <c r="I14" s="5">
        <f t="shared" si="10"/>
        <v>1.2799514106251308</v>
      </c>
      <c r="J14" s="4">
        <f t="shared" si="5"/>
        <v>0.75291259448537096</v>
      </c>
      <c r="K14" s="128">
        <f t="shared" si="11"/>
        <v>6.9</v>
      </c>
      <c r="L14" s="19">
        <f t="shared" si="12"/>
        <v>40.479331772904175</v>
      </c>
      <c r="M14" s="4">
        <f t="shared" si="6"/>
        <v>5.8665698221600246</v>
      </c>
      <c r="N14" s="440"/>
      <c r="P14" s="533">
        <f>'C&amp;C-exp'!C14-'SPM = C&amp;C_exp'!C14</f>
        <v>-0.70336927941463401</v>
      </c>
      <c r="Q14" s="534">
        <f>'C&amp;C-exp'!F14-'SPM = C&amp;C_exp'!F14</f>
        <v>-1.3488393624716153</v>
      </c>
      <c r="R14" s="535">
        <f>'C&amp;C-exp'!I14-'SPM = C&amp;C_exp'!I14</f>
        <v>0.45308234423659366</v>
      </c>
      <c r="AF14" s="10"/>
      <c r="AG14" s="43"/>
    </row>
    <row r="15" spans="1:35" s="7" customFormat="1" x14ac:dyDescent="0.2">
      <c r="A15" s="180">
        <f t="shared" si="7"/>
        <v>2023</v>
      </c>
      <c r="B15" s="128">
        <f t="shared" si="0"/>
        <v>1.2</v>
      </c>
      <c r="C15" s="5">
        <f t="shared" si="8"/>
        <v>18.17646897457314</v>
      </c>
      <c r="D15" s="195">
        <f t="shared" si="1"/>
        <v>15.14705747881095</v>
      </c>
      <c r="E15" s="5">
        <f t="shared" si="2"/>
        <v>4</v>
      </c>
      <c r="F15" s="5">
        <f t="shared" si="9"/>
        <v>19.479394797244595</v>
      </c>
      <c r="G15" s="4">
        <f t="shared" si="3"/>
        <v>4.8698486993111487</v>
      </c>
      <c r="H15" s="128">
        <f t="shared" si="4"/>
        <v>1.7000000000000004</v>
      </c>
      <c r="I15" s="5">
        <f>-I$11*EXP(-I$8*($A15-$A$11))/I$8^2*((I$7*I$8+I$8^2)*($A15-$A$11)+2*I$8+I$7)
  +I$11*EXP(-I$8*($A14-$A$11))/I$8^2*((I$7*I$8+I$8^2)*($A14-$A$11)+2*I$8+I$7)</f>
        <v>1.2961666427890037</v>
      </c>
      <c r="J15" s="4">
        <f t="shared" si="5"/>
        <v>0.76245096634647258</v>
      </c>
      <c r="K15" s="128">
        <f t="shared" si="11"/>
        <v>6.9</v>
      </c>
      <c r="L15" s="19">
        <f t="shared" si="12"/>
        <v>38.952030414606739</v>
      </c>
      <c r="M15" s="4">
        <f t="shared" si="6"/>
        <v>5.6452217992183673</v>
      </c>
      <c r="N15" s="440"/>
      <c r="O15" s="3"/>
      <c r="P15" s="533">
        <f>'C&amp;C-exp'!C15-'SPM = C&amp;C_exp'!C15</f>
        <v>-0.41566667044704886</v>
      </c>
      <c r="Q15" s="534">
        <f>'C&amp;C-exp'!F15-'SPM = C&amp;C_exp'!F15</f>
        <v>-1.4352150130019012</v>
      </c>
      <c r="R15" s="535">
        <f>'C&amp;C-exp'!I15-'SPM = C&amp;C_exp'!I15</f>
        <v>0.618747665498526</v>
      </c>
      <c r="S15" s="1"/>
      <c r="T15" s="1"/>
      <c r="U15" s="1"/>
      <c r="V15" s="1"/>
      <c r="W15" s="1"/>
      <c r="X15" s="1"/>
      <c r="Y15" s="3"/>
      <c r="Z15" s="1"/>
      <c r="AA15" s="1"/>
      <c r="AB15" s="1"/>
      <c r="AC15" s="1"/>
      <c r="AD15" s="10"/>
      <c r="AE15" s="10"/>
      <c r="AF15" s="10"/>
      <c r="AG15" s="43"/>
      <c r="AH15" s="3"/>
      <c r="AI15" s="3"/>
    </row>
    <row r="16" spans="1:35" s="7" customFormat="1" x14ac:dyDescent="0.2">
      <c r="A16" s="180">
        <f t="shared" si="7"/>
        <v>2024</v>
      </c>
      <c r="B16" s="128">
        <f t="shared" si="0"/>
        <v>1.2</v>
      </c>
      <c r="C16" s="5">
        <f t="shared" si="8"/>
        <v>16.839733875850186</v>
      </c>
      <c r="D16" s="195">
        <f t="shared" si="1"/>
        <v>14.03311156320849</v>
      </c>
      <c r="E16" s="5">
        <f t="shared" si="2"/>
        <v>4</v>
      </c>
      <c r="F16" s="5">
        <f t="shared" si="9"/>
        <v>18.952286629278149</v>
      </c>
      <c r="G16" s="4">
        <f t="shared" si="3"/>
        <v>4.7380716573195372</v>
      </c>
      <c r="H16" s="128">
        <f t="shared" si="4"/>
        <v>1.7000000000000004</v>
      </c>
      <c r="I16" s="5">
        <f t="shared" si="10"/>
        <v>1.3099128368689748</v>
      </c>
      <c r="J16" s="4">
        <f t="shared" si="5"/>
        <v>0.77053696286410256</v>
      </c>
      <c r="K16" s="128">
        <f t="shared" si="11"/>
        <v>6.9</v>
      </c>
      <c r="L16" s="19">
        <f t="shared" si="12"/>
        <v>37.101933341997309</v>
      </c>
      <c r="M16" s="4">
        <f t="shared" si="6"/>
        <v>5.3770917886952621</v>
      </c>
      <c r="N16" s="440"/>
      <c r="O16" s="3"/>
      <c r="P16" s="533">
        <f>'C&amp;C-exp'!C16-'SPM = C&amp;C_exp'!C16</f>
        <v>-4.5367251761405214E-2</v>
      </c>
      <c r="Q16" s="534">
        <f>'C&amp;C-exp'!F16-'SPM = C&amp;C_exp'!F16</f>
        <v>-1.3767673796177675</v>
      </c>
      <c r="R16" s="535">
        <f>'C&amp;C-exp'!I16-'SPM = C&amp;C_exp'!I16</f>
        <v>0.7906546451065255</v>
      </c>
      <c r="S16" s="1"/>
      <c r="T16" s="1"/>
      <c r="U16" s="1"/>
      <c r="V16" s="1"/>
      <c r="W16" s="1"/>
      <c r="X16" s="1"/>
      <c r="Y16" s="3"/>
      <c r="Z16" s="1"/>
      <c r="AA16" s="1"/>
      <c r="AB16" s="1"/>
      <c r="AC16" s="1"/>
      <c r="AD16" s="10"/>
      <c r="AE16" s="10"/>
      <c r="AF16" s="1"/>
      <c r="AG16" s="3"/>
    </row>
    <row r="17" spans="1:35" s="7" customFormat="1" x14ac:dyDescent="0.2">
      <c r="A17" s="180">
        <f t="shared" si="7"/>
        <v>2025</v>
      </c>
      <c r="B17" s="128">
        <f t="shared" si="0"/>
        <v>1.2</v>
      </c>
      <c r="C17" s="5">
        <f t="shared" si="8"/>
        <v>15.44467839381889</v>
      </c>
      <c r="D17" s="195">
        <f t="shared" si="1"/>
        <v>12.870565328182408</v>
      </c>
      <c r="E17" s="5">
        <f t="shared" si="2"/>
        <v>4</v>
      </c>
      <c r="F17" s="5">
        <f t="shared" si="9"/>
        <v>18.288703274400319</v>
      </c>
      <c r="G17" s="4">
        <f t="shared" si="3"/>
        <v>4.5721758186000798</v>
      </c>
      <c r="H17" s="128">
        <f t="shared" si="4"/>
        <v>1.7000000000000004</v>
      </c>
      <c r="I17" s="5">
        <f t="shared" si="10"/>
        <v>1.3213354551742924</v>
      </c>
      <c r="J17" s="4">
        <f t="shared" si="5"/>
        <v>0.7772561501025248</v>
      </c>
      <c r="K17" s="128">
        <f t="shared" si="11"/>
        <v>6.9</v>
      </c>
      <c r="L17" s="19">
        <f t="shared" si="12"/>
        <v>35.054717123393502</v>
      </c>
      <c r="M17" s="4">
        <f t="shared" si="6"/>
        <v>5.0803937859990578</v>
      </c>
      <c r="N17" s="440"/>
      <c r="O17" s="43"/>
      <c r="P17" s="533">
        <f>'C&amp;C-exp'!C17-'SPM = C&amp;C_exp'!C17</f>
        <v>0.33821922771344148</v>
      </c>
      <c r="Q17" s="534">
        <f>'C&amp;C-exp'!F17-'SPM = C&amp;C_exp'!F17</f>
        <v>-1.2164987398995919</v>
      </c>
      <c r="R17" s="535">
        <f>'C&amp;C-exp'!I17-'SPM = C&amp;C_exp'!I17</f>
        <v>0.96629777986721166</v>
      </c>
      <c r="S17" s="1"/>
      <c r="T17" s="1"/>
      <c r="U17" s="1"/>
      <c r="V17" s="1"/>
      <c r="W17" s="1"/>
      <c r="X17" s="1"/>
      <c r="Y17" s="3"/>
      <c r="Z17" s="1"/>
      <c r="AA17" s="1"/>
      <c r="AB17" s="1"/>
      <c r="AC17" s="1"/>
      <c r="AD17" s="10"/>
      <c r="AE17" s="10"/>
      <c r="AF17" s="1"/>
      <c r="AG17" s="3"/>
    </row>
    <row r="18" spans="1:35" s="7" customFormat="1" x14ac:dyDescent="0.2">
      <c r="A18" s="180">
        <f t="shared" si="7"/>
        <v>2026</v>
      </c>
      <c r="B18" s="128">
        <f t="shared" si="0"/>
        <v>1.2</v>
      </c>
      <c r="C18" s="5">
        <f t="shared" si="8"/>
        <v>14.047707438736722</v>
      </c>
      <c r="D18" s="195">
        <f t="shared" si="1"/>
        <v>11.706422865613936</v>
      </c>
      <c r="E18" s="5">
        <f t="shared" si="2"/>
        <v>4</v>
      </c>
      <c r="F18" s="5">
        <f t="shared" si="9"/>
        <v>17.527015968053973</v>
      </c>
      <c r="G18" s="4">
        <f t="shared" si="3"/>
        <v>4.3817539920134934</v>
      </c>
      <c r="H18" s="128">
        <f t="shared" si="4"/>
        <v>1.7000000000000004</v>
      </c>
      <c r="I18" s="5">
        <f t="shared" si="10"/>
        <v>1.330573042855832</v>
      </c>
      <c r="J18" s="4">
        <f t="shared" si="5"/>
        <v>0.78269002520931275</v>
      </c>
      <c r="K18" s="128">
        <f t="shared" si="11"/>
        <v>6.9</v>
      </c>
      <c r="L18" s="19">
        <f t="shared" si="12"/>
        <v>32.905296449646528</v>
      </c>
      <c r="M18" s="4">
        <f t="shared" si="6"/>
        <v>4.7688835434270329</v>
      </c>
      <c r="N18" s="440"/>
      <c r="O18" s="3"/>
      <c r="P18" s="533">
        <f>'C&amp;C-exp'!C18-'SPM = C&amp;C_exp'!C18</f>
        <v>0.68908679777896253</v>
      </c>
      <c r="Q18" s="534">
        <f>'C&amp;C-exp'!F18-'SPM = C&amp;C_exp'!F18</f>
        <v>-0.98910424360721549</v>
      </c>
      <c r="R18" s="535">
        <f>'C&amp;C-exp'!I18-'SPM = C&amp;C_exp'!I18</f>
        <v>1.1427689436099517</v>
      </c>
      <c r="S18" s="1"/>
      <c r="T18" s="1"/>
      <c r="U18" s="1"/>
      <c r="V18" s="1"/>
      <c r="W18" s="1"/>
      <c r="X18" s="1"/>
      <c r="Y18" s="3"/>
      <c r="Z18" s="1"/>
      <c r="AA18" s="1"/>
      <c r="AB18" s="1"/>
      <c r="AC18" s="10"/>
      <c r="AD18" s="1"/>
      <c r="AE18" s="1"/>
      <c r="AF18" s="1"/>
      <c r="AG18" s="3"/>
    </row>
    <row r="19" spans="1:35" s="7" customFormat="1" x14ac:dyDescent="0.2">
      <c r="A19" s="180">
        <f t="shared" si="7"/>
        <v>2027</v>
      </c>
      <c r="B19" s="128">
        <f t="shared" si="0"/>
        <v>1.2</v>
      </c>
      <c r="C19" s="5">
        <f t="shared" si="8"/>
        <v>12.688072011876486</v>
      </c>
      <c r="D19" s="195">
        <f t="shared" si="1"/>
        <v>10.573393343230405</v>
      </c>
      <c r="E19" s="5">
        <f t="shared" si="2"/>
        <v>4</v>
      </c>
      <c r="F19" s="5">
        <f t="shared" si="9"/>
        <v>16.698574187674637</v>
      </c>
      <c r="G19" s="4">
        <f t="shared" si="3"/>
        <v>4.1746435469186594</v>
      </c>
      <c r="H19" s="128">
        <f t="shared" si="4"/>
        <v>1.7000000000000004</v>
      </c>
      <c r="I19" s="5">
        <f t="shared" si="10"/>
        <v>1.337757526209387</v>
      </c>
      <c r="J19" s="4">
        <f t="shared" si="5"/>
        <v>0.78691619188787454</v>
      </c>
      <c r="K19" s="128">
        <f t="shared" si="11"/>
        <v>6.9</v>
      </c>
      <c r="L19" s="19">
        <f t="shared" si="12"/>
        <v>30.72440372576051</v>
      </c>
      <c r="M19" s="4">
        <f t="shared" si="6"/>
        <v>4.4528121341681892</v>
      </c>
      <c r="N19" s="440"/>
      <c r="O19" s="43"/>
      <c r="P19" s="533">
        <f>'C&amp;C-exp'!C19-'SPM = C&amp;C_exp'!C19</f>
        <v>0.97914764986608205</v>
      </c>
      <c r="Q19" s="534">
        <f>'C&amp;C-exp'!F19-'SPM = C&amp;C_exp'!F19</f>
        <v>-0.72233614783445432</v>
      </c>
      <c r="R19" s="535">
        <f>'C&amp;C-exp'!I19-'SPM = C&amp;C_exp'!I19</f>
        <v>1.3167659502320839</v>
      </c>
      <c r="S19" s="10"/>
      <c r="T19" s="10"/>
      <c r="U19" s="10"/>
      <c r="V19" s="10"/>
      <c r="W19" s="10"/>
      <c r="X19" s="10"/>
      <c r="Y19" s="43"/>
      <c r="Z19" s="10"/>
      <c r="AA19" s="10"/>
      <c r="AB19" s="10"/>
      <c r="AC19" s="1"/>
      <c r="AD19" s="1"/>
      <c r="AE19" s="1"/>
      <c r="AF19" s="1"/>
    </row>
    <row r="20" spans="1:35" x14ac:dyDescent="0.2">
      <c r="A20" s="180">
        <f t="shared" si="7"/>
        <v>2028</v>
      </c>
      <c r="B20" s="128">
        <f t="shared" si="0"/>
        <v>1.2</v>
      </c>
      <c r="C20" s="5">
        <f t="shared" si="8"/>
        <v>11.392015764945256</v>
      </c>
      <c r="D20" s="195">
        <f t="shared" si="1"/>
        <v>9.4933464707877135</v>
      </c>
      <c r="E20" s="5">
        <f t="shared" si="2"/>
        <v>4</v>
      </c>
      <c r="F20" s="5">
        <f t="shared" si="9"/>
        <v>15.828813342189534</v>
      </c>
      <c r="G20" s="4">
        <f t="shared" si="3"/>
        <v>3.9572033355473835</v>
      </c>
      <c r="H20" s="128">
        <f t="shared" si="4"/>
        <v>1.7000000000000004</v>
      </c>
      <c r="I20" s="5">
        <f t="shared" si="10"/>
        <v>1.3430144988181212</v>
      </c>
      <c r="J20" s="4">
        <f t="shared" si="5"/>
        <v>0.7900085287165417</v>
      </c>
      <c r="K20" s="128">
        <f t="shared" si="11"/>
        <v>6.9</v>
      </c>
      <c r="L20" s="19">
        <f t="shared" si="12"/>
        <v>28.563843605952911</v>
      </c>
      <c r="M20" s="4">
        <f t="shared" si="6"/>
        <v>4.1396874791236105</v>
      </c>
      <c r="N20" s="440"/>
      <c r="P20" s="533">
        <f>'C&amp;C-exp'!C20-'SPM = C&amp;C_exp'!C20</f>
        <v>1.1939517510039828</v>
      </c>
      <c r="Q20" s="534">
        <f>'C&amp;C-exp'!F20-'SPM = C&amp;C_exp'!F20</f>
        <v>-0.43816907197220267</v>
      </c>
      <c r="R20" s="535">
        <f>'C&amp;C-exp'!I20-'SPM = C&amp;C_exp'!I20</f>
        <v>1.4846221168827496</v>
      </c>
      <c r="AG20" s="7"/>
      <c r="AH20" s="7"/>
      <c r="AI20" s="7"/>
    </row>
    <row r="21" spans="1:35" x14ac:dyDescent="0.2">
      <c r="A21" s="180">
        <f t="shared" si="7"/>
        <v>2029</v>
      </c>
      <c r="B21" s="128">
        <f t="shared" si="0"/>
        <v>1.2</v>
      </c>
      <c r="C21" s="5">
        <f t="shared" si="8"/>
        <v>10.176016636314174</v>
      </c>
      <c r="D21" s="195">
        <f t="shared" si="1"/>
        <v>8.4800138635951452</v>
      </c>
      <c r="E21" s="5">
        <f t="shared" si="2"/>
        <v>4</v>
      </c>
      <c r="F21" s="5">
        <f t="shared" si="9"/>
        <v>14.938200539028372</v>
      </c>
      <c r="G21" s="4">
        <f t="shared" si="3"/>
        <v>3.7345501347570931</v>
      </c>
      <c r="H21" s="128">
        <f t="shared" si="4"/>
        <v>1.7000000000000004</v>
      </c>
      <c r="I21" s="5">
        <f t="shared" si="10"/>
        <v>1.3464634960118076</v>
      </c>
      <c r="J21" s="4">
        <f t="shared" si="5"/>
        <v>0.79203735059518077</v>
      </c>
      <c r="K21" s="128">
        <f t="shared" si="11"/>
        <v>6.9</v>
      </c>
      <c r="L21" s="19">
        <f t="shared" si="12"/>
        <v>26.460680671354353</v>
      </c>
      <c r="M21" s="4">
        <f t="shared" si="6"/>
        <v>3.8348812567180222</v>
      </c>
      <c r="N21" s="440"/>
      <c r="P21" s="533">
        <f>'C&amp;C-exp'!C21-'SPM = C&amp;C_exp'!C21</f>
        <v>1.329273503534953</v>
      </c>
      <c r="Q21" s="534">
        <f>'C&amp;C-exp'!F21-'SPM = C&amp;C_exp'!F21</f>
        <v>-0.15378827567674591</v>
      </c>
      <c r="R21" s="535">
        <f>'C&amp;C-exp'!I21-'SPM = C&amp;C_exp'!I21</f>
        <v>1.6423619921760442</v>
      </c>
      <c r="AG21" s="7"/>
    </row>
    <row r="22" spans="1:35" x14ac:dyDescent="0.2">
      <c r="A22" s="180">
        <f t="shared" si="7"/>
        <v>2030</v>
      </c>
      <c r="B22" s="128">
        <f t="shared" si="0"/>
        <v>1.2</v>
      </c>
      <c r="C22" s="5">
        <f t="shared" si="8"/>
        <v>9.04930989562056</v>
      </c>
      <c r="D22" s="195">
        <f t="shared" si="1"/>
        <v>7.5410915796838003</v>
      </c>
      <c r="E22" s="5">
        <f t="shared" si="2"/>
        <v>4</v>
      </c>
      <c r="F22" s="5">
        <f t="shared" si="9"/>
        <v>14.043041023543111</v>
      </c>
      <c r="G22" s="4">
        <f t="shared" si="3"/>
        <v>3.5107602558857778</v>
      </c>
      <c r="H22" s="128">
        <f t="shared" si="4"/>
        <v>1.7000000000000004</v>
      </c>
      <c r="I22" s="5">
        <f t="shared" si="10"/>
        <v>1.3482182581020794</v>
      </c>
      <c r="J22" s="4">
        <f t="shared" si="5"/>
        <v>0.79306956358945824</v>
      </c>
      <c r="K22" s="128">
        <f t="shared" si="11"/>
        <v>6.9</v>
      </c>
      <c r="L22" s="19">
        <f t="shared" si="12"/>
        <v>24.440569177265751</v>
      </c>
      <c r="M22" s="4">
        <f t="shared" si="6"/>
        <v>3.5421114749660507</v>
      </c>
      <c r="N22" s="440"/>
      <c r="O22" s="11"/>
      <c r="P22" s="533">
        <f>'C&amp;C-exp'!C22-'SPM = C&amp;C_exp'!C22</f>
        <v>1.3883730492090844</v>
      </c>
      <c r="Q22" s="534">
        <f>'C&amp;C-exp'!F22-'SPM = C&amp;C_exp'!F22</f>
        <v>0.11758043659419926</v>
      </c>
      <c r="R22" s="535">
        <f>'C&amp;C-exp'!I22-'SPM = C&amp;C_exp'!I22</f>
        <v>1.7857883317529115</v>
      </c>
      <c r="AG22" s="7"/>
    </row>
    <row r="23" spans="1:35" x14ac:dyDescent="0.2">
      <c r="A23" s="180">
        <f t="shared" si="7"/>
        <v>2031</v>
      </c>
      <c r="B23" s="128">
        <f t="shared" si="0"/>
        <v>1.2</v>
      </c>
      <c r="C23" s="5">
        <f t="shared" si="8"/>
        <v>8.0158419757005888</v>
      </c>
      <c r="D23" s="195">
        <f t="shared" si="1"/>
        <v>6.6798683130838246</v>
      </c>
      <c r="E23" s="5">
        <f t="shared" si="2"/>
        <v>4</v>
      </c>
      <c r="F23" s="5">
        <f t="shared" si="9"/>
        <v>13.156164830106889</v>
      </c>
      <c r="G23" s="4">
        <f t="shared" si="3"/>
        <v>3.2890412075267221</v>
      </c>
      <c r="H23" s="128">
        <f t="shared" si="4"/>
        <v>1.7000000000000004</v>
      </c>
      <c r="I23" s="5">
        <f t="shared" si="10"/>
        <v>1.3483869828368142</v>
      </c>
      <c r="J23" s="4">
        <f t="shared" si="5"/>
        <v>0.79316881343341994</v>
      </c>
      <c r="K23" s="128">
        <f t="shared" si="11"/>
        <v>6.9</v>
      </c>
      <c r="L23" s="19">
        <f t="shared" si="12"/>
        <v>22.520393788644292</v>
      </c>
      <c r="M23" s="4">
        <f t="shared" si="6"/>
        <v>3.2638251867600423</v>
      </c>
      <c r="N23" s="440"/>
      <c r="O23" s="7"/>
      <c r="P23" s="533">
        <f>'C&amp;C-exp'!C23-'SPM = C&amp;C_exp'!C23</f>
        <v>1.379777713512599</v>
      </c>
      <c r="Q23" s="534">
        <f>'C&amp;C-exp'!F23-'SPM = C&amp;C_exp'!F23</f>
        <v>0.36598315760472211</v>
      </c>
      <c r="R23" s="535">
        <f>'C&amp;C-exp'!I23-'SPM = C&amp;C_exp'!I23</f>
        <v>1.9106046928404803</v>
      </c>
      <c r="AC23" s="10"/>
      <c r="AG23" s="7"/>
    </row>
    <row r="24" spans="1:35" x14ac:dyDescent="0.2">
      <c r="A24" s="180">
        <f t="shared" si="7"/>
        <v>2032</v>
      </c>
      <c r="B24" s="128">
        <f t="shared" si="0"/>
        <v>1.2</v>
      </c>
      <c r="C24" s="5">
        <f t="shared" si="8"/>
        <v>7.0757746563420625</v>
      </c>
      <c r="D24" s="195">
        <f t="shared" si="1"/>
        <v>5.8964788802850521</v>
      </c>
      <c r="E24" s="5">
        <f t="shared" si="2"/>
        <v>4</v>
      </c>
      <c r="F24" s="5">
        <f t="shared" si="9"/>
        <v>12.28751053254544</v>
      </c>
      <c r="G24" s="4">
        <f t="shared" si="3"/>
        <v>3.07187763313636</v>
      </c>
      <c r="H24" s="128">
        <f t="shared" si="4"/>
        <v>1.7000000000000004</v>
      </c>
      <c r="I24" s="5">
        <f t="shared" si="10"/>
        <v>1.3470725674977899</v>
      </c>
      <c r="J24" s="4">
        <f t="shared" si="5"/>
        <v>0.79239562793987628</v>
      </c>
      <c r="K24" s="128">
        <f t="shared" si="11"/>
        <v>6.9</v>
      </c>
      <c r="L24" s="19">
        <f t="shared" si="12"/>
        <v>20.710357756385292</v>
      </c>
      <c r="M24" s="4">
        <f t="shared" si="6"/>
        <v>3.0015011241138105</v>
      </c>
      <c r="N24" s="440"/>
      <c r="O24" s="7"/>
      <c r="P24" s="533">
        <f>'C&amp;C-exp'!C24-'SPM = C&amp;C_exp'!C24</f>
        <v>1.3154611800271141</v>
      </c>
      <c r="Q24" s="534">
        <f>'C&amp;C-exp'!F24-'SPM = C&amp;C_exp'!F24</f>
        <v>0.58417831509277285</v>
      </c>
      <c r="R24" s="535">
        <f>'C&amp;C-exp'!I24-'SPM = C&amp;C_exp'!I24</f>
        <v>2.0125764062566485</v>
      </c>
      <c r="S24" s="10"/>
      <c r="T24" s="10"/>
      <c r="U24" s="10"/>
      <c r="V24" s="10"/>
      <c r="W24" s="10"/>
      <c r="X24" s="10"/>
      <c r="Y24" s="43"/>
      <c r="Z24" s="10"/>
      <c r="AA24" s="10"/>
      <c r="AB24" s="10"/>
      <c r="AC24" s="10"/>
    </row>
    <row r="25" spans="1:35" x14ac:dyDescent="0.2">
      <c r="A25" s="180">
        <f t="shared" si="7"/>
        <v>2033</v>
      </c>
      <c r="B25" s="128">
        <f t="shared" si="0"/>
        <v>1.2</v>
      </c>
      <c r="C25" s="5">
        <f t="shared" si="8"/>
        <v>6.2266351356920495</v>
      </c>
      <c r="D25" s="195">
        <f t="shared" si="1"/>
        <v>5.1888626130767079</v>
      </c>
      <c r="E25" s="5">
        <f t="shared" si="2"/>
        <v>4</v>
      </c>
      <c r="F25" s="5">
        <f t="shared" si="9"/>
        <v>11.444620681421725</v>
      </c>
      <c r="G25" s="4">
        <f t="shared" si="3"/>
        <v>2.8611551703554312</v>
      </c>
      <c r="H25" s="128">
        <f t="shared" si="4"/>
        <v>1.7000000000000004</v>
      </c>
      <c r="I25" s="5">
        <f t="shared" si="10"/>
        <v>1.3443728410507703</v>
      </c>
      <c r="J25" s="4">
        <f t="shared" si="5"/>
        <v>0.79080755355927645</v>
      </c>
      <c r="K25" s="128">
        <f t="shared" si="11"/>
        <v>6.9</v>
      </c>
      <c r="L25" s="19">
        <f t="shared" si="12"/>
        <v>19.015628658164545</v>
      </c>
      <c r="M25" s="4">
        <f t="shared" si="6"/>
        <v>2.7558882113281946</v>
      </c>
      <c r="N25" s="440"/>
      <c r="O25" s="7"/>
      <c r="P25" s="533">
        <f>'C&amp;C-exp'!C25-'SPM = C&amp;C_exp'!C25</f>
        <v>1.2093260796402729</v>
      </c>
      <c r="Q25" s="534">
        <f>'C&amp;C-exp'!F25-'SPM = C&amp;C_exp'!F25</f>
        <v>0.76719143527732925</v>
      </c>
      <c r="R25" s="535">
        <f>'C&amp;C-exp'!I25-'SPM = C&amp;C_exp'!I25</f>
        <v>2.0877298748633586</v>
      </c>
      <c r="S25" s="10"/>
      <c r="T25" s="10"/>
      <c r="U25" s="10"/>
      <c r="V25" s="10"/>
      <c r="W25" s="10"/>
      <c r="X25" s="10"/>
      <c r="Y25" s="43"/>
      <c r="Z25" s="10"/>
      <c r="AA25" s="10"/>
      <c r="AB25" s="10"/>
      <c r="AC25" s="10"/>
    </row>
    <row r="26" spans="1:35" x14ac:dyDescent="0.2">
      <c r="A26" s="180">
        <f t="shared" si="7"/>
        <v>2034</v>
      </c>
      <c r="B26" s="128">
        <f t="shared" si="0"/>
        <v>1.2</v>
      </c>
      <c r="C26" s="5">
        <f t="shared" si="8"/>
        <v>5.4641881823651701</v>
      </c>
      <c r="D26" s="195">
        <f t="shared" si="1"/>
        <v>4.5534901519709754</v>
      </c>
      <c r="E26" s="5">
        <f t="shared" si="2"/>
        <v>4</v>
      </c>
      <c r="F26" s="5">
        <f t="shared" si="9"/>
        <v>10.633061521273106</v>
      </c>
      <c r="G26" s="4">
        <f t="shared" si="3"/>
        <v>2.6582653803182765</v>
      </c>
      <c r="H26" s="128">
        <f t="shared" si="4"/>
        <v>1.7000000000000004</v>
      </c>
      <c r="I26" s="5">
        <f t="shared" si="10"/>
        <v>1.340380786741008</v>
      </c>
      <c r="J26" s="4">
        <f t="shared" si="5"/>
        <v>0.7884592863182398</v>
      </c>
      <c r="K26" s="128">
        <f t="shared" si="11"/>
        <v>6.9</v>
      </c>
      <c r="L26" s="19">
        <f t="shared" si="12"/>
        <v>17.437630490379284</v>
      </c>
      <c r="M26" s="4">
        <f t="shared" si="6"/>
        <v>2.5271928246926496</v>
      </c>
      <c r="N26" s="440"/>
      <c r="O26" s="7"/>
      <c r="P26" s="533">
        <f>'C&amp;C-exp'!C26-'SPM = C&amp;C_exp'!C26</f>
        <v>1.0759212732991257</v>
      </c>
      <c r="Q26" s="534">
        <f>'C&amp;C-exp'!F26-'SPM = C&amp;C_exp'!F26</f>
        <v>0.91197016590232849</v>
      </c>
      <c r="R26" s="535">
        <f>'C&amp;C-exp'!I26-'SPM = C&amp;C_exp'!I26</f>
        <v>2.1325858842895684</v>
      </c>
      <c r="S26" s="10"/>
      <c r="T26" s="10"/>
      <c r="U26" s="10"/>
      <c r="V26" s="10"/>
      <c r="W26" s="10"/>
      <c r="X26" s="10"/>
      <c r="Y26" s="43"/>
      <c r="Z26" s="10"/>
      <c r="AA26" s="10"/>
      <c r="AB26" s="10"/>
    </row>
    <row r="27" spans="1:35" x14ac:dyDescent="0.2">
      <c r="A27" s="180">
        <f t="shared" si="7"/>
        <v>2035</v>
      </c>
      <c r="B27" s="128">
        <f t="shared" si="0"/>
        <v>1.2</v>
      </c>
      <c r="C27" s="5">
        <f t="shared" si="8"/>
        <v>4.7830910102989357</v>
      </c>
      <c r="D27" s="195">
        <f t="shared" si="1"/>
        <v>3.9859091752491134</v>
      </c>
      <c r="E27" s="5">
        <f t="shared" si="2"/>
        <v>4</v>
      </c>
      <c r="F27" s="5">
        <f t="shared" si="9"/>
        <v>9.856777852292339</v>
      </c>
      <c r="G27" s="4">
        <f t="shared" si="3"/>
        <v>2.4641944630730848</v>
      </c>
      <c r="H27" s="128">
        <f t="shared" si="4"/>
        <v>1.7000000000000004</v>
      </c>
      <c r="I27" s="5">
        <f t="shared" si="10"/>
        <v>1.3351847555124152</v>
      </c>
      <c r="J27" s="4">
        <f t="shared" si="5"/>
        <v>0.7854027973602441</v>
      </c>
      <c r="K27" s="128">
        <f t="shared" si="11"/>
        <v>6.9</v>
      </c>
      <c r="L27" s="19">
        <f t="shared" si="12"/>
        <v>15.97505361810369</v>
      </c>
      <c r="M27" s="4">
        <f t="shared" si="6"/>
        <v>2.3152251620440127</v>
      </c>
      <c r="N27" s="440"/>
      <c r="O27" s="7"/>
      <c r="P27" s="533">
        <f>'C&amp;C-exp'!C27-'SPM = C&amp;C_exp'!C27</f>
        <v>0.92934929217883155</v>
      </c>
      <c r="Q27" s="534">
        <f>'C&amp;C-exp'!F27-'SPM = C&amp;C_exp'!F27</f>
        <v>1.01712400007494</v>
      </c>
      <c r="R27" s="535">
        <f>'C&amp;C-exp'!I27-'SPM = C&amp;C_exp'!I27</f>
        <v>2.1444167690097569</v>
      </c>
    </row>
    <row r="28" spans="1:35" x14ac:dyDescent="0.2">
      <c r="A28" s="180">
        <f t="shared" si="7"/>
        <v>2036</v>
      </c>
      <c r="B28" s="128">
        <f t="shared" si="0"/>
        <v>1.2</v>
      </c>
      <c r="C28" s="5">
        <f t="shared" si="8"/>
        <v>4.1773790328906095</v>
      </c>
      <c r="D28" s="195">
        <f t="shared" si="1"/>
        <v>3.4811491940755079</v>
      </c>
      <c r="E28" s="5">
        <f t="shared" si="2"/>
        <v>4</v>
      </c>
      <c r="F28" s="5">
        <f t="shared" si="9"/>
        <v>9.1183924033923347</v>
      </c>
      <c r="G28" s="4">
        <f t="shared" si="3"/>
        <v>2.2795981008480837</v>
      </c>
      <c r="H28" s="128">
        <f t="shared" si="4"/>
        <v>1.7000000000000004</v>
      </c>
      <c r="I28" s="5">
        <f t="shared" si="10"/>
        <v>1.3288686706130903</v>
      </c>
      <c r="J28" s="4">
        <f t="shared" si="5"/>
        <v>0.78168745330181766</v>
      </c>
      <c r="K28" s="128">
        <f t="shared" si="11"/>
        <v>6.9</v>
      </c>
      <c r="L28" s="19">
        <f t="shared" si="12"/>
        <v>14.624640106896035</v>
      </c>
      <c r="M28" s="4">
        <f t="shared" si="6"/>
        <v>2.1195130589704396</v>
      </c>
      <c r="N28" s="440"/>
      <c r="P28" s="533">
        <f>'C&amp;C-exp'!C28-'SPM = C&amp;C_exp'!C28</f>
        <v>0.78234268452710509</v>
      </c>
      <c r="Q28" s="534">
        <f>'C&amp;C-exp'!F28-'SPM = C&amp;C_exp'!F28</f>
        <v>1.0827306711493847</v>
      </c>
      <c r="R28" s="535">
        <f>'C&amp;C-exp'!I28-'SPM = C&amp;C_exp'!I28</f>
        <v>2.1215100027884906</v>
      </c>
    </row>
    <row r="29" spans="1:35" x14ac:dyDescent="0.2">
      <c r="A29" s="180">
        <f t="shared" si="7"/>
        <v>2037</v>
      </c>
      <c r="B29" s="128">
        <f t="shared" si="0"/>
        <v>1.2</v>
      </c>
      <c r="C29" s="5">
        <f t="shared" si="8"/>
        <v>3.6408206433629253</v>
      </c>
      <c r="D29" s="195">
        <f t="shared" si="1"/>
        <v>3.0340172028024379</v>
      </c>
      <c r="E29" s="5">
        <f t="shared" si="2"/>
        <v>4</v>
      </c>
      <c r="F29" s="5">
        <f t="shared" si="9"/>
        <v>8.4194577868025959</v>
      </c>
      <c r="G29" s="4">
        <f t="shared" si="3"/>
        <v>2.104864446700649</v>
      </c>
      <c r="H29" s="128">
        <f t="shared" si="4"/>
        <v>1.7000000000000004</v>
      </c>
      <c r="I29" s="5">
        <f t="shared" si="10"/>
        <v>1.3215122237374004</v>
      </c>
      <c r="J29" s="4">
        <f t="shared" si="5"/>
        <v>0.77736013161023532</v>
      </c>
      <c r="K29" s="128">
        <f t="shared" si="11"/>
        <v>6.9</v>
      </c>
      <c r="L29" s="19">
        <f t="shared" si="12"/>
        <v>13.381790653902922</v>
      </c>
      <c r="M29" s="4">
        <f t="shared" si="6"/>
        <v>1.939389949841003</v>
      </c>
      <c r="N29" s="440"/>
      <c r="P29" s="533">
        <f>'C&amp;C-exp'!C29-'SPM = C&amp;C_exp'!C29</f>
        <v>0.64551008109813779</v>
      </c>
      <c r="Q29" s="534">
        <f>'C&amp;C-exp'!F29-'SPM = C&amp;C_exp'!F29</f>
        <v>1.1101880898621825</v>
      </c>
      <c r="R29" s="535">
        <f>'C&amp;C-exp'!I29-'SPM = C&amp;C_exp'!I29</f>
        <v>2.0634126831196111</v>
      </c>
      <c r="S29" s="58"/>
      <c r="T29" s="28"/>
      <c r="Z29" s="28"/>
      <c r="AA29" s="28"/>
      <c r="AB29" s="28"/>
    </row>
    <row r="30" spans="1:35" x14ac:dyDescent="0.2">
      <c r="A30" s="180">
        <f t="shared" si="7"/>
        <v>2038</v>
      </c>
      <c r="B30" s="128">
        <f t="shared" si="0"/>
        <v>1.2</v>
      </c>
      <c r="C30" s="5">
        <f t="shared" si="8"/>
        <v>3.167171156379716</v>
      </c>
      <c r="D30" s="195">
        <f t="shared" si="1"/>
        <v>2.6393092969830967</v>
      </c>
      <c r="E30" s="5">
        <f t="shared" si="2"/>
        <v>4</v>
      </c>
      <c r="F30" s="5">
        <f t="shared" si="9"/>
        <v>7.7606679819577948</v>
      </c>
      <c r="G30" s="4">
        <f t="shared" si="3"/>
        <v>1.9401669954894487</v>
      </c>
      <c r="H30" s="128">
        <f t="shared" si="4"/>
        <v>1.7000000000000004</v>
      </c>
      <c r="I30" s="5">
        <f t="shared" si="10"/>
        <v>1.3131910630401507</v>
      </c>
      <c r="J30" s="4">
        <f t="shared" si="5"/>
        <v>0.77246533120008842</v>
      </c>
      <c r="K30" s="128">
        <f t="shared" si="11"/>
        <v>6.9</v>
      </c>
      <c r="L30" s="19">
        <f t="shared" si="12"/>
        <v>12.241030201377662</v>
      </c>
      <c r="M30" s="4">
        <f t="shared" si="6"/>
        <v>1.774062348025748</v>
      </c>
      <c r="N30" s="440"/>
      <c r="P30" s="533">
        <f>'C&amp;C-exp'!C30-'SPM = C&amp;C_exp'!C30</f>
        <v>0.52677220571337324</v>
      </c>
      <c r="Q30" s="534">
        <f>'C&amp;C-exp'!F30-'SPM = C&amp;C_exp'!F30</f>
        <v>1.1020876521347827</v>
      </c>
      <c r="R30" s="535">
        <f>'C&amp;C-exp'!I30-'SPM = C&amp;C_exp'!I30</f>
        <v>1.9711237132519286</v>
      </c>
      <c r="Y30" s="7"/>
    </row>
    <row r="31" spans="1:35" x14ac:dyDescent="0.2">
      <c r="A31" s="180">
        <f t="shared" si="7"/>
        <v>2039</v>
      </c>
      <c r="B31" s="128">
        <f t="shared" si="0"/>
        <v>1.2</v>
      </c>
      <c r="C31" s="5">
        <f t="shared" si="8"/>
        <v>2.7503496440287556</v>
      </c>
      <c r="D31" s="195">
        <f t="shared" si="1"/>
        <v>2.2919580366906298</v>
      </c>
      <c r="E31" s="5">
        <f t="shared" si="2"/>
        <v>4</v>
      </c>
      <c r="F31" s="5">
        <f t="shared" si="9"/>
        <v>7.1420353254806912</v>
      </c>
      <c r="G31" s="4">
        <f t="shared" si="3"/>
        <v>1.7855088313701728</v>
      </c>
      <c r="H31" s="128">
        <f t="shared" si="4"/>
        <v>1.7000000000000004</v>
      </c>
      <c r="I31" s="5">
        <f t="shared" si="10"/>
        <v>1.3039769733457405</v>
      </c>
      <c r="J31" s="4">
        <f t="shared" si="5"/>
        <v>0.76704527843867065</v>
      </c>
      <c r="K31" s="128">
        <f t="shared" si="11"/>
        <v>6.9</v>
      </c>
      <c r="L31" s="19">
        <f t="shared" si="12"/>
        <v>11.196361942855187</v>
      </c>
      <c r="M31" s="4">
        <f t="shared" si="6"/>
        <v>1.6226611511384328</v>
      </c>
      <c r="N31" s="440"/>
      <c r="P31" s="533">
        <f>'C&amp;C-exp'!C31-'SPM = C&amp;C_exp'!C31</f>
        <v>0.43102211322131456</v>
      </c>
      <c r="Q31" s="534">
        <f>'C&amp;C-exp'!F31-'SPM = C&amp;C_exp'!F31</f>
        <v>1.0620828474297213</v>
      </c>
      <c r="R31" s="535">
        <f>'C&amp;C-exp'!I31-'SPM = C&amp;C_exp'!I31</f>
        <v>1.8471952980996407</v>
      </c>
      <c r="Y31" s="7"/>
    </row>
    <row r="32" spans="1:35" x14ac:dyDescent="0.2">
      <c r="A32" s="180">
        <f t="shared" si="7"/>
        <v>2040</v>
      </c>
      <c r="B32" s="128">
        <f t="shared" si="0"/>
        <v>1.2</v>
      </c>
      <c r="C32" s="5">
        <f t="shared" si="8"/>
        <v>2.3845572934471768</v>
      </c>
      <c r="D32" s="195">
        <f t="shared" si="1"/>
        <v>1.9871310778726474</v>
      </c>
      <c r="E32" s="5">
        <f t="shared" si="2"/>
        <v>4</v>
      </c>
      <c r="F32" s="5">
        <f t="shared" si="9"/>
        <v>6.5630381445449615</v>
      </c>
      <c r="G32" s="4">
        <f t="shared" si="3"/>
        <v>1.6407595361362404</v>
      </c>
      <c r="H32" s="128">
        <f t="shared" si="4"/>
        <v>1.7000000000000004</v>
      </c>
      <c r="I32" s="5">
        <f t="shared" si="10"/>
        <v>1.2939380488631258</v>
      </c>
      <c r="J32" s="4">
        <f t="shared" si="5"/>
        <v>0.76114002874301501</v>
      </c>
      <c r="K32" s="128">
        <f t="shared" si="11"/>
        <v>6.9</v>
      </c>
      <c r="L32" s="19">
        <f t="shared" si="12"/>
        <v>10.241533486855264</v>
      </c>
      <c r="M32" s="4">
        <f t="shared" si="6"/>
        <v>1.48428021548627</v>
      </c>
      <c r="N32" s="440"/>
      <c r="P32" s="533">
        <f>'C&amp;C-exp'!C32-'SPM = C&amp;C_exp'!C32</f>
        <v>0.36004873336247423</v>
      </c>
      <c r="Q32" s="534">
        <f>'C&amp;C-exp'!F32-'SPM = C&amp;C_exp'!F32</f>
        <v>0.99472780823072426</v>
      </c>
      <c r="R32" s="535">
        <f>'C&amp;C-exp'!I32-'SPM = C&amp;C_exp'!I32</f>
        <v>1.6957054418584643</v>
      </c>
      <c r="Y32" s="7"/>
    </row>
    <row r="33" spans="1:35" x14ac:dyDescent="0.2">
      <c r="A33" s="180">
        <f t="shared" si="7"/>
        <v>2041</v>
      </c>
      <c r="B33" s="128">
        <f t="shared" si="0"/>
        <v>1.2</v>
      </c>
      <c r="C33" s="5">
        <f t="shared" si="8"/>
        <v>2.0643518495306186</v>
      </c>
      <c r="D33" s="195">
        <f t="shared" si="1"/>
        <v>1.7202932079421822</v>
      </c>
      <c r="E33" s="5">
        <f t="shared" si="2"/>
        <v>4</v>
      </c>
      <c r="F33" s="5">
        <f t="shared" si="9"/>
        <v>6.0227434454503879</v>
      </c>
      <c r="G33" s="4">
        <f t="shared" si="3"/>
        <v>1.505685861362597</v>
      </c>
      <c r="H33" s="128">
        <f t="shared" si="4"/>
        <v>1.7000000000000004</v>
      </c>
      <c r="I33" s="5">
        <f t="shared" si="10"/>
        <v>1.2831388587048309</v>
      </c>
      <c r="J33" s="4">
        <f t="shared" si="5"/>
        <v>0.75478756394401803</v>
      </c>
      <c r="K33" s="128">
        <f t="shared" si="11"/>
        <v>6.9</v>
      </c>
      <c r="L33" s="19">
        <f t="shared" si="12"/>
        <v>9.3702341536858373</v>
      </c>
      <c r="M33" s="4">
        <f t="shared" si="6"/>
        <v>1.3580049498095417</v>
      </c>
      <c r="N33" s="440"/>
      <c r="P33" s="533">
        <f>'C&amp;C-exp'!C33-'SPM = C&amp;C_exp'!C33</f>
        <v>0.31275388598830967</v>
      </c>
      <c r="Q33" s="534">
        <f>'C&amp;C-exp'!F33-'SPM = C&amp;C_exp'!F33</f>
        <v>0.90526538929926836</v>
      </c>
      <c r="R33" s="535">
        <f>'C&amp;C-exp'!I33-'SPM = C&amp;C_exp'!I33</f>
        <v>1.522071567223231</v>
      </c>
      <c r="Y33" s="7"/>
    </row>
    <row r="34" spans="1:35" x14ac:dyDescent="0.2">
      <c r="A34" s="180">
        <f t="shared" si="7"/>
        <v>2042</v>
      </c>
      <c r="B34" s="128">
        <f t="shared" si="0"/>
        <v>1.2</v>
      </c>
      <c r="C34" s="5">
        <f t="shared" si="8"/>
        <v>1.7846894789517567</v>
      </c>
      <c r="D34" s="195">
        <f t="shared" si="1"/>
        <v>1.4872412324597972</v>
      </c>
      <c r="E34" s="5">
        <f t="shared" si="2"/>
        <v>4</v>
      </c>
      <c r="F34" s="5">
        <f t="shared" si="9"/>
        <v>5.5199084426995242</v>
      </c>
      <c r="G34" s="4">
        <f t="shared" si="3"/>
        <v>1.379977110674881</v>
      </c>
      <c r="H34" s="128">
        <f t="shared" si="4"/>
        <v>1.7000000000000004</v>
      </c>
      <c r="I34" s="5">
        <f t="shared" si="10"/>
        <v>1.2716406054971969</v>
      </c>
      <c r="J34" s="4">
        <f t="shared" si="5"/>
        <v>0.74802388558658628</v>
      </c>
      <c r="K34" s="128">
        <f t="shared" si="11"/>
        <v>6.9</v>
      </c>
      <c r="L34" s="19">
        <f t="shared" si="12"/>
        <v>8.5762385271484778</v>
      </c>
      <c r="M34" s="4">
        <f t="shared" si="6"/>
        <v>1.2429331198765909</v>
      </c>
      <c r="N34" s="440"/>
      <c r="P34" s="533">
        <f>'C&amp;C-exp'!C34-'SPM = C&amp;C_exp'!C34</f>
        <v>0.28566676571150795</v>
      </c>
      <c r="Q34" s="534">
        <f>'C&amp;C-exp'!F34-'SPM = C&amp;C_exp'!F34</f>
        <v>0.79935485016028807</v>
      </c>
      <c r="R34" s="535">
        <f>'C&amp;C-exp'!I34-'SPM = C&amp;C_exp'!I34</f>
        <v>1.332694641684709</v>
      </c>
      <c r="Y34" s="7"/>
    </row>
    <row r="35" spans="1:35" x14ac:dyDescent="0.2">
      <c r="A35" s="180">
        <f t="shared" si="7"/>
        <v>2043</v>
      </c>
      <c r="B35" s="128">
        <f t="shared" si="0"/>
        <v>1.2</v>
      </c>
      <c r="C35" s="5">
        <f t="shared" si="8"/>
        <v>1.5409428352177912</v>
      </c>
      <c r="D35" s="195">
        <f t="shared" si="1"/>
        <v>1.2841190293481595</v>
      </c>
      <c r="E35" s="5">
        <f t="shared" si="2"/>
        <v>4</v>
      </c>
      <c r="F35" s="5">
        <f t="shared" si="9"/>
        <v>5.0530641730979156</v>
      </c>
      <c r="G35" s="4">
        <f t="shared" si="3"/>
        <v>1.2632660432744789</v>
      </c>
      <c r="H35" s="128">
        <f t="shared" si="4"/>
        <v>1.7000000000000004</v>
      </c>
      <c r="I35" s="5">
        <f t="shared" si="10"/>
        <v>1.259501277357316</v>
      </c>
      <c r="J35" s="4">
        <f t="shared" si="5"/>
        <v>0.74088310432783278</v>
      </c>
      <c r="K35" s="128">
        <f t="shared" si="11"/>
        <v>6.9</v>
      </c>
      <c r="L35" s="19">
        <f t="shared" si="12"/>
        <v>7.8535082856730227</v>
      </c>
      <c r="M35" s="4">
        <f t="shared" si="6"/>
        <v>1.1381896066192787</v>
      </c>
      <c r="N35" s="440"/>
      <c r="P35" s="533">
        <f>'C&amp;C-exp'!C35-'SPM = C&amp;C_exp'!C35</f>
        <v>0.27371618990076985</v>
      </c>
      <c r="Q35" s="534">
        <f>'C&amp;C-exp'!F35-'SPM = C&amp;C_exp'!F35</f>
        <v>0.68274540487860413</v>
      </c>
      <c r="R35" s="535">
        <f>'C&amp;C-exp'!I35-'SPM = C&amp;C_exp'!I35</f>
        <v>1.1344535924996255</v>
      </c>
    </row>
    <row r="36" spans="1:35" x14ac:dyDescent="0.2">
      <c r="A36" s="180">
        <f t="shared" si="7"/>
        <v>2044</v>
      </c>
      <c r="B36" s="128">
        <f t="shared" si="0"/>
        <v>1.2</v>
      </c>
      <c r="C36" s="5">
        <f t="shared" si="8"/>
        <v>1.3289020848758604</v>
      </c>
      <c r="D36" s="195">
        <f t="shared" si="1"/>
        <v>1.1074184040632171</v>
      </c>
      <c r="E36" s="5">
        <f t="shared" si="2"/>
        <v>4</v>
      </c>
      <c r="F36" s="5">
        <f t="shared" si="9"/>
        <v>4.620583972944118</v>
      </c>
      <c r="G36" s="4">
        <f t="shared" si="3"/>
        <v>1.1551459932360295</v>
      </c>
      <c r="H36" s="128">
        <f t="shared" si="4"/>
        <v>1.7000000000000004</v>
      </c>
      <c r="I36" s="5">
        <f t="shared" si="10"/>
        <v>1.2467757935026285</v>
      </c>
      <c r="J36" s="4">
        <f t="shared" si="5"/>
        <v>0.73339752558978133</v>
      </c>
      <c r="K36" s="128">
        <f t="shared" si="11"/>
        <v>6.9</v>
      </c>
      <c r="L36" s="19">
        <f t="shared" si="12"/>
        <v>7.1962618513226069</v>
      </c>
      <c r="M36" s="4">
        <f t="shared" si="6"/>
        <v>1.0429365001916822</v>
      </c>
      <c r="N36" s="440"/>
      <c r="P36" s="533">
        <f>'C&amp;C-exp'!C36-'SPM = C&amp;C_exp'!C36</f>
        <v>0.27116550924787308</v>
      </c>
      <c r="Q36" s="534">
        <f>'C&amp;C-exp'!F36-'SPM = C&amp;C_exp'!F36</f>
        <v>0.56092186320186421</v>
      </c>
      <c r="R36" s="535">
        <f>'C&amp;C-exp'!I36-'SPM = C&amp;C_exp'!I36</f>
        <v>0.9341075564767567</v>
      </c>
    </row>
    <row r="37" spans="1:35" x14ac:dyDescent="0.2">
      <c r="A37" s="180">
        <f t="shared" si="7"/>
        <v>2045</v>
      </c>
      <c r="B37" s="128">
        <f t="shared" si="0"/>
        <v>1.2</v>
      </c>
      <c r="C37" s="5">
        <f t="shared" si="8"/>
        <v>1.1447640643479735</v>
      </c>
      <c r="D37" s="195">
        <f t="shared" si="1"/>
        <v>0.95397005362331133</v>
      </c>
      <c r="E37" s="5">
        <f t="shared" si="2"/>
        <v>4</v>
      </c>
      <c r="F37" s="5">
        <f t="shared" si="9"/>
        <v>4.2207391943102763</v>
      </c>
      <c r="G37" s="4">
        <f t="shared" si="3"/>
        <v>1.0551847985775691</v>
      </c>
      <c r="H37" s="128">
        <f t="shared" si="4"/>
        <v>1.7000000000000004</v>
      </c>
      <c r="I37" s="5">
        <f t="shared" si="10"/>
        <v>1.2335161437468614</v>
      </c>
      <c r="J37" s="4">
        <f t="shared" si="5"/>
        <v>0.72559773161580066</v>
      </c>
      <c r="K37" s="128">
        <f t="shared" si="11"/>
        <v>6.9</v>
      </c>
      <c r="L37" s="19">
        <f t="shared" si="12"/>
        <v>6.5990194024051112</v>
      </c>
      <c r="M37" s="4">
        <f t="shared" si="6"/>
        <v>0.95637962353697259</v>
      </c>
      <c r="N37" s="440"/>
      <c r="P37" s="533">
        <f>'C&amp;C-exp'!C37-'SPM = C&amp;C_exp'!C37</f>
        <v>0.27256211009166909</v>
      </c>
      <c r="Q37" s="534">
        <f>'C&amp;C-exp'!F37-'SPM = C&amp;C_exp'!F37</f>
        <v>0.43876754655559225</v>
      </c>
      <c r="R37" s="535">
        <f>'C&amp;C-exp'!I37-'SPM = C&amp;C_exp'!I37</f>
        <v>0.73769941672997041</v>
      </c>
    </row>
    <row r="38" spans="1:35" x14ac:dyDescent="0.2">
      <c r="A38" s="180">
        <f t="shared" si="7"/>
        <v>2046</v>
      </c>
      <c r="B38" s="128">
        <f t="shared" si="0"/>
        <v>1.2</v>
      </c>
      <c r="C38" s="5">
        <f t="shared" si="8"/>
        <v>0.98511348840227164</v>
      </c>
      <c r="D38" s="195">
        <f t="shared" si="1"/>
        <v>0.82092790700189311</v>
      </c>
      <c r="E38" s="5">
        <f t="shared" si="2"/>
        <v>4</v>
      </c>
      <c r="F38" s="5">
        <f t="shared" si="9"/>
        <v>3.8517441900823641</v>
      </c>
      <c r="G38" s="4">
        <f t="shared" si="3"/>
        <v>0.96293604752059103</v>
      </c>
      <c r="H38" s="128">
        <f t="shared" si="4"/>
        <v>1.7000000000000004</v>
      </c>
      <c r="I38" s="5">
        <f t="shared" si="10"/>
        <v>1.2197715221288021</v>
      </c>
      <c r="J38" s="4">
        <f t="shared" si="5"/>
        <v>0.71751266007576575</v>
      </c>
      <c r="K38" s="128">
        <f t="shared" si="11"/>
        <v>6.9</v>
      </c>
      <c r="L38" s="19">
        <f t="shared" si="12"/>
        <v>6.0566292006134379</v>
      </c>
      <c r="M38" s="4">
        <f t="shared" si="6"/>
        <v>0.87777234791499092</v>
      </c>
      <c r="N38" s="440"/>
      <c r="P38" s="533">
        <f>'C&amp;C-exp'!C38-'SPM = C&amp;C_exp'!C38</f>
        <v>0.27352449972985027</v>
      </c>
      <c r="Q38" s="534">
        <f>'C&amp;C-exp'!F38-'SPM = C&amp;C_exp'!F38</f>
        <v>0.32030028463367799</v>
      </c>
      <c r="R38" s="535">
        <f>'C&amp;C-exp'!I38-'SPM = C&amp;C_exp'!I38</f>
        <v>0.55007394901796136</v>
      </c>
    </row>
    <row r="39" spans="1:35" x14ac:dyDescent="0.2">
      <c r="A39" s="180">
        <f t="shared" si="7"/>
        <v>2047</v>
      </c>
      <c r="B39" s="128">
        <f t="shared" si="0"/>
        <v>1.2</v>
      </c>
      <c r="C39" s="5">
        <f t="shared" si="8"/>
        <v>0.84689915512439651</v>
      </c>
      <c r="D39" s="195">
        <f t="shared" si="1"/>
        <v>0.70574929593699709</v>
      </c>
      <c r="E39" s="5">
        <f t="shared" si="2"/>
        <v>4</v>
      </c>
      <c r="F39" s="5">
        <f t="shared" si="9"/>
        <v>3.5117922993366477</v>
      </c>
      <c r="G39" s="4">
        <f t="shared" si="3"/>
        <v>0.87794807483416193</v>
      </c>
      <c r="H39" s="128">
        <f t="shared" si="4"/>
        <v>1.7000000000000004</v>
      </c>
      <c r="I39" s="5">
        <f t="shared" si="10"/>
        <v>1.2055884549077831</v>
      </c>
      <c r="J39" s="4">
        <f t="shared" si="5"/>
        <v>0.70916967935751929</v>
      </c>
      <c r="K39" s="128">
        <f t="shared" si="11"/>
        <v>6.9</v>
      </c>
      <c r="L39" s="19">
        <f t="shared" si="12"/>
        <v>5.5642799093688273</v>
      </c>
      <c r="M39" s="4">
        <f t="shared" si="6"/>
        <v>0.80641737816939518</v>
      </c>
      <c r="N39" s="440"/>
      <c r="P39" s="533">
        <f>'C&amp;C-exp'!C39-'SPM = C&amp;C_exp'!C39</f>
        <v>0.271207967787362</v>
      </c>
      <c r="Q39" s="534">
        <f>'C&amp;C-exp'!F39-'SPM = C&amp;C_exp'!F39</f>
        <v>0.20853179506291264</v>
      </c>
      <c r="R39" s="535">
        <f>'C&amp;C-exp'!I39-'SPM = C&amp;C_exp'!I39</f>
        <v>0.37461268986760721</v>
      </c>
    </row>
    <row r="40" spans="1:35" x14ac:dyDescent="0.2">
      <c r="A40" s="180">
        <f t="shared" si="7"/>
        <v>2048</v>
      </c>
      <c r="B40" s="128">
        <f t="shared" si="0"/>
        <v>1.2</v>
      </c>
      <c r="C40" s="5">
        <f t="shared" si="8"/>
        <v>0.72740733238170119</v>
      </c>
      <c r="D40" s="195">
        <f t="shared" si="1"/>
        <v>0.60617277698475103</v>
      </c>
      <c r="E40" s="5">
        <f t="shared" si="2"/>
        <v>4</v>
      </c>
      <c r="F40" s="5">
        <f t="shared" si="9"/>
        <v>3.1990843082613765</v>
      </c>
      <c r="G40" s="4">
        <f t="shared" si="3"/>
        <v>0.79977107706534412</v>
      </c>
      <c r="H40" s="128">
        <f t="shared" si="4"/>
        <v>1.7000000000000004</v>
      </c>
      <c r="I40" s="5">
        <f t="shared" si="10"/>
        <v>1.1910109231536623</v>
      </c>
      <c r="J40" s="4">
        <f t="shared" si="5"/>
        <v>0.70059466067862475</v>
      </c>
      <c r="K40" s="128">
        <f t="shared" si="11"/>
        <v>6.9</v>
      </c>
      <c r="L40" s="19">
        <f t="shared" si="12"/>
        <v>5.11750256379674</v>
      </c>
      <c r="M40" s="4">
        <f t="shared" si="6"/>
        <v>0.74166703823141156</v>
      </c>
      <c r="N40" s="440"/>
      <c r="P40" s="533">
        <f>'C&amp;C-exp'!C40-'SPM = C&amp;C_exp'!C40</f>
        <v>0.26436651648478948</v>
      </c>
      <c r="Q40" s="534">
        <f>'C&amp;C-exp'!F40-'SPM = C&amp;C_exp'!F40</f>
        <v>0.10547512975617268</v>
      </c>
      <c r="R40" s="535">
        <f>'C&amp;C-exp'!I40-'SPM = C&amp;C_exp'!I40</f>
        <v>0.21323763700516052</v>
      </c>
    </row>
    <row r="41" spans="1:35" x14ac:dyDescent="0.2">
      <c r="A41" s="180">
        <f t="shared" si="7"/>
        <v>2049</v>
      </c>
      <c r="B41" s="128">
        <f t="shared" si="0"/>
        <v>1.2</v>
      </c>
      <c r="C41" s="5">
        <f t="shared" si="8"/>
        <v>0.62423392223048602</v>
      </c>
      <c r="D41" s="195">
        <f t="shared" si="1"/>
        <v>0.52019493519207172</v>
      </c>
      <c r="E41" s="5">
        <f t="shared" si="2"/>
        <v>4</v>
      </c>
      <c r="F41" s="5">
        <f t="shared" si="9"/>
        <v>2.9118506415284493</v>
      </c>
      <c r="G41" s="4">
        <f t="shared" si="3"/>
        <v>0.72796266038211233</v>
      </c>
      <c r="H41" s="128">
        <f t="shared" si="4"/>
        <v>1.7000000000000004</v>
      </c>
      <c r="I41" s="5">
        <f t="shared" si="10"/>
        <v>1.1760804801477889</v>
      </c>
      <c r="J41" s="4">
        <f t="shared" si="5"/>
        <v>0.69181204714575795</v>
      </c>
      <c r="K41" s="128">
        <f t="shared" si="11"/>
        <v>6.9</v>
      </c>
      <c r="L41" s="19">
        <f t="shared" si="12"/>
        <v>4.7121650439067242</v>
      </c>
      <c r="M41" s="4">
        <f t="shared" si="6"/>
        <v>0.68292247013140928</v>
      </c>
      <c r="N41" s="440"/>
      <c r="P41" s="533">
        <f>'C&amp;C-exp'!C41-'SPM = C&amp;C_exp'!C41</f>
        <v>0.25304995982190104</v>
      </c>
      <c r="Q41" s="534">
        <f>'C&amp;C-exp'!F41-'SPM = C&amp;C_exp'!F41</f>
        <v>1.2283996937493047E-2</v>
      </c>
      <c r="R41" s="535">
        <f>'C&amp;C-exp'!I41-'SPM = C&amp;C_exp'!I41</f>
        <v>6.6656474957521139E-2</v>
      </c>
    </row>
    <row r="42" spans="1:35" ht="13.5" thickBot="1" x14ac:dyDescent="0.25">
      <c r="A42" s="189">
        <f>A41+1</f>
        <v>2050</v>
      </c>
      <c r="B42" s="181">
        <f>RF!B40</f>
        <v>1.2</v>
      </c>
      <c r="C42" s="182">
        <f t="shared" si="8"/>
        <v>0.53525654652760757</v>
      </c>
      <c r="D42" s="196">
        <f t="shared" si="1"/>
        <v>0.44604712210633968</v>
      </c>
      <c r="E42" s="190">
        <f>RF!E40</f>
        <v>4</v>
      </c>
      <c r="F42" s="182">
        <f t="shared" si="9"/>
        <v>2.6483683498831034</v>
      </c>
      <c r="G42" s="183">
        <f t="shared" si="3"/>
        <v>0.66209208747077586</v>
      </c>
      <c r="H42" s="184">
        <f>K42-E42-B42</f>
        <v>1.7000000000000004</v>
      </c>
      <c r="I42" s="182">
        <f t="shared" si="10"/>
        <v>1.1608363638045418</v>
      </c>
      <c r="J42" s="183">
        <f t="shared" si="5"/>
        <v>0.68284491988502438</v>
      </c>
      <c r="K42" s="181">
        <f>RF!K40</f>
        <v>6.9</v>
      </c>
      <c r="L42" s="185">
        <f t="shared" si="12"/>
        <v>4.3444612602152528</v>
      </c>
      <c r="M42" s="593">
        <f t="shared" si="6"/>
        <v>0.62963206669786265</v>
      </c>
      <c r="N42" s="441"/>
      <c r="P42" s="536">
        <f>'C&amp;C-exp'!C42-'SPM = C&amp;C_exp'!C42</f>
        <v>0.23809422266182945</v>
      </c>
      <c r="Q42" s="537">
        <f>'C&amp;C-exp'!F42-'SPM = C&amp;C_exp'!F42</f>
        <v>-7.0532452584979755E-2</v>
      </c>
      <c r="R42" s="538">
        <f>'C&amp;C-exp'!I42-'SPM = C&amp;C_exp'!I42</f>
        <v>-6.5256107452839052E-2</v>
      </c>
    </row>
    <row r="43" spans="1:35" s="206" customFormat="1" x14ac:dyDescent="0.2">
      <c r="A43" s="489" t="s">
        <v>1</v>
      </c>
      <c r="B43" s="197"/>
      <c r="C43" s="207">
        <f>SUM(C12:C42)</f>
        <v>227.6829764691891</v>
      </c>
      <c r="D43" s="208"/>
      <c r="E43" s="207"/>
      <c r="F43" s="207">
        <f>SUM(F12:F42)</f>
        <v>333.17263109686911</v>
      </c>
      <c r="G43" s="207"/>
      <c r="H43" s="209"/>
      <c r="I43" s="207">
        <f>SUM(I12:I42)</f>
        <v>39.938748471663679</v>
      </c>
      <c r="J43" s="207"/>
      <c r="K43" s="210"/>
      <c r="L43" s="207">
        <f>SUM(L12:L42)</f>
        <v>600.79435603772151</v>
      </c>
      <c r="M43" s="198"/>
      <c r="N43" s="205"/>
      <c r="O43" s="3"/>
      <c r="T43" s="1"/>
      <c r="U43" s="1"/>
      <c r="V43" s="1"/>
      <c r="W43" s="1"/>
      <c r="X43" s="1"/>
      <c r="Y43" s="3"/>
      <c r="Z43" s="1"/>
      <c r="AA43" s="1"/>
      <c r="AB43" s="1"/>
      <c r="AC43" s="1"/>
      <c r="AD43" s="1"/>
      <c r="AE43" s="1"/>
      <c r="AF43" s="1"/>
      <c r="AG43" s="3"/>
      <c r="AH43" s="3"/>
      <c r="AI43" s="3"/>
    </row>
    <row r="44" spans="1:35" ht="13.5" thickBot="1" x14ac:dyDescent="0.25">
      <c r="A44" s="180" t="s">
        <v>52</v>
      </c>
      <c r="B44" s="197"/>
      <c r="C44" s="211">
        <f>C$11*EXP(-C$8*($A42-$A$11))/C$8^2*((C$7*C$8+C$8^2)*($A42-$A$11)+2*C$8+C$7)</f>
        <v>3.1300554773197122</v>
      </c>
      <c r="D44" s="208"/>
      <c r="E44" s="207"/>
      <c r="F44" s="211">
        <f>F$11*EXP(-F$8*($A42-$A$11))/F$8^2*((F$7*F$8+F$8^2)*($A42-$A$11)+2*F$8+F$7)</f>
        <v>25.15501024705447</v>
      </c>
      <c r="G44" s="207"/>
      <c r="H44" s="209"/>
      <c r="I44" s="211">
        <f>I$11*EXP(-I$8*($A42-$A$11))/I$8^2*((I$7*I$8+I$8^2)*($A42-$A$11)+2*I$8+I$7)</f>
        <v>54.886783628546148</v>
      </c>
      <c r="J44" s="207"/>
      <c r="K44" s="212"/>
      <c r="L44" s="213">
        <f t="shared" si="12"/>
        <v>83.171849352920333</v>
      </c>
      <c r="M44" s="204"/>
      <c r="N44" s="152"/>
      <c r="AH44" s="206"/>
      <c r="AI44" s="206"/>
    </row>
    <row r="45" spans="1:35" ht="13.5" thickBot="1" x14ac:dyDescent="0.25">
      <c r="A45" s="143" t="s">
        <v>1</v>
      </c>
      <c r="B45" s="199"/>
      <c r="C45" s="145">
        <f>SUM(C43:C44)</f>
        <v>230.8130319465088</v>
      </c>
      <c r="D45" s="200"/>
      <c r="E45" s="145"/>
      <c r="F45" s="145">
        <f>SUM(F43:F44)</f>
        <v>358.32764134392357</v>
      </c>
      <c r="G45" s="146"/>
      <c r="H45" s="144"/>
      <c r="I45" s="145">
        <f>SUM(I43:I44)</f>
        <v>94.825532100209827</v>
      </c>
      <c r="J45" s="146"/>
      <c r="K45" s="144"/>
      <c r="L45" s="147">
        <f>SUM(L43:L44)</f>
        <v>683.96620539064179</v>
      </c>
      <c r="M45" s="148"/>
      <c r="N45" s="138"/>
    </row>
    <row r="46" spans="1:35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5" x14ac:dyDescent="0.2">
      <c r="A47" s="7"/>
      <c r="B47" s="7"/>
      <c r="C47" s="7"/>
      <c r="D47" s="7"/>
      <c r="E47" s="7"/>
      <c r="F47" s="7" t="s">
        <v>58</v>
      </c>
      <c r="K47" s="114"/>
      <c r="L47" s="113">
        <f>'global path'!C88</f>
        <v>683.96620539064213</v>
      </c>
      <c r="M47" s="7"/>
      <c r="N47" s="7"/>
      <c r="AF47" s="2"/>
      <c r="AG47" s="206"/>
    </row>
    <row r="48" spans="1:35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113">
        <f>L45-L47</f>
        <v>0</v>
      </c>
      <c r="M48" s="7"/>
      <c r="N48" s="7"/>
    </row>
    <row r="49" spans="1:31" x14ac:dyDescent="0.2">
      <c r="AD49" s="2"/>
      <c r="AE49" s="2"/>
    </row>
    <row r="50" spans="1:31" ht="13.5" thickBot="1" x14ac:dyDescent="0.25"/>
    <row r="51" spans="1:31" x14ac:dyDescent="0.2">
      <c r="A51" s="491">
        <f>A42+1</f>
        <v>2051</v>
      </c>
      <c r="B51" s="568">
        <f>B42</f>
        <v>1.2</v>
      </c>
      <c r="C51" s="493">
        <f>-C$11*EXP(-C$8*($A51-$A$11))/C$8^2*((C$7*C$8+C$8^2)*($A51-$A$11)+2*C$8+C$7)
  +C$11*EXP(-C$8*($A42-$A$11))/C$8^2*((C$7*C$8+C$8^2)*($A42-$A$11)+2*C$8+C$7)</f>
        <v>0.45860735042430445</v>
      </c>
      <c r="D51" s="494">
        <f t="shared" ref="D51:D100" si="13">C51/B51</f>
        <v>0.38217279202025373</v>
      </c>
      <c r="E51" s="568">
        <f>E42</f>
        <v>4</v>
      </c>
      <c r="F51" s="493">
        <f>-F$11*EXP(-F$8*($A51-$A$11))/F$8^2*((F$7*F$8+F$8^2)*($A51-$A$11)+2*F$8+F$7)
  +F$11*EXP(-F$8*($A42-$A$11))/F$8^2*((F$7*F$8+F$8^2)*($A42-$A$11)+2*F$8+F$7)</f>
        <v>2.4069737974868062</v>
      </c>
      <c r="G51" s="495">
        <f t="shared" ref="G51:G100" si="14">F51/E51</f>
        <v>0.60174344937170154</v>
      </c>
      <c r="H51" s="568">
        <f>H42</f>
        <v>1.7000000000000004</v>
      </c>
      <c r="I51" s="493">
        <f>-I$11*EXP(-I$8*($A51-$A$11))/I$8^2*((I$7*I$8+I$8^2)*($A51-$A$11)+2*I$8+I$7)
  +I$11*EXP(-I$8*($A42-$A$11))/I$8^2*((I$7*I$8+I$8^2)*($A42-$A$11)+2*I$8+I$7)</f>
        <v>1.1453156043140353</v>
      </c>
      <c r="J51" s="495">
        <f t="shared" ref="J51:J100" si="15">I51/H51</f>
        <v>0.67371506136119708</v>
      </c>
      <c r="K51" s="492">
        <f t="shared" ref="K51:K100" si="16">B51+E51+H51</f>
        <v>6.9</v>
      </c>
      <c r="L51" s="496">
        <f t="shared" ref="L51:L100" si="17">I51+F51+C51</f>
        <v>4.010896752225146</v>
      </c>
      <c r="M51" s="494">
        <f t="shared" ref="M51:M100" si="18">L51/K51</f>
        <v>0.58128938438045585</v>
      </c>
      <c r="N51" s="497"/>
      <c r="O51" s="206"/>
      <c r="P51" s="559">
        <f>'C&amp;C-exp'!C48-'SPM = C&amp;C_exp'!C51</f>
        <v>0.22061666263242963</v>
      </c>
      <c r="Q51" s="560">
        <f>'C&amp;C-exp'!F48-'SPM = C&amp;C_exp'!F51</f>
        <v>-0.14289375396435888</v>
      </c>
      <c r="R51" s="561">
        <f>'C&amp;C-exp'!I48-'SPM = C&amp;C_exp'!I51</f>
        <v>-0.18308158581699518</v>
      </c>
    </row>
    <row r="52" spans="1:31" x14ac:dyDescent="0.2">
      <c r="A52" s="180">
        <f>A51+1</f>
        <v>2052</v>
      </c>
      <c r="B52" s="128">
        <f>B51</f>
        <v>1.2</v>
      </c>
      <c r="C52" s="5">
        <f t="shared" ref="C52:C100" si="19">-C$11*EXP(-C$8*($A52-$A$11))/C$8^2*((C$7*C$8+C$8^2)*($A52-$A$11)+2*C$8+C$7)
  +C$11*EXP(-C$8*($A51-$A$11))/C$8^2*((C$7*C$8+C$8^2)*($A51-$A$11)+2*C$8+C$7)</f>
        <v>0.3926470575148473</v>
      </c>
      <c r="D52" s="195">
        <f t="shared" si="13"/>
        <v>0.32720588126237277</v>
      </c>
      <c r="E52" s="128">
        <f>E51</f>
        <v>4</v>
      </c>
      <c r="F52" s="5">
        <f t="shared" ref="F52:F100" si="20">-F$11*EXP(-F$8*($A52-$A$11))/F$8^2*((F$7*F$8+F$8^2)*($A52-$A$11)+2*F$8+F$7)
  +F$11*EXP(-F$8*($A51-$A$11))/F$8^2*((F$7*F$8+F$8^2)*($A51-$A$11)+2*F$8+F$7)</f>
        <v>2.186071813540206</v>
      </c>
      <c r="G52" s="4">
        <f t="shared" si="14"/>
        <v>0.54651795338505149</v>
      </c>
      <c r="H52" s="128">
        <f>H51</f>
        <v>1.7000000000000004</v>
      </c>
      <c r="I52" s="5">
        <f t="shared" ref="I52:I100" si="21">-I$11*EXP(-I$8*($A52-$A$11))/I$8^2*((I$7*I$8+I$8^2)*($A52-$A$11)+2*I$8+I$7)
  +I$11*EXP(-I$8*($A51-$A$11))/I$8^2*((I$7*I$8+I$8^2)*($A51-$A$11)+2*I$8+I$7)</f>
        <v>1.1295531271992942</v>
      </c>
      <c r="J52" s="4">
        <f t="shared" si="15"/>
        <v>0.66444301599958466</v>
      </c>
      <c r="K52" s="128">
        <f t="shared" si="16"/>
        <v>6.9</v>
      </c>
      <c r="L52" s="19">
        <f t="shared" si="17"/>
        <v>3.7082719982543475</v>
      </c>
      <c r="M52" s="195">
        <f t="shared" si="18"/>
        <v>0.53743072438468797</v>
      </c>
      <c r="N52" s="440"/>
      <c r="P52" s="533">
        <f>'C&amp;C-exp'!C49-'SPM = C&amp;C_exp'!C52</f>
        <v>0.20167806343633443</v>
      </c>
      <c r="Q52" s="534">
        <f>'C&amp;C-exp'!F49-'SPM = C&amp;C_exp'!F52</f>
        <v>-0.20498807703626665</v>
      </c>
      <c r="R52" s="535">
        <f>'C&amp;C-exp'!I49-'SPM = C&amp;C_exp'!I52</f>
        <v>-0.28759253918511996</v>
      </c>
    </row>
    <row r="53" spans="1:31" x14ac:dyDescent="0.2">
      <c r="A53" s="180">
        <f t="shared" ref="A53:A100" si="22">A52+1</f>
        <v>2053</v>
      </c>
      <c r="B53" s="128">
        <f t="shared" ref="B53:B100" si="23">B52</f>
        <v>1.2</v>
      </c>
      <c r="C53" s="5">
        <f t="shared" si="19"/>
        <v>0.33594061293494559</v>
      </c>
      <c r="D53" s="195">
        <f t="shared" si="13"/>
        <v>0.27995051077912136</v>
      </c>
      <c r="E53" s="128">
        <f t="shared" ref="E53:E100" si="24">E52</f>
        <v>4</v>
      </c>
      <c r="F53" s="5">
        <f t="shared" si="20"/>
        <v>1.9841419537263114</v>
      </c>
      <c r="G53" s="4">
        <f t="shared" si="14"/>
        <v>0.49603548843157785</v>
      </c>
      <c r="H53" s="128">
        <f t="shared" ref="H53:H100" si="25">H52</f>
        <v>1.7000000000000004</v>
      </c>
      <c r="I53" s="5">
        <f t="shared" si="21"/>
        <v>1.1135818519734499</v>
      </c>
      <c r="J53" s="4">
        <f t="shared" si="15"/>
        <v>0.65504814821967627</v>
      </c>
      <c r="K53" s="128">
        <f t="shared" si="16"/>
        <v>6.9</v>
      </c>
      <c r="L53" s="19">
        <f t="shared" si="17"/>
        <v>3.4336644186347067</v>
      </c>
      <c r="M53" s="195">
        <f t="shared" si="18"/>
        <v>0.49763252443981254</v>
      </c>
      <c r="N53" s="440"/>
      <c r="P53" s="533">
        <f>'C&amp;C-exp'!C50-'SPM = C&amp;C_exp'!C53</f>
        <v>0.1821474468254467</v>
      </c>
      <c r="Q53" s="534">
        <f>'C&amp;C-exp'!F50-'SPM = C&amp;C_exp'!F53</f>
        <v>-0.25718175452500369</v>
      </c>
      <c r="R53" s="535">
        <f>'C&amp;C-exp'!I50-'SPM = C&amp;C_exp'!I53</f>
        <v>-0.37962376731289416</v>
      </c>
    </row>
    <row r="54" spans="1:31" x14ac:dyDescent="0.2">
      <c r="A54" s="180">
        <f t="shared" si="22"/>
        <v>2054</v>
      </c>
      <c r="B54" s="128">
        <f t="shared" si="23"/>
        <v>1.2</v>
      </c>
      <c r="C54" s="5">
        <f t="shared" si="19"/>
        <v>0.28723460416174618</v>
      </c>
      <c r="D54" s="195">
        <f t="shared" si="13"/>
        <v>0.2393621701347885</v>
      </c>
      <c r="E54" s="128">
        <f t="shared" si="24"/>
        <v>4</v>
      </c>
      <c r="F54" s="5">
        <f t="shared" si="20"/>
        <v>1.7997424152874082</v>
      </c>
      <c r="G54" s="4">
        <f t="shared" si="14"/>
        <v>0.44993560382185205</v>
      </c>
      <c r="H54" s="128">
        <f t="shared" si="25"/>
        <v>1.7000000000000004</v>
      </c>
      <c r="I54" s="5">
        <f t="shared" si="21"/>
        <v>1.0974327865746432</v>
      </c>
      <c r="J54" s="4">
        <f t="shared" si="15"/>
        <v>0.64554869798508407</v>
      </c>
      <c r="K54" s="128">
        <f t="shared" si="16"/>
        <v>6.9</v>
      </c>
      <c r="L54" s="19">
        <f t="shared" si="17"/>
        <v>3.1844098060237975</v>
      </c>
      <c r="M54" s="195">
        <f t="shared" si="18"/>
        <v>0.46150866753968078</v>
      </c>
      <c r="N54" s="440"/>
      <c r="P54" s="533">
        <f>'C&amp;C-exp'!C51-'SPM = C&amp;C_exp'!C54</f>
        <v>0.16269582575054631</v>
      </c>
      <c r="Q54" s="534">
        <f>'C&amp;C-exp'!F51-'SPM = C&amp;C_exp'!F54</f>
        <v>-0.2999743155797665</v>
      </c>
      <c r="R54" s="535">
        <f>'C&amp;C-exp'!I51-'SPM = C&amp;C_exp'!I54</f>
        <v>-0.46003134419889535</v>
      </c>
    </row>
    <row r="55" spans="1:31" x14ac:dyDescent="0.2">
      <c r="A55" s="180">
        <f t="shared" si="22"/>
        <v>2055</v>
      </c>
      <c r="B55" s="128">
        <f t="shared" si="23"/>
        <v>1.2</v>
      </c>
      <c r="C55" s="5">
        <f t="shared" si="19"/>
        <v>0.24543654217654898</v>
      </c>
      <c r="D55" s="195">
        <f t="shared" si="13"/>
        <v>0.20453045181379081</v>
      </c>
      <c r="E55" s="128">
        <f t="shared" si="24"/>
        <v>4</v>
      </c>
      <c r="F55" s="5">
        <f t="shared" si="20"/>
        <v>1.6315120626821145</v>
      </c>
      <c r="G55" s="4">
        <f t="shared" si="14"/>
        <v>0.40787801567052862</v>
      </c>
      <c r="H55" s="128">
        <f t="shared" si="25"/>
        <v>1.7000000000000004</v>
      </c>
      <c r="I55" s="5">
        <f t="shared" si="21"/>
        <v>1.0811351177507333</v>
      </c>
      <c r="J55" s="4">
        <f t="shared" si="15"/>
        <v>0.63596183397101946</v>
      </c>
      <c r="K55" s="128">
        <f t="shared" si="16"/>
        <v>6.9</v>
      </c>
      <c r="L55" s="19">
        <f t="shared" si="17"/>
        <v>2.9580837226093966</v>
      </c>
      <c r="M55" s="195">
        <f t="shared" si="18"/>
        <v>0.42870778588541975</v>
      </c>
      <c r="N55" s="440"/>
      <c r="P55" s="533">
        <f>'C&amp;C-exp'!C52-'SPM = C&amp;C_exp'!C55</f>
        <v>0.14382655876158212</v>
      </c>
      <c r="Q55" s="534">
        <f>'C&amp;C-exp'!F52-'SPM = C&amp;C_exp'!F55</f>
        <v>-0.3339683928883439</v>
      </c>
      <c r="R55" s="535">
        <f>'C&amp;C-exp'!I52-'SPM = C&amp;C_exp'!I55</f>
        <v>-0.52967905808838078</v>
      </c>
    </row>
    <row r="56" spans="1:31" x14ac:dyDescent="0.2">
      <c r="A56" s="180">
        <f t="shared" si="22"/>
        <v>2056</v>
      </c>
      <c r="B56" s="128">
        <f t="shared" si="23"/>
        <v>1.2</v>
      </c>
      <c r="C56" s="5">
        <f t="shared" si="19"/>
        <v>0.20959600894173191</v>
      </c>
      <c r="D56" s="195">
        <f t="shared" si="13"/>
        <v>0.17466334078477661</v>
      </c>
      <c r="E56" s="128">
        <f t="shared" si="24"/>
        <v>4</v>
      </c>
      <c r="F56" s="5">
        <f t="shared" si="20"/>
        <v>1.478170946692714</v>
      </c>
      <c r="G56" s="4">
        <f t="shared" si="14"/>
        <v>0.3695427366731785</v>
      </c>
      <c r="H56" s="128">
        <f t="shared" si="25"/>
        <v>1.7000000000000004</v>
      </c>
      <c r="I56" s="5">
        <f t="shared" si="21"/>
        <v>1.064716297558121</v>
      </c>
      <c r="J56" s="4">
        <f t="shared" si="15"/>
        <v>0.6263037044459534</v>
      </c>
      <c r="K56" s="128">
        <f t="shared" si="16"/>
        <v>6.9</v>
      </c>
      <c r="L56" s="19">
        <f t="shared" si="17"/>
        <v>2.7524832531925671</v>
      </c>
      <c r="M56" s="195">
        <f t="shared" si="18"/>
        <v>0.39891061640471986</v>
      </c>
      <c r="N56" s="440"/>
      <c r="P56" s="533">
        <f>'C&amp;C-exp'!C53-'SPM = C&amp;C_exp'!C56</f>
        <v>0.12590277574395542</v>
      </c>
      <c r="Q56" s="534">
        <f>'C&amp;C-exp'!F53-'SPM = C&amp;C_exp'!F56</f>
        <v>-0.35984166440708942</v>
      </c>
      <c r="R56" s="535">
        <f>'C&amp;C-exp'!I53-'SPM = C&amp;C_exp'!I56</f>
        <v>-0.58942635258673048</v>
      </c>
    </row>
    <row r="57" spans="1:31" x14ac:dyDescent="0.2">
      <c r="A57" s="180">
        <f t="shared" si="22"/>
        <v>2057</v>
      </c>
      <c r="B57" s="128">
        <f t="shared" si="23"/>
        <v>1.2</v>
      </c>
      <c r="C57" s="5">
        <f t="shared" si="19"/>
        <v>0.17888762367036604</v>
      </c>
      <c r="D57" s="195">
        <f t="shared" si="13"/>
        <v>0.14907301972530504</v>
      </c>
      <c r="E57" s="128">
        <f t="shared" si="24"/>
        <v>4</v>
      </c>
      <c r="F57" s="5">
        <f t="shared" si="20"/>
        <v>1.3385196367700196</v>
      </c>
      <c r="G57" s="4">
        <f t="shared" si="14"/>
        <v>0.3346299091925049</v>
      </c>
      <c r="H57" s="128">
        <f t="shared" si="25"/>
        <v>1.7000000000000004</v>
      </c>
      <c r="I57" s="5">
        <f t="shared" si="21"/>
        <v>1.0482021261321108</v>
      </c>
      <c r="J57" s="4">
        <f t="shared" si="15"/>
        <v>0.61658948596006502</v>
      </c>
      <c r="K57" s="128">
        <f t="shared" si="16"/>
        <v>6.9</v>
      </c>
      <c r="L57" s="19">
        <f t="shared" si="17"/>
        <v>2.5656093865724965</v>
      </c>
      <c r="M57" s="195">
        <f t="shared" si="18"/>
        <v>0.3718274473293473</v>
      </c>
      <c r="N57" s="440"/>
      <c r="P57" s="533">
        <f>'C&amp;C-exp'!C54-'SPM = C&amp;C_exp'!C57</f>
        <v>0.10917188303857001</v>
      </c>
      <c r="Q57" s="534">
        <f>'C&amp;C-exp'!F54-'SPM = C&amp;C_exp'!F57</f>
        <v>-0.37832128107356611</v>
      </c>
      <c r="R57" s="535">
        <f>'C&amp;C-exp'!I54-'SPM = C&amp;C_exp'!I57</f>
        <v>-0.64011782496111813</v>
      </c>
      <c r="AC57" s="2"/>
    </row>
    <row r="58" spans="1:31" x14ac:dyDescent="0.2">
      <c r="A58" s="180">
        <f t="shared" si="22"/>
        <v>2058</v>
      </c>
      <c r="B58" s="128">
        <f t="shared" si="23"/>
        <v>1.2</v>
      </c>
      <c r="C58" s="5">
        <f t="shared" si="19"/>
        <v>0.15259574452160196</v>
      </c>
      <c r="D58" s="195">
        <f t="shared" si="13"/>
        <v>0.12716312043466832</v>
      </c>
      <c r="E58" s="128">
        <f t="shared" si="24"/>
        <v>4</v>
      </c>
      <c r="F58" s="5">
        <f t="shared" si="20"/>
        <v>1.2114376327688259</v>
      </c>
      <c r="G58" s="4">
        <f t="shared" si="14"/>
        <v>0.30285940819220647</v>
      </c>
      <c r="H58" s="128">
        <f t="shared" si="25"/>
        <v>1.7000000000000004</v>
      </c>
      <c r="I58" s="5">
        <f t="shared" si="21"/>
        <v>1.0316168308819655</v>
      </c>
      <c r="J58" s="4">
        <f t="shared" si="15"/>
        <v>0.60683342993056777</v>
      </c>
      <c r="K58" s="128">
        <f t="shared" si="16"/>
        <v>6.9</v>
      </c>
      <c r="L58" s="19">
        <f t="shared" si="17"/>
        <v>2.3956502081723934</v>
      </c>
      <c r="M58" s="195">
        <f t="shared" si="18"/>
        <v>0.34719568234382508</v>
      </c>
      <c r="N58" s="440"/>
      <c r="P58" s="533">
        <f>'C&amp;C-exp'!C55-'SPM = C&amp;C_exp'!C58</f>
        <v>9.3787221949334504E-2</v>
      </c>
      <c r="Q58" s="534">
        <f>'C&amp;C-exp'!F55-'SPM = C&amp;C_exp'!F58</f>
        <v>-0.3901610778657042</v>
      </c>
      <c r="R58" s="535">
        <f>'C&amp;C-exp'!I55-'SPM = C&amp;C_exp'!I58</f>
        <v>-0.68257429504813882</v>
      </c>
      <c r="S58" s="2"/>
      <c r="T58" s="2"/>
      <c r="U58" s="2"/>
      <c r="V58" s="2"/>
      <c r="W58" s="2"/>
      <c r="X58" s="2"/>
      <c r="Y58" s="206"/>
      <c r="Z58" s="2"/>
      <c r="AA58" s="2"/>
      <c r="AB58" s="2"/>
    </row>
    <row r="59" spans="1:31" x14ac:dyDescent="0.2">
      <c r="A59" s="180">
        <f t="shared" si="22"/>
        <v>2059</v>
      </c>
      <c r="B59" s="128">
        <f t="shared" si="23"/>
        <v>1.2</v>
      </c>
      <c r="C59" s="5">
        <f t="shared" si="19"/>
        <v>0.13010079975222177</v>
      </c>
      <c r="D59" s="195">
        <f t="shared" si="13"/>
        <v>0.10841733312685148</v>
      </c>
      <c r="E59" s="128">
        <f t="shared" si="24"/>
        <v>4</v>
      </c>
      <c r="F59" s="5">
        <f t="shared" si="20"/>
        <v>1.0958810766989551</v>
      </c>
      <c r="G59" s="4">
        <f t="shared" si="14"/>
        <v>0.27397026917473877</v>
      </c>
      <c r="H59" s="128">
        <f t="shared" si="25"/>
        <v>1.7000000000000004</v>
      </c>
      <c r="I59" s="5">
        <f t="shared" si="21"/>
        <v>1.0149831422555877</v>
      </c>
      <c r="J59" s="4">
        <f t="shared" si="15"/>
        <v>0.59704890720916914</v>
      </c>
      <c r="K59" s="128">
        <f t="shared" si="16"/>
        <v>6.9</v>
      </c>
      <c r="L59" s="19">
        <f t="shared" si="17"/>
        <v>2.2409650187067647</v>
      </c>
      <c r="M59" s="195">
        <f t="shared" si="18"/>
        <v>0.32477753894300937</v>
      </c>
      <c r="N59" s="440"/>
      <c r="P59" s="533">
        <f>'C&amp;C-exp'!C56-'SPM = C&amp;C_exp'!C59</f>
        <v>7.9827003935940027E-2</v>
      </c>
      <c r="Q59" s="534">
        <f>'C&amp;C-exp'!F56-'SPM = C&amp;C_exp'!F59</f>
        <v>-0.39612173107174897</v>
      </c>
      <c r="R59" s="535">
        <f>'C&amp;C-exp'!I56-'SPM = C&amp;C_exp'!I59</f>
        <v>-0.71758542036402506</v>
      </c>
    </row>
    <row r="60" spans="1:31" x14ac:dyDescent="0.2">
      <c r="A60" s="180">
        <f t="shared" si="22"/>
        <v>2060</v>
      </c>
      <c r="B60" s="128">
        <f t="shared" si="23"/>
        <v>1.2</v>
      </c>
      <c r="C60" s="5">
        <f t="shared" si="19"/>
        <v>0.1108671295802689</v>
      </c>
      <c r="D60" s="195">
        <f t="shared" si="13"/>
        <v>9.238927465022409E-2</v>
      </c>
      <c r="E60" s="128">
        <f t="shared" si="24"/>
        <v>4</v>
      </c>
      <c r="F60" s="5">
        <f t="shared" si="20"/>
        <v>0.99087994654231792</v>
      </c>
      <c r="G60" s="4">
        <f t="shared" si="14"/>
        <v>0.24771998663557948</v>
      </c>
      <c r="H60" s="128">
        <f t="shared" si="25"/>
        <v>1.7000000000000004</v>
      </c>
      <c r="I60" s="5">
        <f t="shared" si="21"/>
        <v>0.99832236621457326</v>
      </c>
      <c r="J60" s="4">
        <f t="shared" si="15"/>
        <v>0.58724845071445475</v>
      </c>
      <c r="K60" s="128">
        <f t="shared" si="16"/>
        <v>6.9</v>
      </c>
      <c r="L60" s="19">
        <f t="shared" si="17"/>
        <v>2.1000694423371602</v>
      </c>
      <c r="M60" s="195">
        <f t="shared" si="18"/>
        <v>0.30435789019379134</v>
      </c>
      <c r="N60" s="440"/>
      <c r="P60" s="533">
        <f>'C&amp;C-exp'!C57-'SPM = C&amp;C_exp'!C60</f>
        <v>6.7310681464555044E-2</v>
      </c>
      <c r="Q60" s="534">
        <f>'C&amp;C-exp'!F57-'SPM = C&amp;C_exp'!F60</f>
        <v>-0.39695390972623801</v>
      </c>
      <c r="R60" s="535">
        <f>'C&amp;C-exp'!I57-'SPM = C&amp;C_exp'!I60</f>
        <v>-0.74590380056773931</v>
      </c>
    </row>
    <row r="61" spans="1:31" x14ac:dyDescent="0.2">
      <c r="A61" s="180">
        <f t="shared" si="22"/>
        <v>2061</v>
      </c>
      <c r="B61" s="128">
        <f t="shared" si="23"/>
        <v>1.2</v>
      </c>
      <c r="C61" s="5">
        <f t="shared" si="19"/>
        <v>9.4432214425972161E-2</v>
      </c>
      <c r="D61" s="195">
        <f t="shared" si="13"/>
        <v>7.8693512021643472E-2</v>
      </c>
      <c r="E61" s="128">
        <f t="shared" si="24"/>
        <v>4</v>
      </c>
      <c r="F61" s="5">
        <f t="shared" si="20"/>
        <v>0.89553488156613881</v>
      </c>
      <c r="G61" s="4">
        <f t="shared" si="14"/>
        <v>0.2238837203915347</v>
      </c>
      <c r="H61" s="128">
        <f t="shared" si="25"/>
        <v>1.7000000000000004</v>
      </c>
      <c r="I61" s="5">
        <f t="shared" si="21"/>
        <v>0.9816544535538867</v>
      </c>
      <c r="J61" s="4">
        <f t="shared" si="15"/>
        <v>0.57744379620816855</v>
      </c>
      <c r="K61" s="128">
        <f t="shared" si="16"/>
        <v>6.9</v>
      </c>
      <c r="L61" s="19">
        <f t="shared" si="17"/>
        <v>1.9716215495459977</v>
      </c>
      <c r="M61" s="195">
        <f t="shared" si="18"/>
        <v>0.28574225355739097</v>
      </c>
      <c r="N61" s="440"/>
      <c r="P61" s="533">
        <f>'C&amp;C-exp'!C58-'SPM = C&amp;C_exp'!C61</f>
        <v>5.6212937986636402E-2</v>
      </c>
      <c r="Q61" s="534">
        <f>'C&amp;C-exp'!F58-'SPM = C&amp;C_exp'!F61</f>
        <v>-0.39338437352411015</v>
      </c>
      <c r="R61" s="535">
        <f>'C&amp;C-exp'!I58-'SPM = C&amp;C_exp'!I61</f>
        <v>-0.76824048763602448</v>
      </c>
    </row>
    <row r="62" spans="1:31" x14ac:dyDescent="0.2">
      <c r="A62" s="180">
        <f t="shared" si="22"/>
        <v>2062</v>
      </c>
      <c r="B62" s="128">
        <f t="shared" si="23"/>
        <v>1.2</v>
      </c>
      <c r="C62" s="5">
        <f t="shared" si="19"/>
        <v>8.0397164751396799E-2</v>
      </c>
      <c r="D62" s="195">
        <f t="shared" si="13"/>
        <v>6.6997637292830675E-2</v>
      </c>
      <c r="E62" s="128">
        <f t="shared" si="24"/>
        <v>4</v>
      </c>
      <c r="F62" s="5">
        <f t="shared" si="20"/>
        <v>0.80901376103816425</v>
      </c>
      <c r="G62" s="4">
        <f t="shared" si="14"/>
        <v>0.20225344025954106</v>
      </c>
      <c r="H62" s="128">
        <f t="shared" si="25"/>
        <v>1.7000000000000004</v>
      </c>
      <c r="I62" s="5">
        <f t="shared" si="21"/>
        <v>0.96499806619624451</v>
      </c>
      <c r="J62" s="4">
        <f t="shared" si="15"/>
        <v>0.56764592129190838</v>
      </c>
      <c r="K62" s="128">
        <f t="shared" si="16"/>
        <v>6.9</v>
      </c>
      <c r="L62" s="19">
        <f t="shared" si="17"/>
        <v>1.8544089919858056</v>
      </c>
      <c r="M62" s="195">
        <f t="shared" si="18"/>
        <v>0.2687549263747544</v>
      </c>
      <c r="N62" s="440"/>
      <c r="P62" s="533">
        <f>'C&amp;C-exp'!C59-'SPM = C&amp;C_exp'!C62</f>
        <v>4.6475495827169144E-2</v>
      </c>
      <c r="Q62" s="534">
        <f>'C&amp;C-exp'!F59-'SPM = C&amp;C_exp'!F62</f>
        <v>-0.38610489244294438</v>
      </c>
      <c r="R62" s="535">
        <f>'C&amp;C-exp'!I59-'SPM = C&amp;C_exp'!I62</f>
        <v>-0.78526179704327603</v>
      </c>
    </row>
    <row r="63" spans="1:31" x14ac:dyDescent="0.2">
      <c r="A63" s="180">
        <f t="shared" si="22"/>
        <v>2063</v>
      </c>
      <c r="B63" s="128">
        <f t="shared" si="23"/>
        <v>1.2</v>
      </c>
      <c r="C63" s="5">
        <f t="shared" si="19"/>
        <v>6.8418350865568855E-2</v>
      </c>
      <c r="D63" s="195">
        <f t="shared" si="13"/>
        <v>5.7015292387974051E-2</v>
      </c>
      <c r="E63" s="128">
        <f t="shared" si="24"/>
        <v>4</v>
      </c>
      <c r="F63" s="5">
        <f t="shared" si="20"/>
        <v>0.73054813508102345</v>
      </c>
      <c r="G63" s="4">
        <f t="shared" si="14"/>
        <v>0.18263703377025586</v>
      </c>
      <c r="H63" s="128">
        <f t="shared" si="25"/>
        <v>1.7000000000000004</v>
      </c>
      <c r="I63" s="5">
        <f t="shared" si="21"/>
        <v>0.94837064058457798</v>
      </c>
      <c r="J63" s="4">
        <f t="shared" si="15"/>
        <v>0.55786508269681045</v>
      </c>
      <c r="K63" s="128">
        <f t="shared" si="16"/>
        <v>6.9</v>
      </c>
      <c r="L63" s="19">
        <f t="shared" si="17"/>
        <v>1.7473371265311703</v>
      </c>
      <c r="M63" s="195">
        <f t="shared" si="18"/>
        <v>0.25323726471466235</v>
      </c>
      <c r="N63" s="440"/>
      <c r="P63" s="533">
        <f>'C&amp;C-exp'!C60-'SPM = C&amp;C_exp'!C63</f>
        <v>3.8016948538537876E-2</v>
      </c>
      <c r="Q63" s="534">
        <f>'C&amp;C-exp'!F60-'SPM = C&amp;C_exp'!F63</f>
        <v>-0.37576380373400098</v>
      </c>
      <c r="R63" s="535">
        <f>'C&amp;C-exp'!I60-'SPM = C&amp;C_exp'!I63</f>
        <v>-0.79758729976209342</v>
      </c>
    </row>
    <row r="64" spans="1:31" x14ac:dyDescent="0.2">
      <c r="A64" s="180">
        <f t="shared" si="22"/>
        <v>2064</v>
      </c>
      <c r="B64" s="128">
        <f t="shared" si="23"/>
        <v>1.2</v>
      </c>
      <c r="C64" s="5">
        <f t="shared" si="19"/>
        <v>5.8200056614381213E-2</v>
      </c>
      <c r="D64" s="195">
        <f t="shared" si="13"/>
        <v>4.8500047178651015E-2</v>
      </c>
      <c r="E64" s="128">
        <f t="shared" si="24"/>
        <v>4</v>
      </c>
      <c r="F64" s="5">
        <f t="shared" si="20"/>
        <v>0.65942958694977527</v>
      </c>
      <c r="G64" s="4">
        <f t="shared" si="14"/>
        <v>0.16485739673744382</v>
      </c>
      <c r="H64" s="128">
        <f t="shared" si="25"/>
        <v>1.7000000000000004</v>
      </c>
      <c r="I64" s="5">
        <f t="shared" si="21"/>
        <v>0.93178844829273544</v>
      </c>
      <c r="J64" s="4">
        <f t="shared" si="15"/>
        <v>0.54811085193690312</v>
      </c>
      <c r="K64" s="128">
        <f t="shared" si="16"/>
        <v>6.9</v>
      </c>
      <c r="L64" s="19">
        <f t="shared" si="17"/>
        <v>1.6494180918568919</v>
      </c>
      <c r="M64" s="195">
        <f t="shared" si="18"/>
        <v>0.23904610026911477</v>
      </c>
      <c r="N64" s="440"/>
      <c r="P64" s="533">
        <f>'C&amp;C-exp'!C61-'SPM = C&amp;C_exp'!C64</f>
        <v>3.0740825906496114E-2</v>
      </c>
      <c r="Q64" s="534">
        <f>'C&amp;C-exp'!F61-'SPM = C&amp;C_exp'!F64</f>
        <v>-0.36295997854685086</v>
      </c>
      <c r="R64" s="535">
        <f>'C&amp;C-exp'!I61-'SPM = C&amp;C_exp'!I64</f>
        <v>-0.80578886472149258</v>
      </c>
    </row>
    <row r="65" spans="1:18" x14ac:dyDescent="0.2">
      <c r="A65" s="180">
        <f t="shared" si="22"/>
        <v>2065</v>
      </c>
      <c r="B65" s="128">
        <f t="shared" si="23"/>
        <v>1.2</v>
      </c>
      <c r="C65" s="5">
        <f t="shared" si="19"/>
        <v>4.9488047946173341E-2</v>
      </c>
      <c r="D65" s="195">
        <f t="shared" si="13"/>
        <v>4.1240039955144456E-2</v>
      </c>
      <c r="E65" s="128">
        <f t="shared" si="24"/>
        <v>4</v>
      </c>
      <c r="F65" s="5">
        <f t="shared" si="20"/>
        <v>0.59500608973421887</v>
      </c>
      <c r="G65" s="4">
        <f t="shared" si="14"/>
        <v>0.14875152243355472</v>
      </c>
      <c r="H65" s="128">
        <f t="shared" si="25"/>
        <v>1.7000000000000004</v>
      </c>
      <c r="I65" s="5">
        <f t="shared" si="21"/>
        <v>0.91526665396840201</v>
      </c>
      <c r="J65" s="4">
        <f t="shared" si="15"/>
        <v>0.53839214939317748</v>
      </c>
      <c r="K65" s="128">
        <f t="shared" si="16"/>
        <v>6.9</v>
      </c>
      <c r="L65" s="19">
        <f t="shared" si="17"/>
        <v>1.5597607916487943</v>
      </c>
      <c r="M65" s="195">
        <f t="shared" si="18"/>
        <v>0.2260522886447528</v>
      </c>
      <c r="N65" s="440"/>
      <c r="P65" s="533">
        <f>'C&amp;C-exp'!C62-'SPM = C&amp;C_exp'!C65</f>
        <v>2.454209647265837E-2</v>
      </c>
      <c r="Q65" s="534">
        <f>'C&amp;C-exp'!F62-'SPM = C&amp;C_exp'!F65</f>
        <v>-0.34823894167144648</v>
      </c>
      <c r="R65" s="535">
        <f>'C&amp;C-exp'!I62-'SPM = C&amp;C_exp'!I65</f>
        <v>-0.81039061604172369</v>
      </c>
    </row>
    <row r="66" spans="1:18" x14ac:dyDescent="0.2">
      <c r="A66" s="180">
        <f t="shared" si="22"/>
        <v>2066</v>
      </c>
      <c r="B66" s="128">
        <f t="shared" si="23"/>
        <v>1.2</v>
      </c>
      <c r="C66" s="5">
        <f t="shared" si="19"/>
        <v>4.2063955275528114E-2</v>
      </c>
      <c r="D66" s="195">
        <f t="shared" si="13"/>
        <v>3.5053296062940095E-2</v>
      </c>
      <c r="E66" s="128">
        <f t="shared" si="24"/>
        <v>4</v>
      </c>
      <c r="F66" s="5">
        <f t="shared" si="20"/>
        <v>0.53667840690039537</v>
      </c>
      <c r="G66" s="4">
        <f t="shared" si="14"/>
        <v>0.13416960172509884</v>
      </c>
      <c r="H66" s="128">
        <f t="shared" si="25"/>
        <v>1.7000000000000004</v>
      </c>
      <c r="I66" s="5">
        <f t="shared" si="21"/>
        <v>0.89881937071905327</v>
      </c>
      <c r="J66" s="4">
        <f t="shared" si="15"/>
        <v>0.52871727689356063</v>
      </c>
      <c r="K66" s="128">
        <f t="shared" si="16"/>
        <v>6.9</v>
      </c>
      <c r="L66" s="19">
        <f t="shared" si="17"/>
        <v>1.4775617328949768</v>
      </c>
      <c r="M66" s="195">
        <f t="shared" si="18"/>
        <v>0.21413938157898213</v>
      </c>
      <c r="N66" s="440"/>
      <c r="P66" s="533">
        <f>'C&amp;C-exp'!C63-'SPM = C&amp;C_exp'!C66</f>
        <v>1.931230519728807E-2</v>
      </c>
      <c r="Q66" s="534">
        <f>'C&amp;C-exp'!F63-'SPM = C&amp;C_exp'!F66</f>
        <v>-0.33209087199100806</v>
      </c>
      <c r="R66" s="535">
        <f>'C&amp;C-exp'!I63-'SPM = C&amp;C_exp'!I66</f>
        <v>-0.81186966838256369</v>
      </c>
    </row>
    <row r="67" spans="1:18" x14ac:dyDescent="0.2">
      <c r="A67" s="180">
        <f t="shared" si="22"/>
        <v>2067</v>
      </c>
      <c r="B67" s="128">
        <f t="shared" si="23"/>
        <v>1.2</v>
      </c>
      <c r="C67" s="5">
        <f t="shared" si="19"/>
        <v>3.574037687751952E-2</v>
      </c>
      <c r="D67" s="195">
        <f t="shared" si="13"/>
        <v>2.9783647397932933E-2</v>
      </c>
      <c r="E67" s="128">
        <f t="shared" si="24"/>
        <v>4</v>
      </c>
      <c r="F67" s="5">
        <f t="shared" si="20"/>
        <v>0.48389657479196657</v>
      </c>
      <c r="G67" s="4">
        <f t="shared" si="14"/>
        <v>0.12097414369799164</v>
      </c>
      <c r="H67" s="128">
        <f t="shared" si="25"/>
        <v>1.7000000000000004</v>
      </c>
      <c r="I67" s="5">
        <f t="shared" si="21"/>
        <v>0.88245971304591109</v>
      </c>
      <c r="J67" s="4">
        <f t="shared" si="15"/>
        <v>0.51909394885053584</v>
      </c>
      <c r="K67" s="128">
        <f t="shared" si="16"/>
        <v>6.9</v>
      </c>
      <c r="L67" s="19">
        <f t="shared" si="17"/>
        <v>1.4020966647153972</v>
      </c>
      <c r="M67" s="195">
        <f t="shared" si="18"/>
        <v>0.20320241517614451</v>
      </c>
      <c r="N67" s="440"/>
      <c r="P67" s="533">
        <f>'C&amp;C-exp'!C64-'SPM = C&amp;C_exp'!C67</f>
        <v>1.4943533631028377E-2</v>
      </c>
      <c r="Q67" s="534">
        <f>'C&amp;C-exp'!F64-'SPM = C&amp;C_exp'!F67</f>
        <v>-0.31495020643014027</v>
      </c>
      <c r="R67" s="535">
        <f>'C&amp;C-exp'!I64-'SPM = C&amp;C_exp'!I67</f>
        <v>-0.81065750649213486</v>
      </c>
    </row>
    <row r="68" spans="1:18" x14ac:dyDescent="0.2">
      <c r="A68" s="180">
        <f t="shared" si="22"/>
        <v>2068</v>
      </c>
      <c r="B68" s="128">
        <f t="shared" si="23"/>
        <v>1.2</v>
      </c>
      <c r="C68" s="5">
        <f t="shared" si="19"/>
        <v>3.0356618887113107E-2</v>
      </c>
      <c r="D68" s="195">
        <f t="shared" si="13"/>
        <v>2.5297182405927592E-2</v>
      </c>
      <c r="E68" s="128">
        <f t="shared" si="24"/>
        <v>4</v>
      </c>
      <c r="F68" s="5">
        <f t="shared" si="20"/>
        <v>0.43615649586173255</v>
      </c>
      <c r="G68" s="4">
        <f t="shared" si="14"/>
        <v>0.10903912396543314</v>
      </c>
      <c r="H68" s="128">
        <f t="shared" si="25"/>
        <v>1.7000000000000004</v>
      </c>
      <c r="I68" s="5">
        <f t="shared" si="21"/>
        <v>0.86619984742809919</v>
      </c>
      <c r="J68" s="4">
        <f t="shared" si="15"/>
        <v>0.50952932201652879</v>
      </c>
      <c r="K68" s="128">
        <f t="shared" si="16"/>
        <v>6.9</v>
      </c>
      <c r="L68" s="19">
        <f t="shared" si="17"/>
        <v>1.3327129621769449</v>
      </c>
      <c r="M68" s="195">
        <f t="shared" si="18"/>
        <v>0.19314680611260071</v>
      </c>
      <c r="N68" s="440"/>
      <c r="P68" s="533">
        <f>'C&amp;C-exp'!C65-'SPM = C&amp;C_exp'!C68</f>
        <v>1.133135748742118E-2</v>
      </c>
      <c r="Q68" s="534">
        <f>'C&amp;C-exp'!F65-'SPM = C&amp;C_exp'!F68</f>
        <v>-0.29719657461328491</v>
      </c>
      <c r="R68" s="535">
        <f>'C&amp;C-exp'!I65-'SPM = C&amp;C_exp'!I68</f>
        <v>-0.80714188089750893</v>
      </c>
    </row>
    <row r="69" spans="1:18" x14ac:dyDescent="0.2">
      <c r="A69" s="180">
        <f t="shared" si="22"/>
        <v>2069</v>
      </c>
      <c r="B69" s="128">
        <f t="shared" si="23"/>
        <v>1.2</v>
      </c>
      <c r="C69" s="5">
        <f t="shared" si="19"/>
        <v>2.5774995612699414E-2</v>
      </c>
      <c r="D69" s="195">
        <f t="shared" si="13"/>
        <v>2.1479163010582846E-2</v>
      </c>
      <c r="E69" s="128">
        <f t="shared" si="24"/>
        <v>4</v>
      </c>
      <c r="F69" s="5">
        <f t="shared" si="20"/>
        <v>0.39299666370067232</v>
      </c>
      <c r="G69" s="4">
        <f t="shared" si="14"/>
        <v>9.824916592516808E-2</v>
      </c>
      <c r="H69" s="128">
        <f t="shared" si="25"/>
        <v>1.7000000000000004</v>
      </c>
      <c r="I69" s="5">
        <f t="shared" si="21"/>
        <v>0.85005104065407266</v>
      </c>
      <c r="J69" s="4">
        <f t="shared" si="15"/>
        <v>0.50003002391416029</v>
      </c>
      <c r="K69" s="128">
        <f t="shared" si="16"/>
        <v>6.9</v>
      </c>
      <c r="L69" s="19">
        <f t="shared" si="17"/>
        <v>1.2688226999674443</v>
      </c>
      <c r="M69" s="195">
        <f t="shared" si="18"/>
        <v>0.18388734782136873</v>
      </c>
      <c r="N69" s="440"/>
      <c r="P69" s="533">
        <f>'C&amp;C-exp'!C66-'SPM = C&amp;C_exp'!C69</f>
        <v>8.3769625036891893E-3</v>
      </c>
      <c r="Q69" s="534">
        <f>'C&amp;C-exp'!F66-'SPM = C&amp;C_exp'!F69</f>
        <v>-0.27915680331271031</v>
      </c>
      <c r="R69" s="535">
        <f>'C&amp;C-exp'!I66-'SPM = C&amp;C_exp'!I69</f>
        <v>-0.80166909998918878</v>
      </c>
    </row>
    <row r="70" spans="1:18" x14ac:dyDescent="0.2">
      <c r="A70" s="180">
        <f t="shared" si="22"/>
        <v>2070</v>
      </c>
      <c r="B70" s="128">
        <f t="shared" si="23"/>
        <v>1.2</v>
      </c>
      <c r="C70" s="5">
        <f t="shared" si="19"/>
        <v>2.1877621637265296E-2</v>
      </c>
      <c r="D70" s="195">
        <f t="shared" si="13"/>
        <v>1.8231351364387749E-2</v>
      </c>
      <c r="E70" s="128">
        <f t="shared" si="24"/>
        <v>4</v>
      </c>
      <c r="F70" s="5">
        <f t="shared" si="20"/>
        <v>0.35399503462007864</v>
      </c>
      <c r="G70" s="4">
        <f t="shared" si="14"/>
        <v>8.849875865501966E-2</v>
      </c>
      <c r="H70" s="128">
        <f t="shared" si="25"/>
        <v>1.7000000000000004</v>
      </c>
      <c r="I70" s="5">
        <f t="shared" si="21"/>
        <v>0.83402370599428366</v>
      </c>
      <c r="J70" s="4">
        <f t="shared" si="15"/>
        <v>0.49060217999663736</v>
      </c>
      <c r="K70" s="128">
        <f t="shared" si="16"/>
        <v>6.9</v>
      </c>
      <c r="L70" s="19">
        <f t="shared" si="17"/>
        <v>1.2098963622516277</v>
      </c>
      <c r="M70" s="195">
        <f t="shared" si="18"/>
        <v>0.17534729887704747</v>
      </c>
      <c r="N70" s="440"/>
      <c r="P70" s="533">
        <f>'C&amp;C-exp'!C67-'SPM = C&amp;C_exp'!C70</f>
        <v>5.9885645484376651E-3</v>
      </c>
      <c r="Q70" s="534">
        <f>'C&amp;C-exp'!F67-'SPM = C&amp;C_exp'!F70</f>
        <v>-0.26110774733440212</v>
      </c>
      <c r="R70" s="535">
        <f>'C&amp;C-exp'!I67-'SPM = C&amp;C_exp'!I70</f>
        <v>-0.7945466088978711</v>
      </c>
    </row>
    <row r="71" spans="1:18" x14ac:dyDescent="0.2">
      <c r="A71" s="180">
        <f t="shared" si="22"/>
        <v>2071</v>
      </c>
      <c r="B71" s="128">
        <f t="shared" si="23"/>
        <v>1.2</v>
      </c>
      <c r="C71" s="5">
        <f t="shared" si="19"/>
        <v>1.8563634473283894E-2</v>
      </c>
      <c r="D71" s="195">
        <f t="shared" si="13"/>
        <v>1.5469695394403245E-2</v>
      </c>
      <c r="E71" s="128">
        <f t="shared" si="24"/>
        <v>4</v>
      </c>
      <c r="F71" s="5">
        <f t="shared" si="20"/>
        <v>0.31876605540371106</v>
      </c>
      <c r="G71" s="4">
        <f t="shared" si="14"/>
        <v>7.9691513850927764E-2</v>
      </c>
      <c r="H71" s="128">
        <f t="shared" si="25"/>
        <v>1.7000000000000004</v>
      </c>
      <c r="I71" s="5">
        <f t="shared" si="21"/>
        <v>0.81812744730459031</v>
      </c>
      <c r="J71" s="4">
        <f t="shared" si="15"/>
        <v>0.48125143959093536</v>
      </c>
      <c r="K71" s="128">
        <f t="shared" si="16"/>
        <v>6.9</v>
      </c>
      <c r="L71" s="19">
        <f t="shared" si="17"/>
        <v>1.1554571371815852</v>
      </c>
      <c r="M71" s="195">
        <f t="shared" si="18"/>
        <v>0.1674575561132732</v>
      </c>
      <c r="N71" s="440"/>
      <c r="P71" s="533">
        <f>'C&amp;C-exp'!C68-'SPM = C&amp;C_exp'!C71</f>
        <v>4.0822645996507201E-3</v>
      </c>
      <c r="Q71" s="534">
        <f>'C&amp;C-exp'!F68-'SPM = C&amp;C_exp'!F71</f>
        <v>-0.24327972516059565</v>
      </c>
      <c r="R71" s="535">
        <f>'C&amp;C-exp'!I68-'SPM = C&amp;C_exp'!I71</f>
        <v>-0.78604575695126622</v>
      </c>
    </row>
    <row r="72" spans="1:18" x14ac:dyDescent="0.2">
      <c r="A72" s="180">
        <f t="shared" si="22"/>
        <v>2072</v>
      </c>
      <c r="B72" s="128">
        <f t="shared" si="23"/>
        <v>1.2</v>
      </c>
      <c r="C72" s="5">
        <f t="shared" si="19"/>
        <v>1.5746793300208187E-2</v>
      </c>
      <c r="D72" s="195">
        <f t="shared" si="13"/>
        <v>1.3122327750173489E-2</v>
      </c>
      <c r="E72" s="128">
        <f t="shared" si="24"/>
        <v>4</v>
      </c>
      <c r="F72" s="5">
        <f t="shared" si="20"/>
        <v>0.28695785269560536</v>
      </c>
      <c r="G72" s="4">
        <f t="shared" si="14"/>
        <v>7.1739463173901341E-2</v>
      </c>
      <c r="H72" s="128">
        <f t="shared" si="25"/>
        <v>1.7000000000000004</v>
      </c>
      <c r="I72" s="5">
        <f t="shared" si="21"/>
        <v>0.80237110114719457</v>
      </c>
      <c r="J72" s="4">
        <f t="shared" si="15"/>
        <v>0.47198300067482024</v>
      </c>
      <c r="K72" s="128">
        <f t="shared" si="16"/>
        <v>6.9</v>
      </c>
      <c r="L72" s="19">
        <f t="shared" si="17"/>
        <v>1.1050757471430082</v>
      </c>
      <c r="M72" s="195">
        <f t="shared" si="18"/>
        <v>0.16015590538304464</v>
      </c>
      <c r="N72" s="440"/>
      <c r="P72" s="533">
        <f>'C&amp;C-exp'!C69-'SPM = C&amp;C_exp'!C72</f>
        <v>2.5824539114311651E-3</v>
      </c>
      <c r="Q72" s="534">
        <f>'C&amp;C-exp'!F69-'SPM = C&amp;C_exp'!F72</f>
        <v>-0.22586036199014084</v>
      </c>
      <c r="R72" s="535">
        <f>'C&amp;C-exp'!I69-'SPM = C&amp;C_exp'!I72</f>
        <v>-0.77640466759737214</v>
      </c>
    </row>
    <row r="73" spans="1:18" x14ac:dyDescent="0.2">
      <c r="A73" s="180">
        <f t="shared" si="22"/>
        <v>2073</v>
      </c>
      <c r="B73" s="128">
        <f t="shared" si="23"/>
        <v>1.2</v>
      </c>
      <c r="C73" s="5">
        <f t="shared" si="19"/>
        <v>1.3353405520894063E-2</v>
      </c>
      <c r="D73" s="195">
        <f t="shared" si="13"/>
        <v>1.1127837934078386E-2</v>
      </c>
      <c r="E73" s="128">
        <f t="shared" si="24"/>
        <v>4</v>
      </c>
      <c r="F73" s="5">
        <f t="shared" si="20"/>
        <v>0.25824958616520721</v>
      </c>
      <c r="G73" s="4">
        <f t="shared" si="14"/>
        <v>6.4562396541301803E-2</v>
      </c>
      <c r="H73" s="128">
        <f t="shared" si="25"/>
        <v>1.7000000000000004</v>
      </c>
      <c r="I73" s="5">
        <f t="shared" si="21"/>
        <v>0.78676277701160302</v>
      </c>
      <c r="J73" s="4">
        <f t="shared" si="15"/>
        <v>0.46280163353623699</v>
      </c>
      <c r="K73" s="128">
        <f t="shared" si="16"/>
        <v>6.9</v>
      </c>
      <c r="L73" s="19">
        <f t="shared" si="17"/>
        <v>1.0583657686977044</v>
      </c>
      <c r="M73" s="195">
        <f t="shared" si="18"/>
        <v>0.15338634328952236</v>
      </c>
      <c r="N73" s="440"/>
      <c r="P73" s="533">
        <f>'C&amp;C-exp'!C70-'SPM = C&amp;C_exp'!C73</f>
        <v>1.4218697732874992E-3</v>
      </c>
      <c r="Q73" s="534">
        <f>'C&amp;C-exp'!F70-'SPM = C&amp;C_exp'!F73</f>
        <v>-0.20899866851793533</v>
      </c>
      <c r="R73" s="535">
        <f>'C&amp;C-exp'!I70-'SPM = C&amp;C_exp'!I73</f>
        <v>-0.76583113701151251</v>
      </c>
    </row>
    <row r="74" spans="1:18" x14ac:dyDescent="0.2">
      <c r="A74" s="180">
        <f t="shared" si="22"/>
        <v>2074</v>
      </c>
      <c r="B74" s="128">
        <f t="shared" si="23"/>
        <v>1.2</v>
      </c>
      <c r="C74" s="5">
        <f t="shared" si="19"/>
        <v>1.1320538522949723E-2</v>
      </c>
      <c r="D74" s="195">
        <f t="shared" si="13"/>
        <v>9.4337821024581027E-3</v>
      </c>
      <c r="E74" s="128">
        <f t="shared" si="24"/>
        <v>4</v>
      </c>
      <c r="F74" s="5">
        <f t="shared" si="20"/>
        <v>0.23234896496035429</v>
      </c>
      <c r="G74" s="4">
        <f t="shared" si="14"/>
        <v>5.8087241240088572E-2</v>
      </c>
      <c r="H74" s="128">
        <f t="shared" si="25"/>
        <v>1.7000000000000004</v>
      </c>
      <c r="I74" s="5">
        <f t="shared" si="21"/>
        <v>0.77130989571541519</v>
      </c>
      <c r="J74" s="4">
        <f t="shared" si="15"/>
        <v>0.45371170336200883</v>
      </c>
      <c r="K74" s="128">
        <f t="shared" si="16"/>
        <v>6.9</v>
      </c>
      <c r="L74" s="19">
        <f t="shared" si="17"/>
        <v>1.0149793991987193</v>
      </c>
      <c r="M74" s="195">
        <f t="shared" si="18"/>
        <v>0.14709846365198828</v>
      </c>
      <c r="N74" s="440"/>
      <c r="P74" s="533">
        <f>'C&amp;C-exp'!C71-'SPM = C&amp;C_exp'!C74</f>
        <v>-9.9235146225954557E-5</v>
      </c>
      <c r="Q74" s="534">
        <f>'C&amp;C-exp'!F71-'SPM = C&amp;C_exp'!F74</f>
        <v>-0.19494462037127505</v>
      </c>
      <c r="R74" s="535">
        <f>'C&amp;C-exp'!I71-'SPM = C&amp;C_exp'!I74</f>
        <v>-0.75541304926505648</v>
      </c>
    </row>
    <row r="75" spans="1:18" x14ac:dyDescent="0.2">
      <c r="A75" s="180">
        <f t="shared" si="22"/>
        <v>2075</v>
      </c>
      <c r="B75" s="128">
        <f t="shared" si="23"/>
        <v>1.2</v>
      </c>
      <c r="C75" s="5">
        <f t="shared" si="19"/>
        <v>9.5944791367087862E-3</v>
      </c>
      <c r="D75" s="195">
        <f t="shared" si="13"/>
        <v>7.9953992805906551E-3</v>
      </c>
      <c r="E75" s="128">
        <f t="shared" si="24"/>
        <v>4</v>
      </c>
      <c r="F75" s="5">
        <f t="shared" si="20"/>
        <v>0.20898992490403168</v>
      </c>
      <c r="G75" s="4">
        <f t="shared" si="14"/>
        <v>5.2247481226007919E-2</v>
      </c>
      <c r="H75" s="128">
        <f t="shared" si="25"/>
        <v>1.7000000000000004</v>
      </c>
      <c r="I75" s="5">
        <f t="shared" si="21"/>
        <v>0.75601922606110961</v>
      </c>
      <c r="J75" s="4">
        <f t="shared" si="15"/>
        <v>0.44471719180065261</v>
      </c>
      <c r="K75" s="128">
        <f t="shared" si="16"/>
        <v>6.9</v>
      </c>
      <c r="L75" s="19">
        <f t="shared" si="17"/>
        <v>0.97460363010185003</v>
      </c>
      <c r="M75" s="195">
        <f t="shared" si="18"/>
        <v>0.1412469029133116</v>
      </c>
      <c r="N75" s="440"/>
      <c r="P75" s="533">
        <f>'C&amp;C-exp'!C72-'SPM = C&amp;C_exp'!C75</f>
        <v>-1.927147677442809E-3</v>
      </c>
      <c r="Q75" s="534">
        <f>'C&amp;C-exp'!F72-'SPM = C&amp;C_exp'!F75</f>
        <v>-0.18343215337314508</v>
      </c>
      <c r="R75" s="535">
        <f>'C&amp;C-exp'!I72-'SPM = C&amp;C_exp'!I75</f>
        <v>-0.7451571731604828</v>
      </c>
    </row>
    <row r="76" spans="1:18" x14ac:dyDescent="0.2">
      <c r="A76" s="180">
        <f t="shared" si="22"/>
        <v>2076</v>
      </c>
      <c r="B76" s="128">
        <f t="shared" si="23"/>
        <v>1.2</v>
      </c>
      <c r="C76" s="5">
        <f t="shared" si="19"/>
        <v>8.1294078678519066E-3</v>
      </c>
      <c r="D76" s="195">
        <f t="shared" si="13"/>
        <v>6.7745065565432555E-3</v>
      </c>
      <c r="E76" s="128">
        <f t="shared" si="24"/>
        <v>4</v>
      </c>
      <c r="F76" s="5">
        <f t="shared" si="20"/>
        <v>0.18793046231572497</v>
      </c>
      <c r="G76" s="4">
        <f t="shared" si="14"/>
        <v>4.6982615578931242E-2</v>
      </c>
      <c r="H76" s="128">
        <f t="shared" si="25"/>
        <v>1.7000000000000004</v>
      </c>
      <c r="I76" s="5">
        <f t="shared" si="21"/>
        <v>0.74089691982236516</v>
      </c>
      <c r="J76" s="4">
        <f t="shared" si="15"/>
        <v>0.43582171754256765</v>
      </c>
      <c r="K76" s="128">
        <f t="shared" si="16"/>
        <v>6.9</v>
      </c>
      <c r="L76" s="19">
        <f t="shared" si="17"/>
        <v>0.93695679000594201</v>
      </c>
      <c r="M76" s="195">
        <f t="shared" si="18"/>
        <v>0.13579083913129594</v>
      </c>
      <c r="N76" s="440"/>
      <c r="P76" s="533">
        <f>'C&amp;C-exp'!C73-'SPM = C&amp;C_exp'!C76</f>
        <v>-4.016048326043721E-3</v>
      </c>
      <c r="Q76" s="534">
        <f>'C&amp;C-exp'!F73-'SPM = C&amp;C_exp'!F76</f>
        <v>-0.17421926384303102</v>
      </c>
      <c r="R76" s="535">
        <f>'C&amp;C-exp'!I73-'SPM = C&amp;C_exp'!I76</f>
        <v>-0.73506966047147027</v>
      </c>
    </row>
    <row r="77" spans="1:18" x14ac:dyDescent="0.2">
      <c r="A77" s="180">
        <f t="shared" si="22"/>
        <v>2077</v>
      </c>
      <c r="B77" s="128">
        <f t="shared" si="23"/>
        <v>1.2</v>
      </c>
      <c r="C77" s="5">
        <f t="shared" si="19"/>
        <v>6.8862590811796937E-3</v>
      </c>
      <c r="D77" s="195">
        <f t="shared" si="13"/>
        <v>5.7385492343164117E-3</v>
      </c>
      <c r="E77" s="128">
        <f t="shared" si="24"/>
        <v>4</v>
      </c>
      <c r="F77" s="5">
        <f t="shared" si="20"/>
        <v>0.16895061915888743</v>
      </c>
      <c r="G77" s="4">
        <f t="shared" si="14"/>
        <v>4.2237654789721857E-2</v>
      </c>
      <c r="H77" s="128">
        <f t="shared" si="25"/>
        <v>1.7000000000000004</v>
      </c>
      <c r="I77" s="5">
        <f t="shared" si="21"/>
        <v>0.72594854513015505</v>
      </c>
      <c r="J77" s="4">
        <f t="shared" si="15"/>
        <v>0.42702855595891465</v>
      </c>
      <c r="K77" s="128">
        <f t="shared" si="16"/>
        <v>6.9</v>
      </c>
      <c r="L77" s="19">
        <f t="shared" si="17"/>
        <v>0.90178542337022216</v>
      </c>
      <c r="M77" s="195">
        <f t="shared" si="18"/>
        <v>0.13069353961887278</v>
      </c>
      <c r="N77" s="440"/>
      <c r="P77" s="533">
        <f>'C&amp;C-exp'!C74-'SPM = C&amp;C_exp'!C77</f>
        <v>-6.3268714568293005E-3</v>
      </c>
      <c r="Q77" s="534">
        <f>'C&amp;C-exp'!F74-'SPM = C&amp;C_exp'!F77</f>
        <v>-0.16708599374438612</v>
      </c>
      <c r="R77" s="535">
        <f>'C&amp;C-exp'!I74-'SPM = C&amp;C_exp'!I77</f>
        <v>-0.72515607932899195</v>
      </c>
    </row>
    <row r="78" spans="1:18" x14ac:dyDescent="0.2">
      <c r="A78" s="180">
        <f t="shared" si="22"/>
        <v>2078</v>
      </c>
      <c r="B78" s="128">
        <f t="shared" si="23"/>
        <v>1.2</v>
      </c>
      <c r="C78" s="5">
        <f t="shared" si="19"/>
        <v>5.8317419580249108E-3</v>
      </c>
      <c r="D78" s="195">
        <f t="shared" si="13"/>
        <v>4.8597849650207593E-3</v>
      </c>
      <c r="E78" s="128">
        <f t="shared" si="24"/>
        <v>4</v>
      </c>
      <c r="F78" s="5">
        <f t="shared" si="20"/>
        <v>0.15185061336269268</v>
      </c>
      <c r="G78" s="4">
        <f t="shared" si="14"/>
        <v>3.7962653340673169E-2</v>
      </c>
      <c r="H78" s="128">
        <f t="shared" si="25"/>
        <v>1.7000000000000004</v>
      </c>
      <c r="I78" s="5">
        <f t="shared" si="21"/>
        <v>0.71117911832618574</v>
      </c>
      <c r="J78" s="4">
        <f t="shared" si="15"/>
        <v>0.41834065783893271</v>
      </c>
      <c r="K78" s="128">
        <f t="shared" si="16"/>
        <v>6.9</v>
      </c>
      <c r="L78" s="19">
        <f t="shared" si="17"/>
        <v>0.86886147364690336</v>
      </c>
      <c r="M78" s="195">
        <f t="shared" si="18"/>
        <v>0.12592195270244977</v>
      </c>
      <c r="N78" s="440"/>
      <c r="P78" s="533">
        <f>'C&amp;C-exp'!C75-'SPM = C&amp;C_exp'!C78</f>
        <v>-5.8317419580249108E-3</v>
      </c>
      <c r="Q78" s="534">
        <f>'C&amp;C-exp'!F75-'SPM = C&amp;C_exp'!F78</f>
        <v>-0.15185061336269268</v>
      </c>
      <c r="R78" s="535">
        <f>'C&amp;C-exp'!I75-'SPM = C&amp;C_exp'!I78</f>
        <v>-0.71117911832618574</v>
      </c>
    </row>
    <row r="79" spans="1:18" x14ac:dyDescent="0.2">
      <c r="A79" s="180">
        <f t="shared" si="22"/>
        <v>2079</v>
      </c>
      <c r="B79" s="128">
        <f t="shared" si="23"/>
        <v>1.2</v>
      </c>
      <c r="C79" s="5">
        <f t="shared" si="19"/>
        <v>4.937500280422686E-3</v>
      </c>
      <c r="D79" s="195">
        <f t="shared" si="13"/>
        <v>4.1145835670189056E-3</v>
      </c>
      <c r="E79" s="128">
        <f t="shared" si="24"/>
        <v>4</v>
      </c>
      <c r="F79" s="5">
        <f t="shared" si="20"/>
        <v>0.13644910757918183</v>
      </c>
      <c r="G79" s="4">
        <f t="shared" si="14"/>
        <v>3.4112276894795457E-2</v>
      </c>
      <c r="H79" s="128">
        <f t="shared" si="25"/>
        <v>1.7000000000000004</v>
      </c>
      <c r="I79" s="5">
        <f t="shared" si="21"/>
        <v>0.696593134348511</v>
      </c>
      <c r="J79" s="4">
        <f t="shared" si="15"/>
        <v>0.40976066726382993</v>
      </c>
      <c r="K79" s="128">
        <f t="shared" si="16"/>
        <v>6.9</v>
      </c>
      <c r="L79" s="19">
        <f t="shared" si="17"/>
        <v>0.83797974220811555</v>
      </c>
      <c r="M79" s="195">
        <f t="shared" si="18"/>
        <v>0.12144633945045152</v>
      </c>
      <c r="N79" s="440"/>
      <c r="P79" s="533">
        <f>'C&amp;C-exp'!C76-'SPM = C&amp;C_exp'!C79</f>
        <v>-4.937500280422686E-3</v>
      </c>
      <c r="Q79" s="534">
        <f>'C&amp;C-exp'!F76-'SPM = C&amp;C_exp'!F79</f>
        <v>-0.13644910757918183</v>
      </c>
      <c r="R79" s="535">
        <f>'C&amp;C-exp'!I76-'SPM = C&amp;C_exp'!I79</f>
        <v>-0.696593134348511</v>
      </c>
    </row>
    <row r="80" spans="1:18" x14ac:dyDescent="0.2">
      <c r="A80" s="180">
        <f t="shared" si="22"/>
        <v>2080</v>
      </c>
      <c r="B80" s="128">
        <f t="shared" si="23"/>
        <v>1.2</v>
      </c>
      <c r="C80" s="5">
        <f t="shared" si="19"/>
        <v>4.1793919477145884E-3</v>
      </c>
      <c r="D80" s="195">
        <f t="shared" si="13"/>
        <v>3.4828266230954906E-3</v>
      </c>
      <c r="E80" s="128">
        <f t="shared" si="24"/>
        <v>4</v>
      </c>
      <c r="F80" s="5">
        <f t="shared" si="20"/>
        <v>0.12258160926641271</v>
      </c>
      <c r="G80" s="4">
        <f t="shared" si="14"/>
        <v>3.0645402316603176E-2</v>
      </c>
      <c r="H80" s="128">
        <f t="shared" si="25"/>
        <v>1.7000000000000004</v>
      </c>
      <c r="I80" s="5">
        <f t="shared" si="21"/>
        <v>0.68219459571163199</v>
      </c>
      <c r="J80" s="4">
        <f t="shared" si="15"/>
        <v>0.40129093865390109</v>
      </c>
      <c r="K80" s="128">
        <f t="shared" si="16"/>
        <v>6.9</v>
      </c>
      <c r="L80" s="19">
        <f t="shared" si="17"/>
        <v>0.80895559692575925</v>
      </c>
      <c r="M80" s="195">
        <f t="shared" si="18"/>
        <v>0.11723994158344336</v>
      </c>
      <c r="N80" s="440"/>
      <c r="P80" s="533">
        <f>'C&amp;C-exp'!C77-'SPM = C&amp;C_exp'!C80</f>
        <v>-4.1793919477145884E-3</v>
      </c>
      <c r="Q80" s="534">
        <f>'C&amp;C-exp'!F77-'SPM = C&amp;C_exp'!F80</f>
        <v>-0.12258160926641271</v>
      </c>
      <c r="R80" s="535">
        <f>'C&amp;C-exp'!I77-'SPM = C&amp;C_exp'!I80</f>
        <v>-0.68219459571163199</v>
      </c>
    </row>
    <row r="81" spans="1:18" x14ac:dyDescent="0.2">
      <c r="A81" s="180">
        <f t="shared" si="22"/>
        <v>2081</v>
      </c>
      <c r="B81" s="128">
        <f t="shared" si="23"/>
        <v>1.2</v>
      </c>
      <c r="C81" s="5">
        <f t="shared" si="19"/>
        <v>3.5368716421251521E-3</v>
      </c>
      <c r="D81" s="195">
        <f t="shared" si="13"/>
        <v>2.9473930351042936E-3</v>
      </c>
      <c r="E81" s="128">
        <f t="shared" si="24"/>
        <v>4</v>
      </c>
      <c r="F81" s="5">
        <f t="shared" si="20"/>
        <v>0.11009899479210961</v>
      </c>
      <c r="G81" s="4">
        <f t="shared" si="14"/>
        <v>2.7524748698027401E-2</v>
      </c>
      <c r="H81" s="128">
        <f t="shared" si="25"/>
        <v>1.7000000000000004</v>
      </c>
      <c r="I81" s="5">
        <f t="shared" si="21"/>
        <v>0.66798704014063048</v>
      </c>
      <c r="J81" s="4">
        <f t="shared" si="15"/>
        <v>0.39293355302390021</v>
      </c>
      <c r="K81" s="128">
        <f t="shared" si="16"/>
        <v>6.9</v>
      </c>
      <c r="L81" s="19">
        <f t="shared" si="17"/>
        <v>0.78162290657486522</v>
      </c>
      <c r="M81" s="195">
        <f t="shared" si="18"/>
        <v>0.1132786821122993</v>
      </c>
      <c r="N81" s="440"/>
      <c r="P81" s="533">
        <f>'C&amp;C-exp'!C78-'SPM = C&amp;C_exp'!C81</f>
        <v>-3.5368716421251521E-3</v>
      </c>
      <c r="Q81" s="534">
        <f>'C&amp;C-exp'!F78-'SPM = C&amp;C_exp'!F81</f>
        <v>-0.11009899479210961</v>
      </c>
      <c r="R81" s="535">
        <f>'C&amp;C-exp'!I78-'SPM = C&amp;C_exp'!I81</f>
        <v>-0.66798704014063048</v>
      </c>
    </row>
    <row r="82" spans="1:18" x14ac:dyDescent="0.2">
      <c r="A82" s="180">
        <f t="shared" si="22"/>
        <v>2082</v>
      </c>
      <c r="B82" s="128">
        <f t="shared" si="23"/>
        <v>1.2</v>
      </c>
      <c r="C82" s="5">
        <f t="shared" si="19"/>
        <v>2.9924622637615174E-3</v>
      </c>
      <c r="D82" s="195">
        <f t="shared" si="13"/>
        <v>2.4937185531345978E-3</v>
      </c>
      <c r="E82" s="128">
        <f t="shared" si="24"/>
        <v>4</v>
      </c>
      <c r="F82" s="5">
        <f t="shared" si="20"/>
        <v>9.8866150195289437E-2</v>
      </c>
      <c r="G82" s="4">
        <f t="shared" si="14"/>
        <v>2.4716537548822359E-2</v>
      </c>
      <c r="H82" s="128">
        <f t="shared" si="25"/>
        <v>1.7000000000000004</v>
      </c>
      <c r="I82" s="5">
        <f t="shared" si="21"/>
        <v>0.65397356691677544</v>
      </c>
      <c r="J82" s="4">
        <f t="shared" si="15"/>
        <v>0.38469033348045606</v>
      </c>
      <c r="K82" s="128">
        <f t="shared" si="16"/>
        <v>6.9</v>
      </c>
      <c r="L82" s="19">
        <f t="shared" si="17"/>
        <v>0.75583217937582636</v>
      </c>
      <c r="M82" s="195">
        <f t="shared" si="18"/>
        <v>0.10954089556171397</v>
      </c>
      <c r="N82" s="440"/>
      <c r="P82" s="533">
        <f>'C&amp;C-exp'!C79-'SPM = C&amp;C_exp'!C82</f>
        <v>-2.9924622637615174E-3</v>
      </c>
      <c r="Q82" s="534">
        <f>'C&amp;C-exp'!F79-'SPM = C&amp;C_exp'!F82</f>
        <v>-9.8866150195289437E-2</v>
      </c>
      <c r="R82" s="535">
        <f>'C&amp;C-exp'!I79-'SPM = C&amp;C_exp'!I82</f>
        <v>-0.65397356691677544</v>
      </c>
    </row>
    <row r="83" spans="1:18" x14ac:dyDescent="0.2">
      <c r="A83" s="180">
        <f t="shared" si="22"/>
        <v>2083</v>
      </c>
      <c r="B83" s="128">
        <f t="shared" si="23"/>
        <v>1.2</v>
      </c>
      <c r="C83" s="5">
        <f t="shared" si="19"/>
        <v>2.5313026850787481E-3</v>
      </c>
      <c r="D83" s="195">
        <f t="shared" si="13"/>
        <v>2.1094189042322902E-3</v>
      </c>
      <c r="E83" s="128">
        <f t="shared" si="24"/>
        <v>4</v>
      </c>
      <c r="F83" s="5">
        <f t="shared" si="20"/>
        <v>8.8760721296230249E-2</v>
      </c>
      <c r="G83" s="4">
        <f t="shared" si="14"/>
        <v>2.2190180324057562E-2</v>
      </c>
      <c r="H83" s="128">
        <f t="shared" si="25"/>
        <v>1.7000000000000004</v>
      </c>
      <c r="I83" s="5">
        <f t="shared" si="21"/>
        <v>0.64015686198959187</v>
      </c>
      <c r="J83" s="4">
        <f t="shared" si="15"/>
        <v>0.37656285999387751</v>
      </c>
      <c r="K83" s="128">
        <f t="shared" si="16"/>
        <v>6.9</v>
      </c>
      <c r="L83" s="19">
        <f t="shared" si="17"/>
        <v>0.73144888597090085</v>
      </c>
      <c r="M83" s="195">
        <f t="shared" si="18"/>
        <v>0.10600708492331896</v>
      </c>
      <c r="N83" s="440"/>
      <c r="P83" s="533">
        <f>'C&amp;C-exp'!C80-'SPM = C&amp;C_exp'!C83</f>
        <v>-2.5313026850787481E-3</v>
      </c>
      <c r="Q83" s="534">
        <f>'C&amp;C-exp'!F80-'SPM = C&amp;C_exp'!F83</f>
        <v>-8.8760721296230249E-2</v>
      </c>
      <c r="R83" s="535">
        <f>'C&amp;C-exp'!I80-'SPM = C&amp;C_exp'!I83</f>
        <v>-0.64015686198959187</v>
      </c>
    </row>
    <row r="84" spans="1:18" x14ac:dyDescent="0.2">
      <c r="A84" s="180">
        <f t="shared" si="22"/>
        <v>2084</v>
      </c>
      <c r="B84" s="128">
        <f t="shared" si="23"/>
        <v>1.2</v>
      </c>
      <c r="C84" s="5">
        <f t="shared" si="19"/>
        <v>2.1407610604082077E-3</v>
      </c>
      <c r="D84" s="195">
        <f t="shared" si="13"/>
        <v>1.7839675503401732E-3</v>
      </c>
      <c r="E84" s="128">
        <f t="shared" si="24"/>
        <v>4</v>
      </c>
      <c r="F84" s="5">
        <f t="shared" si="20"/>
        <v>7.9671965983180937E-2</v>
      </c>
      <c r="G84" s="4">
        <f t="shared" si="14"/>
        <v>1.9917991495795234E-2</v>
      </c>
      <c r="H84" s="128">
        <f t="shared" si="25"/>
        <v>1.7000000000000004</v>
      </c>
      <c r="I84" s="5">
        <f t="shared" si="21"/>
        <v>0.62653922190800415</v>
      </c>
      <c r="J84" s="4">
        <f t="shared" si="15"/>
        <v>0.36855248347529646</v>
      </c>
      <c r="K84" s="128">
        <f t="shared" si="16"/>
        <v>6.9</v>
      </c>
      <c r="L84" s="19">
        <f t="shared" si="17"/>
        <v>0.70835194895159326</v>
      </c>
      <c r="M84" s="195">
        <f t="shared" si="18"/>
        <v>0.10265970274660771</v>
      </c>
      <c r="N84" s="440"/>
      <c r="P84" s="533">
        <f>'C&amp;C-exp'!C81-'SPM = C&amp;C_exp'!C84</f>
        <v>-2.1407610604082077E-3</v>
      </c>
      <c r="Q84" s="534">
        <f>'C&amp;C-exp'!F81-'SPM = C&amp;C_exp'!F84</f>
        <v>-7.9671965983180937E-2</v>
      </c>
      <c r="R84" s="535">
        <f>'C&amp;C-exp'!I81-'SPM = C&amp;C_exp'!I84</f>
        <v>-0.62653922190800415</v>
      </c>
    </row>
    <row r="85" spans="1:18" x14ac:dyDescent="0.2">
      <c r="A85" s="180">
        <f t="shared" si="22"/>
        <v>2085</v>
      </c>
      <c r="B85" s="128">
        <f t="shared" si="23"/>
        <v>1.2</v>
      </c>
      <c r="C85" s="5">
        <f t="shared" si="19"/>
        <v>1.8101043954479624E-3</v>
      </c>
      <c r="D85" s="195">
        <f t="shared" si="13"/>
        <v>1.5084203295399688E-3</v>
      </c>
      <c r="E85" s="128">
        <f t="shared" si="24"/>
        <v>4</v>
      </c>
      <c r="F85" s="5">
        <f t="shared" si="20"/>
        <v>7.1499701707284036E-2</v>
      </c>
      <c r="G85" s="4">
        <f t="shared" si="14"/>
        <v>1.7874925426821009E-2</v>
      </c>
      <c r="H85" s="128">
        <f t="shared" si="25"/>
        <v>1.7000000000000004</v>
      </c>
      <c r="I85" s="5">
        <f t="shared" si="21"/>
        <v>0.61312257662128289</v>
      </c>
      <c r="J85" s="4">
        <f t="shared" si="15"/>
        <v>0.36066033918898988</v>
      </c>
      <c r="K85" s="128">
        <f t="shared" si="16"/>
        <v>6.9</v>
      </c>
      <c r="L85" s="19">
        <f t="shared" si="17"/>
        <v>0.68643238272401486</v>
      </c>
      <c r="M85" s="195">
        <f t="shared" si="18"/>
        <v>9.9482954017973163E-2</v>
      </c>
      <c r="N85" s="440"/>
      <c r="P85" s="533">
        <f>'C&amp;C-exp'!C82-'SPM = C&amp;C_exp'!C85</f>
        <v>-1.8101043954479624E-3</v>
      </c>
      <c r="Q85" s="534">
        <f>'C&amp;C-exp'!F82-'SPM = C&amp;C_exp'!F85</f>
        <v>-7.1499701707284036E-2</v>
      </c>
      <c r="R85" s="535">
        <f>'C&amp;C-exp'!I82-'SPM = C&amp;C_exp'!I85</f>
        <v>-0.61312257662128289</v>
      </c>
    </row>
    <row r="86" spans="1:18" x14ac:dyDescent="0.2">
      <c r="A86" s="180">
        <f t="shared" si="22"/>
        <v>2086</v>
      </c>
      <c r="B86" s="128">
        <f t="shared" si="23"/>
        <v>1.2</v>
      </c>
      <c r="C86" s="5">
        <f t="shared" si="19"/>
        <v>1.5302163599700477E-3</v>
      </c>
      <c r="D86" s="195">
        <f t="shared" si="13"/>
        <v>1.2751802999750399E-3</v>
      </c>
      <c r="E86" s="128">
        <f t="shared" si="24"/>
        <v>4</v>
      </c>
      <c r="F86" s="5">
        <f t="shared" si="20"/>
        <v>6.4153341468352498E-2</v>
      </c>
      <c r="G86" s="4">
        <f t="shared" si="14"/>
        <v>1.6038335367088125E-2</v>
      </c>
      <c r="H86" s="128">
        <f t="shared" si="25"/>
        <v>1.7000000000000004</v>
      </c>
      <c r="I86" s="5">
        <f t="shared" si="21"/>
        <v>0.5999085111984499</v>
      </c>
      <c r="J86" s="4">
        <f t="shared" si="15"/>
        <v>0.35288735952849987</v>
      </c>
      <c r="K86" s="128">
        <f t="shared" si="16"/>
        <v>6.9</v>
      </c>
      <c r="L86" s="19">
        <f t="shared" si="17"/>
        <v>0.66559206902677248</v>
      </c>
      <c r="M86" s="195">
        <f t="shared" si="18"/>
        <v>9.6462618699532238E-2</v>
      </c>
      <c r="N86" s="440"/>
      <c r="P86" s="533">
        <f>'C&amp;C-exp'!C83-'SPM = C&amp;C_exp'!C86</f>
        <v>-1.5302163599700477E-3</v>
      </c>
      <c r="Q86" s="534">
        <f>'C&amp;C-exp'!F83-'SPM = C&amp;C_exp'!F86</f>
        <v>-6.4153341468352498E-2</v>
      </c>
      <c r="R86" s="535">
        <f>'C&amp;C-exp'!I83-'SPM = C&amp;C_exp'!I86</f>
        <v>-0.5999085111984499</v>
      </c>
    </row>
    <row r="87" spans="1:18" x14ac:dyDescent="0.2">
      <c r="A87" s="180">
        <f t="shared" si="22"/>
        <v>2087</v>
      </c>
      <c r="B87" s="128">
        <f t="shared" si="23"/>
        <v>1.2</v>
      </c>
      <c r="C87" s="5">
        <f t="shared" si="19"/>
        <v>1.2933564372732947E-3</v>
      </c>
      <c r="D87" s="195">
        <f t="shared" si="13"/>
        <v>1.077797031061079E-3</v>
      </c>
      <c r="E87" s="128">
        <f t="shared" si="24"/>
        <v>4</v>
      </c>
      <c r="F87" s="5">
        <f t="shared" si="20"/>
        <v>5.7551011859805434E-2</v>
      </c>
      <c r="G87" s="4">
        <f t="shared" si="14"/>
        <v>1.4387752964951359E-2</v>
      </c>
      <c r="H87" s="128">
        <f t="shared" si="25"/>
        <v>1.7000000000000004</v>
      </c>
      <c r="I87" s="5">
        <f t="shared" si="21"/>
        <v>0.58689828651244369</v>
      </c>
      <c r="J87" s="4">
        <f t="shared" si="15"/>
        <v>0.34523428618379032</v>
      </c>
      <c r="K87" s="128">
        <f t="shared" si="16"/>
        <v>6.9</v>
      </c>
      <c r="L87" s="19">
        <f t="shared" si="17"/>
        <v>0.64574265480952242</v>
      </c>
      <c r="M87" s="195">
        <f t="shared" si="18"/>
        <v>9.3585892001380053E-2</v>
      </c>
      <c r="N87" s="440"/>
      <c r="P87" s="533">
        <f>'C&amp;C-exp'!C84-'SPM = C&amp;C_exp'!C87</f>
        <v>-1.2933564372732947E-3</v>
      </c>
      <c r="Q87" s="534">
        <f>'C&amp;C-exp'!F84-'SPM = C&amp;C_exp'!F87</f>
        <v>-5.7551011859805434E-2</v>
      </c>
      <c r="R87" s="535">
        <f>'C&amp;C-exp'!I84-'SPM = C&amp;C_exp'!I87</f>
        <v>-0.58689828651244369</v>
      </c>
    </row>
    <row r="88" spans="1:18" x14ac:dyDescent="0.2">
      <c r="A88" s="180">
        <f t="shared" si="22"/>
        <v>2088</v>
      </c>
      <c r="B88" s="128">
        <f t="shared" si="23"/>
        <v>1.2</v>
      </c>
      <c r="C88" s="5">
        <f t="shared" si="19"/>
        <v>1.0929544666470467E-3</v>
      </c>
      <c r="D88" s="195">
        <f t="shared" si="13"/>
        <v>9.1079538887253893E-4</v>
      </c>
      <c r="E88" s="128">
        <f t="shared" si="24"/>
        <v>4</v>
      </c>
      <c r="F88" s="5">
        <f t="shared" si="20"/>
        <v>5.1618747049832214E-2</v>
      </c>
      <c r="G88" s="4">
        <f t="shared" si="14"/>
        <v>1.2904686762458054E-2</v>
      </c>
      <c r="H88" s="128">
        <f t="shared" si="25"/>
        <v>1.7000000000000004</v>
      </c>
      <c r="I88" s="5">
        <f t="shared" si="21"/>
        <v>0.57409285893408324</v>
      </c>
      <c r="J88" s="4">
        <f t="shared" si="15"/>
        <v>0.33770168172593124</v>
      </c>
      <c r="K88" s="128">
        <f t="shared" si="16"/>
        <v>6.9</v>
      </c>
      <c r="L88" s="19">
        <f t="shared" si="17"/>
        <v>0.62680456045056243</v>
      </c>
      <c r="M88" s="195">
        <f t="shared" si="18"/>
        <v>9.084124064500905E-2</v>
      </c>
      <c r="N88" s="440"/>
      <c r="P88" s="533">
        <f>'C&amp;C-exp'!C85-'SPM = C&amp;C_exp'!C88</f>
        <v>-1.0929544666470467E-3</v>
      </c>
      <c r="Q88" s="534">
        <f>'C&amp;C-exp'!F85-'SPM = C&amp;C_exp'!F88</f>
        <v>-5.1618747049832214E-2</v>
      </c>
      <c r="R88" s="535">
        <f>'C&amp;C-exp'!I85-'SPM = C&amp;C_exp'!I88</f>
        <v>-0.57409285893408324</v>
      </c>
    </row>
    <row r="89" spans="1:18" x14ac:dyDescent="0.2">
      <c r="A89" s="180">
        <f t="shared" si="22"/>
        <v>2089</v>
      </c>
      <c r="B89" s="128">
        <f t="shared" si="23"/>
        <v>1.2</v>
      </c>
      <c r="C89" s="5">
        <f t="shared" si="19"/>
        <v>9.2343546867096164E-4</v>
      </c>
      <c r="D89" s="195">
        <f t="shared" si="13"/>
        <v>7.6952955722580144E-4</v>
      </c>
      <c r="E89" s="128">
        <f t="shared" si="24"/>
        <v>4</v>
      </c>
      <c r="F89" s="5">
        <f t="shared" si="20"/>
        <v>4.6289752898729608E-2</v>
      </c>
      <c r="G89" s="4">
        <f t="shared" si="14"/>
        <v>1.1572438224682402E-2</v>
      </c>
      <c r="H89" s="128">
        <f t="shared" si="25"/>
        <v>1.7000000000000004</v>
      </c>
      <c r="I89" s="5">
        <f t="shared" si="21"/>
        <v>0.56149289907837741</v>
      </c>
      <c r="J89" s="4">
        <f t="shared" si="15"/>
        <v>0.33028994063433958</v>
      </c>
      <c r="K89" s="128">
        <f t="shared" si="16"/>
        <v>6.9</v>
      </c>
      <c r="L89" s="19">
        <f t="shared" si="17"/>
        <v>0.60870608744577792</v>
      </c>
      <c r="M89" s="195">
        <f t="shared" si="18"/>
        <v>8.8218273542866363E-2</v>
      </c>
      <c r="N89" s="440"/>
      <c r="P89" s="533">
        <f>'C&amp;C-exp'!C86-'SPM = C&amp;C_exp'!C89</f>
        <v>-9.2343546867096164E-4</v>
      </c>
      <c r="Q89" s="534">
        <f>'C&amp;C-exp'!F86-'SPM = C&amp;C_exp'!F89</f>
        <v>-4.6289752898729608E-2</v>
      </c>
      <c r="R89" s="535">
        <f>'C&amp;C-exp'!I86-'SPM = C&amp;C_exp'!I89</f>
        <v>-0.56149289907837741</v>
      </c>
    </row>
    <row r="90" spans="1:18" x14ac:dyDescent="0.2">
      <c r="A90" s="180">
        <f t="shared" si="22"/>
        <v>2090</v>
      </c>
      <c r="B90" s="128">
        <f t="shared" si="23"/>
        <v>1.2</v>
      </c>
      <c r="C90" s="5">
        <f t="shared" si="19"/>
        <v>7.8007036389313601E-4</v>
      </c>
      <c r="D90" s="195">
        <f t="shared" si="13"/>
        <v>6.5005863657761334E-4</v>
      </c>
      <c r="E90" s="128">
        <f t="shared" si="24"/>
        <v>4</v>
      </c>
      <c r="F90" s="5">
        <f t="shared" si="20"/>
        <v>4.1503735741949599E-2</v>
      </c>
      <c r="G90" s="4">
        <f t="shared" si="14"/>
        <v>1.03759339354874E-2</v>
      </c>
      <c r="H90" s="128">
        <f t="shared" si="25"/>
        <v>1.7000000000000004</v>
      </c>
      <c r="I90" s="5">
        <f t="shared" si="21"/>
        <v>0.5490988096445335</v>
      </c>
      <c r="J90" s="4">
        <f t="shared" si="15"/>
        <v>0.32299929979090197</v>
      </c>
      <c r="K90" s="128">
        <f t="shared" si="16"/>
        <v>6.9</v>
      </c>
      <c r="L90" s="19">
        <f t="shared" si="17"/>
        <v>0.59138261575037632</v>
      </c>
      <c r="M90" s="195">
        <f t="shared" si="18"/>
        <v>8.5707625471069027E-2</v>
      </c>
      <c r="N90" s="440"/>
      <c r="P90" s="533">
        <f>'C&amp;C-exp'!C87-'SPM = C&amp;C_exp'!C90</f>
        <v>-7.8007036389313601E-4</v>
      </c>
      <c r="Q90" s="534">
        <f>'C&amp;C-exp'!F87-'SPM = C&amp;C_exp'!F90</f>
        <v>-4.1503735741949599E-2</v>
      </c>
      <c r="R90" s="535">
        <f>'C&amp;C-exp'!I87-'SPM = C&amp;C_exp'!I90</f>
        <v>-0.5490988096445335</v>
      </c>
    </row>
    <row r="91" spans="1:18" x14ac:dyDescent="0.2">
      <c r="A91" s="180">
        <f t="shared" si="22"/>
        <v>2091</v>
      </c>
      <c r="B91" s="128">
        <f t="shared" si="23"/>
        <v>1.2</v>
      </c>
      <c r="C91" s="5">
        <f t="shared" si="19"/>
        <v>6.5884881777970253E-4</v>
      </c>
      <c r="D91" s="195">
        <f t="shared" si="13"/>
        <v>5.4904068148308545E-4</v>
      </c>
      <c r="E91" s="128">
        <f t="shared" si="24"/>
        <v>4</v>
      </c>
      <c r="F91" s="5">
        <f t="shared" si="20"/>
        <v>3.7206290698879041E-2</v>
      </c>
      <c r="G91" s="4">
        <f t="shared" si="14"/>
        <v>9.3015726747197602E-3</v>
      </c>
      <c r="H91" s="128">
        <f t="shared" si="25"/>
        <v>1.7000000000000004</v>
      </c>
      <c r="I91" s="5">
        <f t="shared" si="21"/>
        <v>0.53691074238896519</v>
      </c>
      <c r="J91" s="4">
        <f t="shared" si="15"/>
        <v>0.31582984846409712</v>
      </c>
      <c r="K91" s="128">
        <f t="shared" si="16"/>
        <v>6.9</v>
      </c>
      <c r="L91" s="19">
        <f t="shared" si="17"/>
        <v>0.5747758819056239</v>
      </c>
      <c r="M91" s="195">
        <f t="shared" si="18"/>
        <v>8.3300852450090418E-2</v>
      </c>
      <c r="N91" s="440"/>
      <c r="P91" s="533">
        <f>'C&amp;C-exp'!C88-'SPM = C&amp;C_exp'!C91</f>
        <v>-6.5884881777970253E-4</v>
      </c>
      <c r="Q91" s="534">
        <f>'C&amp;C-exp'!F88-'SPM = C&amp;C_exp'!F91</f>
        <v>-3.7206290698879041E-2</v>
      </c>
      <c r="R91" s="535">
        <f>'C&amp;C-exp'!I88-'SPM = C&amp;C_exp'!I91</f>
        <v>-0.53691074238896519</v>
      </c>
    </row>
    <row r="92" spans="1:18" x14ac:dyDescent="0.2">
      <c r="A92" s="180">
        <f t="shared" si="22"/>
        <v>2092</v>
      </c>
      <c r="B92" s="128">
        <f t="shared" si="23"/>
        <v>1.2</v>
      </c>
      <c r="C92" s="5">
        <f t="shared" si="19"/>
        <v>5.5637098159378763E-4</v>
      </c>
      <c r="D92" s="195">
        <f t="shared" si="13"/>
        <v>4.6364248466148971E-4</v>
      </c>
      <c r="E92" s="128">
        <f t="shared" si="24"/>
        <v>4</v>
      </c>
      <c r="F92" s="5">
        <f t="shared" si="20"/>
        <v>3.3348344694287491E-2</v>
      </c>
      <c r="G92" s="4">
        <f t="shared" si="14"/>
        <v>8.3370861735718726E-3</v>
      </c>
      <c r="H92" s="128">
        <f t="shared" si="25"/>
        <v>1.7000000000000004</v>
      </c>
      <c r="I92" s="5">
        <f t="shared" si="21"/>
        <v>0.52492861426914317</v>
      </c>
      <c r="J92" s="4">
        <f t="shared" si="15"/>
        <v>0.30878153780537826</v>
      </c>
      <c r="K92" s="128">
        <f t="shared" si="16"/>
        <v>6.9</v>
      </c>
      <c r="L92" s="19">
        <f t="shared" si="17"/>
        <v>0.55883332994502444</v>
      </c>
      <c r="M92" s="195">
        <f t="shared" si="18"/>
        <v>8.0990337673191942E-2</v>
      </c>
      <c r="N92" s="440"/>
      <c r="P92" s="533">
        <f>'C&amp;C-exp'!C89-'SPM = C&amp;C_exp'!C92</f>
        <v>-5.5637098159378763E-4</v>
      </c>
      <c r="Q92" s="534">
        <f>'C&amp;C-exp'!F89-'SPM = C&amp;C_exp'!F92</f>
        <v>-3.3348344694287491E-2</v>
      </c>
      <c r="R92" s="535">
        <f>'C&amp;C-exp'!I89-'SPM = C&amp;C_exp'!I92</f>
        <v>-0.52492861426914317</v>
      </c>
    </row>
    <row r="93" spans="1:18" x14ac:dyDescent="0.2">
      <c r="A93" s="180">
        <f t="shared" si="22"/>
        <v>2093</v>
      </c>
      <c r="B93" s="128">
        <f t="shared" si="23"/>
        <v>1.2</v>
      </c>
      <c r="C93" s="5">
        <f t="shared" si="19"/>
        <v>4.6975536129338288E-4</v>
      </c>
      <c r="D93" s="195">
        <f t="shared" si="13"/>
        <v>3.9146280107781907E-4</v>
      </c>
      <c r="E93" s="128">
        <f t="shared" si="24"/>
        <v>4</v>
      </c>
      <c r="F93" s="5">
        <f t="shared" si="20"/>
        <v>2.9885649698986994E-2</v>
      </c>
      <c r="G93" s="4">
        <f t="shared" si="14"/>
        <v>7.4714124247467484E-3</v>
      </c>
      <c r="H93" s="128">
        <f t="shared" si="25"/>
        <v>1.7000000000000004</v>
      </c>
      <c r="I93" s="5">
        <f t="shared" si="21"/>
        <v>0.5131521227946152</v>
      </c>
      <c r="J93" s="4">
        <f t="shared" si="15"/>
        <v>0.30185418987918533</v>
      </c>
      <c r="K93" s="128">
        <f t="shared" si="16"/>
        <v>6.9</v>
      </c>
      <c r="L93" s="19">
        <f t="shared" si="17"/>
        <v>0.54350752785489553</v>
      </c>
      <c r="M93" s="195">
        <f t="shared" si="18"/>
        <v>7.8769206935492109E-2</v>
      </c>
      <c r="N93" s="440"/>
      <c r="P93" s="533">
        <f>'C&amp;C-exp'!C90-'SPM = C&amp;C_exp'!C93</f>
        <v>-4.6975536129338288E-4</v>
      </c>
      <c r="Q93" s="534">
        <f>'C&amp;C-exp'!F90-'SPM = C&amp;C_exp'!F93</f>
        <v>-2.9885649698986994E-2</v>
      </c>
      <c r="R93" s="535">
        <f>'C&amp;C-exp'!I90-'SPM = C&amp;C_exp'!I93</f>
        <v>-0.5131521227946152</v>
      </c>
    </row>
    <row r="94" spans="1:18" x14ac:dyDescent="0.2">
      <c r="A94" s="180">
        <f t="shared" si="22"/>
        <v>2094</v>
      </c>
      <c r="B94" s="128">
        <f t="shared" si="23"/>
        <v>1.2</v>
      </c>
      <c r="C94" s="5">
        <f t="shared" si="19"/>
        <v>3.9656044451237028E-4</v>
      </c>
      <c r="D94" s="195">
        <f t="shared" si="13"/>
        <v>3.3046703709364194E-4</v>
      </c>
      <c r="E94" s="128">
        <f t="shared" si="24"/>
        <v>4</v>
      </c>
      <c r="F94" s="5">
        <f t="shared" si="20"/>
        <v>2.6778322006109606E-2</v>
      </c>
      <c r="G94" s="4">
        <f t="shared" si="14"/>
        <v>6.6945805015274015E-3</v>
      </c>
      <c r="H94" s="128">
        <f t="shared" si="25"/>
        <v>1.7000000000000004</v>
      </c>
      <c r="I94" s="5">
        <f t="shared" si="21"/>
        <v>0.50158076061978818</v>
      </c>
      <c r="J94" s="4">
        <f t="shared" si="15"/>
        <v>0.29504750624693415</v>
      </c>
      <c r="K94" s="128">
        <f t="shared" si="16"/>
        <v>6.9</v>
      </c>
      <c r="L94" s="19">
        <f t="shared" si="17"/>
        <v>0.52875564307041023</v>
      </c>
      <c r="M94" s="195">
        <f t="shared" si="18"/>
        <v>7.6631252618900025E-2</v>
      </c>
      <c r="N94" s="440"/>
      <c r="P94" s="533">
        <f>'C&amp;C-exp'!C91-'SPM = C&amp;C_exp'!C94</f>
        <v>-3.9656044451237028E-4</v>
      </c>
      <c r="Q94" s="534">
        <f>'C&amp;C-exp'!F91-'SPM = C&amp;C_exp'!F94</f>
        <v>-2.6778322006109606E-2</v>
      </c>
      <c r="R94" s="535">
        <f>'C&amp;C-exp'!I91-'SPM = C&amp;C_exp'!I94</f>
        <v>-0.50158076061978818</v>
      </c>
    </row>
    <row r="95" spans="1:18" x14ac:dyDescent="0.2">
      <c r="A95" s="180">
        <f t="shared" si="22"/>
        <v>2095</v>
      </c>
      <c r="B95" s="128">
        <f t="shared" si="23"/>
        <v>1.2</v>
      </c>
      <c r="C95" s="5">
        <f t="shared" si="19"/>
        <v>3.347180578543035E-4</v>
      </c>
      <c r="D95" s="195">
        <f t="shared" si="13"/>
        <v>2.7893171487858629E-4</v>
      </c>
      <c r="E95" s="128">
        <f t="shared" si="24"/>
        <v>4</v>
      </c>
      <c r="F95" s="5">
        <f t="shared" si="20"/>
        <v>2.3990423657383381E-2</v>
      </c>
      <c r="G95" s="4">
        <f t="shared" si="14"/>
        <v>5.9976059143458452E-3</v>
      </c>
      <c r="H95" s="128">
        <f t="shared" si="25"/>
        <v>1.7000000000000004</v>
      </c>
      <c r="I95" s="5">
        <f t="shared" si="21"/>
        <v>0.49021382941211655</v>
      </c>
      <c r="J95" s="4">
        <f t="shared" si="15"/>
        <v>0.28836107612477435</v>
      </c>
      <c r="K95" s="128">
        <f t="shared" si="16"/>
        <v>6.9</v>
      </c>
      <c r="L95" s="19">
        <f t="shared" si="17"/>
        <v>0.51453897112735425</v>
      </c>
      <c r="M95" s="195">
        <f t="shared" si="18"/>
        <v>7.457086538077598E-2</v>
      </c>
      <c r="N95" s="440"/>
      <c r="P95" s="533">
        <f>'C&amp;C-exp'!C92-'SPM = C&amp;C_exp'!C95</f>
        <v>-3.347180578543035E-4</v>
      </c>
      <c r="Q95" s="534">
        <f>'C&amp;C-exp'!F92-'SPM = C&amp;C_exp'!F95</f>
        <v>-2.3990423657383381E-2</v>
      </c>
      <c r="R95" s="535">
        <f>'C&amp;C-exp'!I92-'SPM = C&amp;C_exp'!I95</f>
        <v>-0.49021382941211655</v>
      </c>
    </row>
    <row r="96" spans="1:18" x14ac:dyDescent="0.2">
      <c r="A96" s="180">
        <f t="shared" si="22"/>
        <v>2096</v>
      </c>
      <c r="B96" s="128">
        <f t="shared" si="23"/>
        <v>1.2</v>
      </c>
      <c r="C96" s="5">
        <f t="shared" si="19"/>
        <v>2.8247672063939563E-4</v>
      </c>
      <c r="D96" s="195">
        <f t="shared" si="13"/>
        <v>2.3539726719949637E-4</v>
      </c>
      <c r="E96" s="128">
        <f t="shared" si="24"/>
        <v>4</v>
      </c>
      <c r="F96" s="5">
        <f t="shared" si="20"/>
        <v>2.1489582418567521E-2</v>
      </c>
      <c r="G96" s="4">
        <f t="shared" si="14"/>
        <v>5.3723956046418803E-3</v>
      </c>
      <c r="H96" s="128">
        <f t="shared" si="25"/>
        <v>1.7000000000000004</v>
      </c>
      <c r="I96" s="5">
        <f t="shared" si="21"/>
        <v>0.47905045302730187</v>
      </c>
      <c r="J96" s="4">
        <f t="shared" si="15"/>
        <v>0.28179438413370694</v>
      </c>
      <c r="K96" s="128">
        <f t="shared" si="16"/>
        <v>6.9</v>
      </c>
      <c r="L96" s="19">
        <f t="shared" si="17"/>
        <v>0.50082251216650875</v>
      </c>
      <c r="M96" s="195">
        <f t="shared" si="18"/>
        <v>7.2582972777754884E-2</v>
      </c>
      <c r="N96" s="440"/>
      <c r="P96" s="533">
        <f>'C&amp;C-exp'!C93-'SPM = C&amp;C_exp'!C96</f>
        <v>-2.8247672063939563E-4</v>
      </c>
      <c r="Q96" s="534">
        <f>'C&amp;C-exp'!F93-'SPM = C&amp;C_exp'!F96</f>
        <v>-2.1489582418567521E-2</v>
      </c>
      <c r="R96" s="535">
        <f>'C&amp;C-exp'!I93-'SPM = C&amp;C_exp'!I96</f>
        <v>-0.47905045302730187</v>
      </c>
    </row>
    <row r="97" spans="1:22" x14ac:dyDescent="0.2">
      <c r="A97" s="180">
        <f t="shared" si="22"/>
        <v>2097</v>
      </c>
      <c r="B97" s="128">
        <f t="shared" si="23"/>
        <v>1.2</v>
      </c>
      <c r="C97" s="5">
        <f t="shared" si="19"/>
        <v>2.3835351348638965E-4</v>
      </c>
      <c r="D97" s="195">
        <f t="shared" si="13"/>
        <v>1.9862792790532473E-4</v>
      </c>
      <c r="E97" s="128">
        <f t="shared" si="24"/>
        <v>4</v>
      </c>
      <c r="F97" s="5">
        <f t="shared" si="20"/>
        <v>1.9246646973921061E-2</v>
      </c>
      <c r="G97" s="4">
        <f t="shared" si="14"/>
        <v>4.8116617434802653E-3</v>
      </c>
      <c r="H97" s="128">
        <f t="shared" si="25"/>
        <v>1.7000000000000004</v>
      </c>
      <c r="I97" s="5">
        <f t="shared" si="21"/>
        <v>0.46808959002246553</v>
      </c>
      <c r="J97" s="4">
        <f t="shared" si="15"/>
        <v>0.2753468176602738</v>
      </c>
      <c r="K97" s="128">
        <f t="shared" si="16"/>
        <v>6.9</v>
      </c>
      <c r="L97" s="19">
        <f t="shared" si="17"/>
        <v>0.48757459050987301</v>
      </c>
      <c r="M97" s="195">
        <f t="shared" si="18"/>
        <v>7.0662984131865655E-2</v>
      </c>
      <c r="N97" s="440"/>
      <c r="P97" s="533">
        <f>'C&amp;C-exp'!C94-'SPM = C&amp;C_exp'!C97</f>
        <v>-2.3835351348638965E-4</v>
      </c>
      <c r="Q97" s="534">
        <f>'C&amp;C-exp'!F94-'SPM = C&amp;C_exp'!F97</f>
        <v>-1.9246646973921061E-2</v>
      </c>
      <c r="R97" s="535">
        <f>'C&amp;C-exp'!I94-'SPM = C&amp;C_exp'!I97</f>
        <v>-0.46808959002246553</v>
      </c>
    </row>
    <row r="98" spans="1:22" x14ac:dyDescent="0.2">
      <c r="A98" s="180">
        <f t="shared" si="22"/>
        <v>2098</v>
      </c>
      <c r="B98" s="128">
        <f t="shared" si="23"/>
        <v>1.2</v>
      </c>
      <c r="C98" s="5">
        <f t="shared" si="19"/>
        <v>2.0109319641335808E-4</v>
      </c>
      <c r="D98" s="195">
        <f t="shared" si="13"/>
        <v>1.675776636777984E-4</v>
      </c>
      <c r="E98" s="128">
        <f t="shared" si="24"/>
        <v>4</v>
      </c>
      <c r="F98" s="5">
        <f t="shared" si="20"/>
        <v>1.7235374265623576E-2</v>
      </c>
      <c r="G98" s="4">
        <f t="shared" si="14"/>
        <v>4.3088435664058941E-3</v>
      </c>
      <c r="H98" s="128">
        <f t="shared" si="25"/>
        <v>1.7000000000000004</v>
      </c>
      <c r="I98" s="5">
        <f t="shared" si="21"/>
        <v>0.45733004553643752</v>
      </c>
      <c r="J98" s="4">
        <f t="shared" si="15"/>
        <v>0.26901767384496317</v>
      </c>
      <c r="K98" s="128">
        <f t="shared" si="16"/>
        <v>6.9</v>
      </c>
      <c r="L98" s="19">
        <f t="shared" si="17"/>
        <v>0.4747665129984745</v>
      </c>
      <c r="M98" s="195">
        <f t="shared" si="18"/>
        <v>6.8806741014271658E-2</v>
      </c>
      <c r="N98" s="440"/>
      <c r="P98" s="533">
        <f>'C&amp;C-exp'!C95-'SPM = C&amp;C_exp'!C98</f>
        <v>-2.0109319641335808E-4</v>
      </c>
      <c r="Q98" s="534">
        <f>'C&amp;C-exp'!F95-'SPM = C&amp;C_exp'!F98</f>
        <v>-1.7235374265623576E-2</v>
      </c>
      <c r="R98" s="535">
        <f>'C&amp;C-exp'!I95-'SPM = C&amp;C_exp'!I98</f>
        <v>-0.45733004553643752</v>
      </c>
    </row>
    <row r="99" spans="1:22" x14ac:dyDescent="0.2">
      <c r="A99" s="180">
        <f t="shared" si="22"/>
        <v>2099</v>
      </c>
      <c r="B99" s="128">
        <f t="shared" si="23"/>
        <v>1.2</v>
      </c>
      <c r="C99" s="5">
        <f t="shared" si="19"/>
        <v>1.6963349648064987E-4</v>
      </c>
      <c r="D99" s="195">
        <f t="shared" si="13"/>
        <v>1.4136124706720822E-4</v>
      </c>
      <c r="E99" s="128">
        <f t="shared" si="24"/>
        <v>4</v>
      </c>
      <c r="F99" s="5">
        <f t="shared" si="20"/>
        <v>1.5432146145268472E-2</v>
      </c>
      <c r="G99" s="4">
        <f t="shared" si="14"/>
        <v>3.8580365363171179E-3</v>
      </c>
      <c r="H99" s="128">
        <f t="shared" si="25"/>
        <v>1.7000000000000004</v>
      </c>
      <c r="I99" s="5">
        <f t="shared" si="21"/>
        <v>0.44677048256546215</v>
      </c>
      <c r="J99" s="4">
        <f t="shared" si="15"/>
        <v>0.26280616621497765</v>
      </c>
      <c r="K99" s="128">
        <f t="shared" si="16"/>
        <v>6.9</v>
      </c>
      <c r="L99" s="19">
        <f t="shared" si="17"/>
        <v>0.46237226220721123</v>
      </c>
      <c r="M99" s="195">
        <f t="shared" si="18"/>
        <v>6.7010472783653796E-2</v>
      </c>
      <c r="N99" s="440"/>
      <c r="P99" s="533">
        <f>'C&amp;C-exp'!C96-'SPM = C&amp;C_exp'!C99</f>
        <v>-1.6963349648064987E-4</v>
      </c>
      <c r="Q99" s="534">
        <f>'C&amp;C-exp'!F96-'SPM = C&amp;C_exp'!F99</f>
        <v>-1.5432146145268472E-2</v>
      </c>
      <c r="R99" s="535">
        <f>'C&amp;C-exp'!I96-'SPM = C&amp;C_exp'!I99</f>
        <v>-0.44677048256546215</v>
      </c>
    </row>
    <row r="100" spans="1:22" ht="13.5" thickBot="1" x14ac:dyDescent="0.25">
      <c r="A100" s="498">
        <f t="shared" si="22"/>
        <v>2100</v>
      </c>
      <c r="B100" s="499">
        <f t="shared" si="23"/>
        <v>1.2</v>
      </c>
      <c r="C100" s="500">
        <f t="shared" si="19"/>
        <v>1.4307564369152033E-4</v>
      </c>
      <c r="D100" s="204">
        <f t="shared" si="13"/>
        <v>1.1922970307626694E-4</v>
      </c>
      <c r="E100" s="499">
        <f t="shared" si="24"/>
        <v>4</v>
      </c>
      <c r="F100" s="500">
        <f t="shared" si="20"/>
        <v>1.3815712730967586E-2</v>
      </c>
      <c r="G100" s="501">
        <f t="shared" si="14"/>
        <v>3.4539281827418965E-3</v>
      </c>
      <c r="H100" s="499">
        <f t="shared" si="25"/>
        <v>1.7000000000000004</v>
      </c>
      <c r="I100" s="500">
        <f t="shared" si="21"/>
        <v>0.4364094326611756</v>
      </c>
      <c r="J100" s="501">
        <f t="shared" si="15"/>
        <v>0.25671143097716204</v>
      </c>
      <c r="K100" s="499">
        <f t="shared" si="16"/>
        <v>6.9</v>
      </c>
      <c r="L100" s="268">
        <f t="shared" si="17"/>
        <v>0.45036822103583474</v>
      </c>
      <c r="M100" s="204">
        <f t="shared" si="18"/>
        <v>6.5270756671860108E-2</v>
      </c>
      <c r="N100" s="441"/>
      <c r="P100" s="588">
        <f>'C&amp;C-exp'!C97-'SPM = C&amp;C_exp'!C100</f>
        <v>-1.4307564369152033E-4</v>
      </c>
      <c r="Q100" s="589">
        <f>'C&amp;C-exp'!F97-'SPM = C&amp;C_exp'!F100</f>
        <v>-1.3815712730967586E-2</v>
      </c>
      <c r="R100" s="590">
        <f>'C&amp;C-exp'!I97-'SPM = C&amp;C_exp'!I100</f>
        <v>-0.4364094326611756</v>
      </c>
    </row>
    <row r="101" spans="1:22" ht="13.5" thickBot="1" x14ac:dyDescent="0.25">
      <c r="A101" s="489" t="s">
        <v>1</v>
      </c>
      <c r="B101" s="197"/>
      <c r="C101" s="140">
        <f>SUM(C51:C100)</f>
        <v>3.1292884500384615</v>
      </c>
      <c r="D101" s="208"/>
      <c r="E101" s="207"/>
      <c r="F101" s="140">
        <f>SUM(F51:F100)</f>
        <v>25.038104324534402</v>
      </c>
      <c r="G101" s="207"/>
      <c r="H101" s="209"/>
      <c r="I101" s="140">
        <f>SUM(I51:I100)</f>
        <v>38.21760065811219</v>
      </c>
      <c r="J101" s="207"/>
      <c r="K101" s="210"/>
      <c r="L101" s="140">
        <f>SUM(L51:L100)</f>
        <v>66.384993432685036</v>
      </c>
      <c r="M101" s="198"/>
      <c r="P101" s="574">
        <f>SUM(P12:P100)</f>
        <v>16.323049929299398</v>
      </c>
      <c r="Q101" s="575">
        <f>SUM(Q12:Q100)</f>
        <v>-5.4532871682706645</v>
      </c>
      <c r="R101" s="575">
        <f>SUM(R12:R100)</f>
        <v>5.9170931592066616</v>
      </c>
      <c r="S101" s="576">
        <f>SUM(P101:R101)</f>
        <v>16.786855920235396</v>
      </c>
    </row>
    <row r="102" spans="1:22" ht="13.5" thickBot="1" x14ac:dyDescent="0.25">
      <c r="A102" s="180" t="s">
        <v>52</v>
      </c>
      <c r="B102" s="197"/>
      <c r="C102" s="4">
        <f>C$11*EXP(-C$8*($A100-$A$11))/C$8^2*((C$7*C$8+C$8^2)*($A100-$A$11)+2*C$8+C$7)</f>
        <v>7.6702728125196105E-4</v>
      </c>
      <c r="D102" s="208"/>
      <c r="E102" s="207"/>
      <c r="F102" s="4">
        <f>F$11*EXP(-F$8*($A100-$A$11))/F$8^2*((F$7*F$8+F$8^2)*($A100-$A$11)+2*F$8+F$7)</f>
        <v>0.11690592252005776</v>
      </c>
      <c r="G102" s="207"/>
      <c r="H102" s="209"/>
      <c r="I102" s="4">
        <f>I$11*EXP(-I$8*($A100-$A$11))/I$8^2*((I$7*I$8+I$8^2)*($A100-$A$11)+2*I$8+I$7)</f>
        <v>16.669182970433962</v>
      </c>
      <c r="J102" s="207"/>
      <c r="K102" s="212"/>
      <c r="L102" s="564">
        <f>I102+F102+C102</f>
        <v>16.786855920235272</v>
      </c>
      <c r="M102" s="204"/>
      <c r="P102" s="799">
        <f>P101^2/'C&amp;C-exp'!C100^2+Q101^2/'C&amp;C-exp'!F100^2+R101^2/'C&amp;C-exp'!I100^2</f>
        <v>9.554808610865325E-3</v>
      </c>
      <c r="Q102" s="800"/>
      <c r="R102" s="801"/>
      <c r="S102" s="567"/>
      <c r="T102" s="583" t="s">
        <v>184</v>
      </c>
      <c r="U102" s="668" t="s">
        <v>202</v>
      </c>
      <c r="V102" s="669"/>
    </row>
    <row r="103" spans="1:22" ht="13.5" thickBot="1" x14ac:dyDescent="0.25">
      <c r="A103" s="143" t="s">
        <v>1</v>
      </c>
      <c r="B103" s="199"/>
      <c r="C103" s="565">
        <f>SUM(C101:C102)</f>
        <v>3.1300554773197136</v>
      </c>
      <c r="D103" s="200"/>
      <c r="E103" s="145"/>
      <c r="F103" s="565">
        <f>SUM(F101:F102)</f>
        <v>25.155010247054459</v>
      </c>
      <c r="G103" s="146"/>
      <c r="H103" s="144"/>
      <c r="I103" s="565">
        <f>SUM(I101:I102)</f>
        <v>54.886783628546155</v>
      </c>
      <c r="J103" s="146"/>
      <c r="K103" s="144"/>
      <c r="L103" s="566">
        <f>SUM(L101:L102)</f>
        <v>83.171849352920304</v>
      </c>
      <c r="M103" s="148"/>
      <c r="P103" s="591">
        <f>P101/'C&amp;C-exp'!C100</f>
        <v>6.6049038516830513E-2</v>
      </c>
      <c r="Q103" s="592">
        <f>Q101/'C&amp;C-exp'!F100</f>
        <v>-1.5459027712314884E-2</v>
      </c>
      <c r="R103" s="592">
        <f>R101/'C&amp;C-exp'!I100</f>
        <v>7.038005103761609E-2</v>
      </c>
      <c r="S103" s="578"/>
      <c r="T103" s="583" t="s">
        <v>191</v>
      </c>
      <c r="U103" s="562"/>
      <c r="V103" s="563"/>
    </row>
    <row r="104" spans="1:22" ht="13.5" thickBot="1" x14ac:dyDescent="0.25"/>
    <row r="105" spans="1:22" s="1" customFormat="1" ht="13.5" thickBot="1" x14ac:dyDescent="0.25">
      <c r="A105" s="562"/>
      <c r="B105" s="562"/>
      <c r="C105" s="572">
        <f>C103+C43</f>
        <v>230.8130319465088</v>
      </c>
      <c r="D105" s="563"/>
      <c r="E105" s="456"/>
      <c r="F105" s="572">
        <f>F103+F43</f>
        <v>358.32764134392357</v>
      </c>
      <c r="G105" s="456"/>
      <c r="H105" s="562"/>
      <c r="I105" s="572">
        <f>I103+I43</f>
        <v>94.825532100209841</v>
      </c>
      <c r="J105" s="563"/>
      <c r="K105" s="456"/>
      <c r="L105" s="572">
        <f>SUM(C105:I105)</f>
        <v>683.96620539064224</v>
      </c>
      <c r="M105" s="563"/>
      <c r="P105" s="599"/>
      <c r="Q105" s="599"/>
    </row>
    <row r="106" spans="1:22" x14ac:dyDescent="0.2">
      <c r="P106" s="1"/>
      <c r="Q106" s="1"/>
      <c r="R106" s="1"/>
    </row>
    <row r="107" spans="1:22" s="1" customFormat="1" x14ac:dyDescent="0.2">
      <c r="J107" s="1" t="s">
        <v>41</v>
      </c>
      <c r="K107" s="114"/>
      <c r="L107" s="573">
        <f>'global path'!C88</f>
        <v>683.96620539064213</v>
      </c>
      <c r="P107" s="3"/>
      <c r="Q107" s="3"/>
      <c r="R107" s="3"/>
    </row>
    <row r="108" spans="1:22" s="1" customFormat="1" x14ac:dyDescent="0.2">
      <c r="L108" s="573">
        <f>L105-L107</f>
        <v>0</v>
      </c>
      <c r="P108" s="3"/>
      <c r="Q108" s="3"/>
      <c r="R108" s="3"/>
    </row>
  </sheetData>
  <sheetProtection selectLockedCells="1"/>
  <mergeCells count="8">
    <mergeCell ref="P9:R9"/>
    <mergeCell ref="P102:R102"/>
    <mergeCell ref="T4:U4"/>
    <mergeCell ref="B4:D4"/>
    <mergeCell ref="E4:G4"/>
    <mergeCell ref="H4:J4"/>
    <mergeCell ref="K4:N4"/>
    <mergeCell ref="K6:N8"/>
  </mergeCells>
  <conditionalFormatting sqref="L48">
    <cfRule type="cellIs" dxfId="8" priority="6" stopIfTrue="1" operator="equal">
      <formula>0</formula>
    </cfRule>
  </conditionalFormatting>
  <conditionalFormatting sqref="N11:N42">
    <cfRule type="expression" dxfId="7" priority="7" stopIfTrue="1">
      <formula>AND(N11=-100,N12=-100)</formula>
    </cfRule>
  </conditionalFormatting>
  <conditionalFormatting sqref="N44">
    <cfRule type="expression" dxfId="6" priority="8" stopIfTrue="1">
      <formula>AND(N44=-100,N46=-100)</formula>
    </cfRule>
  </conditionalFormatting>
  <conditionalFormatting sqref="N43">
    <cfRule type="expression" dxfId="5" priority="9" stopIfTrue="1">
      <formula>AND(N43=-100,N46=-100)</formula>
    </cfRule>
  </conditionalFormatting>
  <conditionalFormatting sqref="N53">
    <cfRule type="expression" dxfId="4" priority="5" stopIfTrue="1">
      <formula>AND(N53=-100,N54=-100)</formula>
    </cfRule>
  </conditionalFormatting>
  <conditionalFormatting sqref="N54:N100">
    <cfRule type="expression" dxfId="3" priority="4" stopIfTrue="1">
      <formula>AND(N54=-100,N55=-100)</formula>
    </cfRule>
  </conditionalFormatting>
  <conditionalFormatting sqref="N51">
    <cfRule type="expression" dxfId="2" priority="3" stopIfTrue="1">
      <formula>AND(N51=-100,N52=-100)</formula>
    </cfRule>
  </conditionalFormatting>
  <conditionalFormatting sqref="N52">
    <cfRule type="expression" dxfId="1" priority="2" stopIfTrue="1">
      <formula>AND(N52=-100,N53=-100)</formula>
    </cfRule>
  </conditionalFormatting>
  <conditionalFormatting sqref="L108">
    <cfRule type="cellIs" dxfId="0" priority="1" stopIfTrue="1" operator="equal">
      <formula>0</formula>
    </cfRule>
  </conditionalFormatting>
  <printOptions horizontalCentered="1" verticalCentered="1"/>
  <pageMargins left="0.78740157480314965" right="0.78740157480314965" top="0.66" bottom="0.6692913385826772" header="0.19685039370078741" footer="0.39370078740157483"/>
  <pageSetup paperSize="9" scale="86" firstPageNumber="0" orientation="landscape" r:id="rId1"/>
  <headerFooter>
    <oddHeader>&amp;LRegensburger Modell</oddHeader>
    <oddFooter>&amp;LSargl/Wolfsteiner/Wittmann&amp;R&amp;18Anlage 1.3.1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1:C18"/>
  <sheetViews>
    <sheetView workbookViewId="0">
      <selection activeCell="C8" sqref="C8"/>
    </sheetView>
  </sheetViews>
  <sheetFormatPr baseColWidth="10" defaultRowHeight="15" x14ac:dyDescent="0.25"/>
  <cols>
    <col min="1" max="1" width="2" customWidth="1"/>
    <col min="3" max="3" width="67" bestFit="1" customWidth="1"/>
  </cols>
  <sheetData>
    <row r="1" spans="2:3" ht="9" customHeight="1" x14ac:dyDescent="0.25"/>
    <row r="2" spans="2:3" x14ac:dyDescent="0.25">
      <c r="B2" t="s">
        <v>7</v>
      </c>
      <c r="C2" t="s">
        <v>112</v>
      </c>
    </row>
    <row r="3" spans="2:3" x14ac:dyDescent="0.25">
      <c r="B3" t="s">
        <v>8</v>
      </c>
      <c r="C3" t="s">
        <v>100</v>
      </c>
    </row>
    <row r="4" spans="2:3" x14ac:dyDescent="0.25">
      <c r="B4" t="s">
        <v>9</v>
      </c>
      <c r="C4" t="s">
        <v>101</v>
      </c>
    </row>
    <row r="6" spans="2:3" x14ac:dyDescent="0.25">
      <c r="B6" t="str">
        <f>comparison!B41</f>
        <v>RF</v>
      </c>
      <c r="C6" t="str">
        <f>comparison!C41</f>
        <v>Regensburg Model resp. Regensburg Formula</v>
      </c>
    </row>
    <row r="7" spans="2:3" x14ac:dyDescent="0.25">
      <c r="B7" t="str">
        <f>comparison!B42</f>
        <v>GQWF</v>
      </c>
      <c r="C7" t="str">
        <f>comparison!C42</f>
        <v>General Quadratic Weigthing Formula</v>
      </c>
    </row>
    <row r="8" spans="2:3" x14ac:dyDescent="0.25">
      <c r="B8" t="str">
        <f>comparison!B43</f>
        <v>C&amp;C-exp</v>
      </c>
      <c r="C8" t="str">
        <f>comparison!C43</f>
        <v>C&amp;C: exponential approach</v>
      </c>
    </row>
    <row r="9" spans="2:3" x14ac:dyDescent="0.25">
      <c r="B9" t="str">
        <f>comparison!B44</f>
        <v>C&amp;C-lin</v>
      </c>
      <c r="C9" t="str">
        <f>comparison!C44</f>
        <v>C&amp;C: linear aproach</v>
      </c>
    </row>
    <row r="10" spans="2:3" x14ac:dyDescent="0.25">
      <c r="B10" t="str">
        <f>comparison!B45</f>
        <v>LIMITS</v>
      </c>
      <c r="C10" t="str">
        <f>comparison!C45</f>
        <v>LIMITS</v>
      </c>
    </row>
    <row r="11" spans="2:3" x14ac:dyDescent="0.25">
      <c r="B11" t="str">
        <f>comparison!B46</f>
        <v>pc20</v>
      </c>
      <c r="C11" t="str">
        <f>comparison!C46</f>
        <v>Allocation per capita starting 2020</v>
      </c>
    </row>
    <row r="12" spans="2:3" x14ac:dyDescent="0.25">
      <c r="B12" t="str">
        <f>comparison!B47</f>
        <v>SPM-eq</v>
      </c>
      <c r="C12" t="str">
        <f>comparison!C47</f>
        <v>Smooth Pathways - equity (spk = 100%)</v>
      </c>
    </row>
    <row r="13" spans="2:3" x14ac:dyDescent="0.25">
      <c r="B13" t="str">
        <f>comparison!B48</f>
        <v>SPM-in</v>
      </c>
      <c r="C13" t="str">
        <f>comparison!C48</f>
        <v>Smooth Pathways - inertia (spk = 0%)</v>
      </c>
    </row>
    <row r="14" spans="2:3" x14ac:dyDescent="0.25">
      <c r="B14" t="str">
        <f>comparison!B49</f>
        <v>SPM-50</v>
      </c>
      <c r="C14" t="str">
        <f>comparison!C49</f>
        <v>Smooth Pathways (spk = 50%)</v>
      </c>
    </row>
    <row r="15" spans="2:3" x14ac:dyDescent="0.25">
      <c r="B15" t="str">
        <f>comparison!B50</f>
        <v>EPM</v>
      </c>
      <c r="C15" t="str">
        <f>comparison!C50</f>
        <v>Cap Model</v>
      </c>
    </row>
    <row r="16" spans="2:3" x14ac:dyDescent="0.25">
      <c r="B16" t="str">
        <f>CDC!A2</f>
        <v>CDC</v>
      </c>
      <c r="C16" s="343" t="str">
        <f>CDC!A1</f>
        <v>Common but Differentiated Convergence</v>
      </c>
    </row>
    <row r="18" spans="2:3" x14ac:dyDescent="0.25">
      <c r="B18" t="s">
        <v>81</v>
      </c>
      <c r="C18" t="s">
        <v>150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>
    <pageSetUpPr fitToPage="1"/>
  </sheetPr>
  <dimension ref="A2:F12"/>
  <sheetViews>
    <sheetView workbookViewId="0">
      <selection activeCell="A12" sqref="A12"/>
    </sheetView>
  </sheetViews>
  <sheetFormatPr baseColWidth="10" defaultRowHeight="15" x14ac:dyDescent="0.25"/>
  <cols>
    <col min="1" max="1" width="37.85546875" style="56" customWidth="1"/>
    <col min="2" max="2" width="16.42578125" bestFit="1" customWidth="1"/>
  </cols>
  <sheetData>
    <row r="2" spans="1:6" x14ac:dyDescent="0.25">
      <c r="A2" s="53" t="s">
        <v>20</v>
      </c>
    </row>
    <row r="3" spans="1:6" x14ac:dyDescent="0.25">
      <c r="A3" s="53"/>
    </row>
    <row r="4" spans="1:6" x14ac:dyDescent="0.25">
      <c r="A4" s="53" t="s">
        <v>96</v>
      </c>
    </row>
    <row r="5" spans="1:6" x14ac:dyDescent="0.25">
      <c r="A5" s="53" t="s">
        <v>98</v>
      </c>
    </row>
    <row r="6" spans="1:6" x14ac:dyDescent="0.25">
      <c r="A6" s="53" t="s">
        <v>97</v>
      </c>
    </row>
    <row r="7" spans="1:6" x14ac:dyDescent="0.25">
      <c r="A7" s="99" t="s">
        <v>203</v>
      </c>
    </row>
    <row r="8" spans="1:6" x14ac:dyDescent="0.25">
      <c r="A8" s="54"/>
    </row>
    <row r="9" spans="1:6" x14ac:dyDescent="0.25">
      <c r="A9" s="171" t="s">
        <v>228</v>
      </c>
      <c r="B9" s="675">
        <v>43560</v>
      </c>
    </row>
    <row r="10" spans="1:6" x14ac:dyDescent="0.25">
      <c r="A10" s="55"/>
      <c r="B10" s="16"/>
      <c r="C10" s="16"/>
      <c r="D10" s="16"/>
      <c r="E10" s="17"/>
      <c r="F10" s="16"/>
    </row>
    <row r="11" spans="1:6" x14ac:dyDescent="0.25">
      <c r="A11" s="56" t="s">
        <v>232</v>
      </c>
    </row>
    <row r="12" spans="1:6" x14ac:dyDescent="0.25">
      <c r="A12" s="16" t="s">
        <v>99</v>
      </c>
    </row>
  </sheetData>
  <customSheetViews>
    <customSheetView guid="{7B9C85BD-D1BB-4F3C-98F5-6414F32599ED}" fitToPage="1">
      <pageMargins left="0.70866141732283472" right="0.70866141732283472" top="0.78740157480314965" bottom="0.78740157480314965" header="0.31496062992125984" footer="0.31496062992125984"/>
      <printOptions horizontalCentered="1"/>
      <pageSetup paperSize="9" orientation="landscape"/>
      <headerFooter>
        <oddHeader>&amp;LRegensburger Modell</oddHeader>
        <oddFooter>&amp;LSargl/Wolfsteiner/Wittmann&amp;R&amp;A</oddFooter>
      </headerFooter>
    </customSheetView>
    <customSheetView guid="{314CBECC-1AE9-4578-9B87-473AB0B3A698}" fitToPage="1">
      <pageMargins left="0.70866141732283472" right="0.70866141732283472" top="0.78740157480314965" bottom="0.78740157480314965" header="0.31496062992125984" footer="0.31496062992125984"/>
      <printOptions horizontalCentered="1"/>
      <pageSetup paperSize="9" orientation="landscape"/>
      <headerFooter>
        <oddHeader>&amp;LRegensburger Modell</oddHeader>
        <oddFooter>&amp;LSargl/Wolfsteiner/Wittmann&amp;R&amp;A</oddFooter>
      </headerFooter>
    </customSheetView>
  </customSheetViews>
  <phoneticPr fontId="10" type="noConversion"/>
  <hyperlinks>
    <hyperlink ref="A7" r:id="rId1"/>
    <hyperlink ref="A12" r:id="rId2"/>
  </hyperlinks>
  <printOptions horizontalCentered="1"/>
  <pageMargins left="0.70866141732283472" right="0.70866141732283472" top="0.78740157480314965" bottom="0.78740157480314965" header="0.31496062992125984" footer="0.31496062992125984"/>
  <pageSetup paperSize="9" scale="85" orientation="landscape" r:id="rId3"/>
  <headerFooter>
    <oddHeader>&amp;LRegensburger Modell</oddHeader>
    <oddFooter>&amp;LSargl/Wolfsteiner/Wittmann&amp;R&amp;A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zoomScale="70" zoomScaleNormal="70" workbookViewId="0">
      <selection activeCell="D52" sqref="D52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22</vt:i4>
      </vt:variant>
      <vt:variant>
        <vt:lpstr>Benannte Bereiche</vt:lpstr>
      </vt:variant>
      <vt:variant>
        <vt:i4>2</vt:i4>
      </vt:variant>
    </vt:vector>
  </HeadingPairs>
  <TitlesOfParts>
    <vt:vector size="24" baseType="lpstr">
      <vt:lpstr>comparison</vt:lpstr>
      <vt:lpstr>input data</vt:lpstr>
      <vt:lpstr>global path</vt:lpstr>
      <vt:lpstr>RF</vt:lpstr>
      <vt:lpstr>C&amp;C-exp</vt:lpstr>
      <vt:lpstr>C&amp;C-lin</vt:lpstr>
      <vt:lpstr>CDC</vt:lpstr>
      <vt:lpstr>G-C&amp;C</vt:lpstr>
      <vt:lpstr>LIMITS</vt:lpstr>
      <vt:lpstr>GQWF</vt:lpstr>
      <vt:lpstr>SPM-eq</vt:lpstr>
      <vt:lpstr>SPM-in</vt:lpstr>
      <vt:lpstr>SPM-spk</vt:lpstr>
      <vt:lpstr>EPM</vt:lpstr>
      <vt:lpstr>pc20</vt:lpstr>
      <vt:lpstr>G-C&amp;C = RF</vt:lpstr>
      <vt:lpstr>G-LIMITS = RF</vt:lpstr>
      <vt:lpstr>SPM = RF</vt:lpstr>
      <vt:lpstr>SPM = C&amp;C_exp</vt:lpstr>
      <vt:lpstr>info</vt:lpstr>
      <vt:lpstr>imprint</vt:lpstr>
      <vt:lpstr>intern</vt:lpstr>
      <vt:lpstr>imprint!Druckbereich</vt:lpstr>
      <vt:lpstr>RF!Druckbereich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Wolfsteiner</dc:creator>
  <cp:lastModifiedBy>RM</cp:lastModifiedBy>
  <cp:lastPrinted>2017-12-28T10:54:02Z</cp:lastPrinted>
  <dcterms:created xsi:type="dcterms:W3CDTF">2013-12-19T14:30:02Z</dcterms:created>
  <dcterms:modified xsi:type="dcterms:W3CDTF">2019-04-22T05:58:46Z</dcterms:modified>
</cp:coreProperties>
</file>