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theme/themeOverride3.xml" ContentType="application/vnd.openxmlformats-officedocument.themeOverride+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9.xml" ContentType="application/vnd.openxmlformats-officedocument.drawingml.chart+xml"/>
  <Override PartName="/xl/theme/themeOverride4.xml" ContentType="application/vnd.openxmlformats-officedocument.themeOverride+xml"/>
  <Override PartName="/xl/charts/chart10.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theme/themeOverride5.xml" ContentType="application/vnd.openxmlformats-officedocument.themeOverride+xml"/>
  <Override PartName="/xl/charts/chart13.xml" ContentType="application/vnd.openxmlformats-officedocument.drawingml.chart+xml"/>
  <Override PartName="/xl/theme/themeOverride6.xml" ContentType="application/vnd.openxmlformats-officedocument.themeOverride+xml"/>
  <Override PartName="/xl/charts/chart14.xml" ContentType="application/vnd.openxmlformats-officedocument.drawingml.chart+xml"/>
  <Override PartName="/xl/theme/themeOverride7.xml" ContentType="application/vnd.openxmlformats-officedocument.themeOverride+xml"/>
  <Override PartName="/xl/charts/chart1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harts/chart16.xml" ContentType="application/vnd.openxmlformats-officedocument.drawingml.chart+xml"/>
  <Override PartName="/xl/theme/themeOverride8.xml" ContentType="application/vnd.openxmlformats-officedocument.themeOverride+xml"/>
  <Override PartName="/xl/charts/chart17.xml" ContentType="application/vnd.openxmlformats-officedocument.drawingml.chart+xml"/>
  <Override PartName="/xl/theme/themeOverride9.xml" ContentType="application/vnd.openxmlformats-officedocument.themeOverride+xml"/>
  <Override PartName="/xl/charts/chart18.xml" ContentType="application/vnd.openxmlformats-officedocument.drawingml.chart+xml"/>
  <Override PartName="/xl/charts/style4.xml" ContentType="application/vnd.ms-office.chartstyle+xml"/>
  <Override PartName="/xl/charts/colors4.xml" ContentType="application/vnd.ms-office.chartcolorstyle+xml"/>
  <Override PartName="/xl/charts/chart19.xml" ContentType="application/vnd.openxmlformats-officedocument.drawingml.chart+xml"/>
  <Override PartName="/xl/theme/themeOverride10.xml" ContentType="application/vnd.openxmlformats-officedocument.themeOverride+xml"/>
  <Override PartName="/xl/drawings/drawing9.xml" ContentType="application/vnd.openxmlformats-officedocument.drawing+xml"/>
  <Override PartName="/xl/charts/chart20.xml" ContentType="application/vnd.openxmlformats-officedocument.drawingml.chart+xml"/>
  <Override PartName="/xl/theme/themeOverride11.xml" ContentType="application/vnd.openxmlformats-officedocument.themeOverride+xml"/>
  <Override PartName="/xl/charts/chart21.xml" ContentType="application/vnd.openxmlformats-officedocument.drawingml.chart+xml"/>
  <Override PartName="/xl/theme/themeOverride12.xml" ContentType="application/vnd.openxmlformats-officedocument.themeOverride+xml"/>
  <Override PartName="/xl/charts/chart22.xml" ContentType="application/vnd.openxmlformats-officedocument.drawingml.chart+xml"/>
  <Override PartName="/xl/charts/style5.xml" ContentType="application/vnd.ms-office.chartstyle+xml"/>
  <Override PartName="/xl/charts/colors5.xml" ContentType="application/vnd.ms-office.chartcolorstyle+xml"/>
  <Override PartName="/xl/charts/chart23.xml" ContentType="application/vnd.openxmlformats-officedocument.drawingml.chart+xml"/>
  <Override PartName="/xl/theme/themeOverride13.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mc:AlternateContent xmlns:mc="http://schemas.openxmlformats.org/markup-compatibility/2006">
    <mc:Choice Requires="x15">
      <x15ac:absPath xmlns:x15ac="http://schemas.microsoft.com/office/spreadsheetml/2010/11/ac" url="C:\Users\Andreas\WEB.DE Online-Speicher\Website\klima-retten.info\Downloads\"/>
    </mc:Choice>
  </mc:AlternateContent>
  <bookViews>
    <workbookView xWindow="0" yWindow="0" windowWidth="23250" windowHeight="9735" tabRatio="816" activeTab="3"/>
  </bookViews>
  <sheets>
    <sheet name="navi" sheetId="1" r:id="rId1"/>
    <sheet name="summary" sheetId="2" r:id="rId2"/>
    <sheet name="base data" sheetId="4" r:id="rId3"/>
    <sheet name="graphs" sheetId="14" r:id="rId4"/>
    <sheet name="goal seek" sheetId="5" r:id="rId5"/>
    <sheet name="scenarios" sheetId="6" r:id="rId6"/>
    <sheet name="IPCC SR15 graphs" sheetId="47" r:id="rId7"/>
    <sheet name="IPCC SR15 paths P1-P4" sheetId="46" state="hidden" r:id="rId8"/>
    <sheet name="IPCC SR15 data" sheetId="48" state="hidden" r:id="rId9"/>
    <sheet name="GCP" sheetId="53" r:id="rId10"/>
    <sheet name="imprint" sheetId="28" r:id="rId11"/>
    <sheet name="_xltb_storage_" sheetId="43" state="veryHidden" r:id="rId12"/>
    <sheet name="Intern" sheetId="40" state="hidden" r:id="rId13"/>
    <sheet name="wp" sheetId="52" state="hidden" r:id="rId14"/>
  </sheets>
  <definedNames>
    <definedName name="_xlnm._FilterDatabase" localSheetId="8" hidden="1">'IPCC SR15 data'!$A$1:$Y$79</definedName>
    <definedName name="_xlnm.Print_Area" localSheetId="2">'base data'!$B$1:$N$35</definedName>
    <definedName name="_xlnm.Print_Area" localSheetId="3">graphs!$A$6:$U$38</definedName>
    <definedName name="_xlnm.Print_Area" localSheetId="10">imprint!$A$1:$L$11</definedName>
    <definedName name="_xlnm.Print_Area" localSheetId="6">'IPCC SR15 graphs'!$A$7:$U$39</definedName>
    <definedName name="_xlnm.Print_Area" localSheetId="0">navi!$B$2:$G$19</definedName>
    <definedName name="_xlnm.Print_Area" localSheetId="5">scenarios!$V$3:$AC$97</definedName>
    <definedName name="_xlnm.Print_Area" localSheetId="1">summary!$A$1:$O$76</definedName>
    <definedName name="Laender" localSheetId="6">#REF!</definedName>
    <definedName name="Laender" localSheetId="13">#REF!</definedName>
    <definedName name="Laender">#REF!</definedName>
    <definedName name="solver_adj" localSheetId="5" hidden="1">scenarios!$AC$10</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scenarios!$AC$8</definedName>
    <definedName name="solver_lhs2" localSheetId="5">scenarios!$AM$7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scenarios!$AC$9</definedName>
    <definedName name="solver_pre" localSheetId="5" hidden="1">0.000001</definedName>
    <definedName name="solver_rbv" localSheetId="5" hidden="1">1</definedName>
    <definedName name="solver_rel1" localSheetId="5" hidden="1">1</definedName>
    <definedName name="solver_rhs1" localSheetId="5" hidden="1">scenarios!$AC$7</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 name="Z_314CBECC_1AE9_4578_9B87_473AB0B3A698_.wvu.Cols" localSheetId="3" hidden="1">graphs!$BU:$BU</definedName>
    <definedName name="Z_314CBECC_1AE9_4578_9B87_473AB0B3A698_.wvu.Cols" localSheetId="6" hidden="1">'IPCC SR15 graphs'!$BU:$BU</definedName>
    <definedName name="Z_314CBECC_1AE9_4578_9B87_473AB0B3A698_.wvu.PrintArea" localSheetId="2" hidden="1">'base data'!$B$2:$N$35</definedName>
    <definedName name="Z_314CBECC_1AE9_4578_9B87_473AB0B3A698_.wvu.PrintArea" localSheetId="3" hidden="1">graphs!$A$6:$U$38</definedName>
    <definedName name="Z_314CBECC_1AE9_4578_9B87_473AB0B3A698_.wvu.PrintArea" localSheetId="10" hidden="1">imprint!$A$2:$I$12</definedName>
    <definedName name="Z_314CBECC_1AE9_4578_9B87_473AB0B3A698_.wvu.PrintArea" localSheetId="6" hidden="1">'IPCC SR15 graphs'!$A$7:$U$39</definedName>
    <definedName name="Z_314CBECC_1AE9_4578_9B87_473AB0B3A698_.wvu.PrintArea" localSheetId="0" hidden="1">navi!$B$2:$G$19</definedName>
    <definedName name="Z_314CBECC_1AE9_4578_9B87_473AB0B3A698_.wvu.PrintArea" localSheetId="5" hidden="1">scenarios!$V$3:$AC$97</definedName>
    <definedName name="Z_314CBECC_1AE9_4578_9B87_473AB0B3A698_.wvu.PrintArea" localSheetId="1" hidden="1">summary!$A$1:$O$76</definedName>
    <definedName name="Z_7B9C85BD_D1BB_4F3C_98F5_6414F32599ED_.wvu.Cols" localSheetId="3" hidden="1">graphs!$BU:$BU</definedName>
    <definedName name="Z_7B9C85BD_D1BB_4F3C_98F5_6414F32599ED_.wvu.Cols" localSheetId="6" hidden="1">'IPCC SR15 graphs'!$BU:$BU</definedName>
    <definedName name="Z_7B9C85BD_D1BB_4F3C_98F5_6414F32599ED_.wvu.PrintArea" localSheetId="2" hidden="1">'base data'!$B$2:$N$35</definedName>
    <definedName name="Z_7B9C85BD_D1BB_4F3C_98F5_6414F32599ED_.wvu.PrintArea" localSheetId="3" hidden="1">graphs!$A$6:$U$38</definedName>
    <definedName name="Z_7B9C85BD_D1BB_4F3C_98F5_6414F32599ED_.wvu.PrintArea" localSheetId="10" hidden="1">imprint!$A$2:$I$12</definedName>
    <definedName name="Z_7B9C85BD_D1BB_4F3C_98F5_6414F32599ED_.wvu.PrintArea" localSheetId="6" hidden="1">'IPCC SR15 graphs'!$A$7:$U$39</definedName>
    <definedName name="Z_7B9C85BD_D1BB_4F3C_98F5_6414F32599ED_.wvu.PrintArea" localSheetId="0" hidden="1">navi!$B$2:$G$19</definedName>
    <definedName name="Z_7B9C85BD_D1BB_4F3C_98F5_6414F32599ED_.wvu.PrintArea" localSheetId="5" hidden="1">scenarios!$V$3:$AC$97</definedName>
    <definedName name="Z_7B9C85BD_D1BB_4F3C_98F5_6414F32599ED_.wvu.PrintArea" localSheetId="1" hidden="1">summary!$A$1:$O$76</definedName>
    <definedName name="Zellenfarbe" localSheetId="6">#REF!</definedName>
    <definedName name="Zellenfarbe" localSheetId="13">#REF!</definedName>
    <definedName name="Zellenfarbe">#REF!</definedName>
    <definedName name="Zellenfarbe2" localSheetId="6">#REF!</definedName>
    <definedName name="Zellenfarbe2" localSheetId="13">#REF!</definedName>
    <definedName name="Zellenfarbe2">#REF!</definedName>
  </definedNames>
  <calcPr calcId="152511"/>
  <customWorkbookViews>
    <customWorkbookView name="Andreas Wolfsteiner - Persönliche Ansicht" guid="{314CBECC-1AE9-4578-9B87-473AB0B3A698}" mergeInterval="0" personalView="1" maximized="1" windowWidth="1916" windowHeight="875" tabRatio="838" activeSheetId="5"/>
    <customWorkbookView name="GW - Persönliche Ansicht" guid="{7B9C85BD-D1BB-4F3C-98F5-6414F32599ED}" mergeInterval="0" personalView="1" maximized="1" windowWidth="1916" windowHeight="875" tabRatio="838" activeSheetId="5"/>
  </customWorkbookViews>
</workbook>
</file>

<file path=xl/calcChain.xml><?xml version="1.0" encoding="utf-8"?>
<calcChain xmlns="http://schemas.openxmlformats.org/spreadsheetml/2006/main">
  <c r="E15" i="6" l="1"/>
  <c r="H15" i="6"/>
  <c r="J15" i="6"/>
  <c r="K15" i="6"/>
  <c r="M15" i="6"/>
  <c r="Q15" i="6"/>
  <c r="S15" i="6"/>
  <c r="T15" i="6"/>
  <c r="V15" i="6"/>
  <c r="Z15" i="6"/>
  <c r="AB15" i="6"/>
  <c r="AC15" i="6"/>
  <c r="AE15" i="6"/>
  <c r="AI15" i="6"/>
  <c r="AK15" i="6"/>
  <c r="AL15" i="6"/>
  <c r="AN15" i="6"/>
  <c r="AR15" i="6"/>
  <c r="AT15" i="6"/>
  <c r="AU15" i="6"/>
  <c r="AW15" i="6"/>
  <c r="BA15" i="6"/>
  <c r="BC15" i="6"/>
  <c r="BD15" i="6"/>
  <c r="BF15" i="6"/>
  <c r="BJ15" i="6"/>
  <c r="BL15" i="6"/>
  <c r="BM15" i="6"/>
  <c r="BP15" i="6"/>
  <c r="BQ15" i="6"/>
  <c r="BR15" i="6"/>
  <c r="BX15" i="6" s="1"/>
  <c r="BS15" i="6"/>
  <c r="BT15" i="6" s="1"/>
  <c r="BV15" i="6"/>
  <c r="BW15" i="6"/>
  <c r="BU15" i="6" l="1"/>
  <c r="CA15" i="6" s="1"/>
  <c r="BZ15" i="6"/>
  <c r="BY15" i="6"/>
  <c r="BM6" i="6" l="1"/>
  <c r="BM5" i="6"/>
  <c r="BD5" i="6"/>
  <c r="AU5" i="6"/>
  <c r="AL5" i="6"/>
  <c r="AC5" i="6"/>
  <c r="T5" i="6"/>
  <c r="K5" i="6"/>
  <c r="BD9" i="6"/>
  <c r="J9" i="5" l="1"/>
  <c r="CG96" i="47" l="1"/>
  <c r="N32" i="4" l="1"/>
  <c r="L21" i="4"/>
  <c r="E20" i="4" l="1"/>
  <c r="F20" i="4"/>
  <c r="G20" i="4"/>
  <c r="H20" i="4"/>
  <c r="I20" i="4"/>
  <c r="J20" i="4"/>
  <c r="K20" i="4"/>
  <c r="L20" i="4"/>
  <c r="BD7" i="6" l="1"/>
  <c r="AU7" i="6"/>
  <c r="AL7" i="6"/>
  <c r="AC7" i="6"/>
  <c r="E19" i="5"/>
  <c r="F19" i="5"/>
  <c r="G19" i="5"/>
  <c r="H19" i="5"/>
  <c r="D19" i="5"/>
  <c r="H14" i="6" l="1"/>
  <c r="CD95" i="14" l="1"/>
  <c r="E18" i="4"/>
  <c r="F18" i="4"/>
  <c r="G18" i="4"/>
  <c r="H18" i="4"/>
  <c r="I18" i="4"/>
  <c r="J18" i="4"/>
  <c r="K18" i="4"/>
  <c r="L18" i="4"/>
  <c r="L16" i="4" s="1"/>
  <c r="E19" i="4"/>
  <c r="F19" i="4"/>
  <c r="G19" i="4"/>
  <c r="H19" i="4"/>
  <c r="I19" i="4"/>
  <c r="J19" i="4"/>
  <c r="K19" i="4"/>
  <c r="L19" i="4"/>
  <c r="D19" i="4"/>
  <c r="D18" i="4"/>
  <c r="D20" i="4" s="1"/>
  <c r="P70" i="53"/>
  <c r="Q70" i="53"/>
  <c r="R70" i="53" s="1"/>
  <c r="S70" i="53" s="1"/>
  <c r="T70" i="53" s="1"/>
  <c r="U70" i="53" s="1"/>
  <c r="V70" i="53" s="1"/>
  <c r="O70" i="53"/>
  <c r="J52" i="53"/>
  <c r="K52" i="53"/>
  <c r="L52" i="53"/>
  <c r="J53" i="53"/>
  <c r="L53" i="53" s="1"/>
  <c r="K53" i="53"/>
  <c r="J54" i="53"/>
  <c r="L54" i="53" s="1"/>
  <c r="K54" i="53"/>
  <c r="J55" i="53"/>
  <c r="K55" i="53"/>
  <c r="L55" i="53"/>
  <c r="J56" i="53"/>
  <c r="K56" i="53"/>
  <c r="L56" i="53"/>
  <c r="J57" i="53"/>
  <c r="L57" i="53" s="1"/>
  <c r="K57" i="53"/>
  <c r="J58" i="53"/>
  <c r="L58" i="53" s="1"/>
  <c r="K58" i="53"/>
  <c r="J59" i="53"/>
  <c r="K59" i="53"/>
  <c r="L59" i="53"/>
  <c r="J60" i="53"/>
  <c r="K60" i="53"/>
  <c r="L60" i="53"/>
  <c r="J61" i="53"/>
  <c r="L61" i="53" s="1"/>
  <c r="K61" i="53"/>
  <c r="J62" i="53"/>
  <c r="L62" i="53" s="1"/>
  <c r="K62" i="53"/>
  <c r="J63" i="53"/>
  <c r="K63" i="53"/>
  <c r="L63" i="53"/>
  <c r="J64" i="53"/>
  <c r="K64" i="53"/>
  <c r="L64" i="53"/>
  <c r="J65" i="53"/>
  <c r="L65" i="53" s="1"/>
  <c r="K65" i="53"/>
  <c r="J66" i="53"/>
  <c r="L66" i="53" s="1"/>
  <c r="K66" i="53"/>
  <c r="J67" i="53"/>
  <c r="K67" i="53"/>
  <c r="L67" i="53"/>
  <c r="J68" i="53"/>
  <c r="K68" i="53"/>
  <c r="L68" i="53"/>
  <c r="J69" i="53"/>
  <c r="L69" i="53" s="1"/>
  <c r="K69" i="53"/>
  <c r="J70" i="53"/>
  <c r="L70" i="53" s="1"/>
  <c r="K70" i="53"/>
  <c r="J71" i="53"/>
  <c r="K71" i="53"/>
  <c r="L71" i="53"/>
  <c r="J72" i="53"/>
  <c r="K72" i="53"/>
  <c r="L72" i="53"/>
  <c r="J73" i="53"/>
  <c r="L73" i="53" s="1"/>
  <c r="K73" i="53"/>
  <c r="J74" i="53"/>
  <c r="L74" i="53" s="1"/>
  <c r="K74" i="53"/>
  <c r="J75" i="53"/>
  <c r="K75" i="53"/>
  <c r="L75" i="53"/>
  <c r="J76" i="53"/>
  <c r="K76" i="53"/>
  <c r="L76" i="53"/>
  <c r="J77" i="53"/>
  <c r="L77" i="53" s="1"/>
  <c r="K77" i="53"/>
  <c r="J78" i="53"/>
  <c r="L78" i="53" s="1"/>
  <c r="K78" i="53"/>
  <c r="J79" i="53"/>
  <c r="K79" i="53"/>
  <c r="L79" i="53"/>
  <c r="K51" i="53"/>
  <c r="J51" i="53"/>
  <c r="L51" i="53"/>
  <c r="K50" i="53"/>
  <c r="J50" i="53"/>
  <c r="A79" i="53"/>
  <c r="A78" i="53"/>
  <c r="A77" i="53"/>
  <c r="A76" i="53"/>
  <c r="A75" i="53"/>
  <c r="A74" i="53"/>
  <c r="A73" i="53"/>
  <c r="A72" i="53"/>
  <c r="A71" i="53"/>
  <c r="A70" i="53"/>
  <c r="A69" i="53"/>
  <c r="A68" i="53"/>
  <c r="A67" i="53"/>
  <c r="A66" i="53"/>
  <c r="A65" i="53"/>
  <c r="A64" i="53"/>
  <c r="A63" i="53"/>
  <c r="A62" i="53"/>
  <c r="A61" i="53"/>
  <c r="A60" i="53"/>
  <c r="A59" i="53"/>
  <c r="A58" i="53"/>
  <c r="A57" i="53"/>
  <c r="A56" i="53"/>
  <c r="A55" i="53"/>
  <c r="A54" i="53"/>
  <c r="A53" i="53"/>
  <c r="A52" i="53"/>
  <c r="A51" i="53"/>
  <c r="A50" i="53"/>
  <c r="A49" i="53"/>
  <c r="A48" i="53"/>
  <c r="A47" i="53"/>
  <c r="A46" i="53"/>
  <c r="A45" i="53"/>
  <c r="A44" i="53"/>
  <c r="A43" i="53"/>
  <c r="A42" i="53"/>
  <c r="A41" i="53"/>
  <c r="A40" i="53"/>
  <c r="A39" i="53"/>
  <c r="A38" i="53"/>
  <c r="A37" i="53"/>
  <c r="A36" i="53"/>
  <c r="A35" i="53"/>
  <c r="A34" i="53"/>
  <c r="A33" i="53"/>
  <c r="A32" i="53"/>
  <c r="A31" i="53"/>
  <c r="A30" i="53"/>
  <c r="A29" i="53"/>
  <c r="A28" i="53"/>
  <c r="A27" i="53"/>
  <c r="A26" i="53"/>
  <c r="A25" i="53"/>
  <c r="A24" i="53"/>
  <c r="A23" i="53"/>
  <c r="A22" i="53"/>
  <c r="A21" i="53"/>
  <c r="A20" i="53"/>
  <c r="U6" i="47" l="1"/>
  <c r="T6" i="47"/>
  <c r="S6" i="47"/>
  <c r="R6" i="47"/>
  <c r="CI103" i="14" l="1"/>
  <c r="DJ8" i="14"/>
  <c r="DJ9" i="14"/>
  <c r="DJ10" i="14"/>
  <c r="DJ11" i="14"/>
  <c r="DJ12" i="14"/>
  <c r="DJ13" i="14"/>
  <c r="DJ14" i="14"/>
  <c r="DJ15" i="14"/>
  <c r="DJ16" i="14"/>
  <c r="BZ7" i="14"/>
  <c r="CI8" i="14" s="1"/>
  <c r="CR8" i="14" s="1"/>
  <c r="BD10" i="6"/>
  <c r="H5" i="5"/>
  <c r="AW8" i="6"/>
  <c r="AW7" i="6"/>
  <c r="AW6" i="6"/>
  <c r="AW5" i="6"/>
  <c r="O3" i="14" l="1"/>
  <c r="O4" i="47"/>
  <c r="BU4" i="6"/>
  <c r="CA4" i="6" s="1"/>
  <c r="BZ8" i="14"/>
  <c r="DA8" i="14" s="1"/>
  <c r="H21" i="5"/>
  <c r="DA7" i="14"/>
  <c r="DJ7" i="14" l="1"/>
  <c r="CI9" i="14"/>
  <c r="K16" i="4"/>
  <c r="CI92" i="14" l="1"/>
  <c r="CR9" i="14"/>
  <c r="B67" i="46"/>
  <c r="H57" i="46"/>
  <c r="F57" i="46"/>
  <c r="D57" i="46"/>
  <c r="H47" i="46"/>
  <c r="F47" i="46"/>
  <c r="D47" i="46"/>
  <c r="H37" i="46"/>
  <c r="F37" i="46"/>
  <c r="D37" i="46"/>
  <c r="H27" i="46"/>
  <c r="F27" i="46"/>
  <c r="D27" i="46"/>
  <c r="H17" i="46"/>
  <c r="F17" i="46"/>
  <c r="D17" i="46"/>
  <c r="H7" i="46"/>
  <c r="F7" i="46"/>
  <c r="D7" i="46"/>
  <c r="H97" i="46"/>
  <c r="F97" i="46"/>
  <c r="D97" i="46"/>
  <c r="B97" i="46"/>
  <c r="H87" i="46"/>
  <c r="F87" i="46"/>
  <c r="D87" i="46"/>
  <c r="B87" i="46"/>
  <c r="H77" i="46"/>
  <c r="F77" i="46"/>
  <c r="D77" i="46"/>
  <c r="B77" i="46"/>
  <c r="H67" i="46"/>
  <c r="F67" i="46"/>
  <c r="D67" i="46"/>
  <c r="B57" i="46"/>
  <c r="B47" i="46"/>
  <c r="B37" i="46"/>
  <c r="B27" i="46"/>
  <c r="B17" i="46"/>
  <c r="I1" i="48"/>
  <c r="J1" i="48" s="1"/>
  <c r="K1" i="48" s="1"/>
  <c r="L1" i="48" s="1"/>
  <c r="M1" i="48" s="1"/>
  <c r="N1" i="48" s="1"/>
  <c r="O1" i="48" s="1"/>
  <c r="P1" i="48" s="1"/>
  <c r="H1" i="48"/>
  <c r="CI100" i="14" l="1"/>
  <c r="BZ92" i="14"/>
  <c r="Q1" i="48"/>
  <c r="R1" i="48" s="1"/>
  <c r="S1" i="48" s="1"/>
  <c r="T1" i="48" s="1"/>
  <c r="U1" i="48" s="1"/>
  <c r="V1" i="48" s="1"/>
  <c r="W1" i="48" s="1"/>
  <c r="X1" i="48" s="1"/>
  <c r="Y1" i="48" s="1"/>
  <c r="B7" i="46"/>
  <c r="Q3" i="47"/>
  <c r="Q5" i="47"/>
  <c r="CM9" i="47"/>
  <c r="DG8" i="47" s="1"/>
  <c r="CM101" i="47"/>
  <c r="CN101" i="47"/>
  <c r="CO101" i="47"/>
  <c r="CP101" i="47"/>
  <c r="CD11" i="47"/>
  <c r="CD9" i="47"/>
  <c r="CC9" i="47"/>
  <c r="CL101" i="47"/>
  <c r="CK101" i="47"/>
  <c r="CJ101" i="47"/>
  <c r="CI101" i="47"/>
  <c r="CH101" i="47"/>
  <c r="CG101" i="47"/>
  <c r="CH96" i="47"/>
  <c r="CI96" i="47" s="1"/>
  <c r="CJ96" i="47" s="1"/>
  <c r="DL18" i="47"/>
  <c r="DR15" i="47"/>
  <c r="DQ15" i="47"/>
  <c r="DP15" i="47"/>
  <c r="DO15" i="47"/>
  <c r="DN15" i="47"/>
  <c r="DM15" i="47"/>
  <c r="DR14" i="47"/>
  <c r="DQ14" i="47"/>
  <c r="DP14" i="47"/>
  <c r="DO14" i="47"/>
  <c r="DN14" i="47"/>
  <c r="DM14" i="47"/>
  <c r="DR13" i="47"/>
  <c r="DQ13" i="47"/>
  <c r="DP13" i="47"/>
  <c r="DO13" i="47"/>
  <c r="DN13" i="47"/>
  <c r="DM13" i="47"/>
  <c r="DR12" i="47"/>
  <c r="DQ12" i="47"/>
  <c r="DP12" i="47"/>
  <c r="DO12" i="47"/>
  <c r="DN12" i="47"/>
  <c r="DM12" i="47"/>
  <c r="CR12" i="47"/>
  <c r="CR13" i="47" s="1"/>
  <c r="CR14" i="47" s="1"/>
  <c r="CR15" i="47" s="1"/>
  <c r="CR16" i="47" s="1"/>
  <c r="CR17" i="47" s="1"/>
  <c r="CR18" i="47" s="1"/>
  <c r="CR19" i="47" s="1"/>
  <c r="CR20" i="47" s="1"/>
  <c r="CR21" i="47" s="1"/>
  <c r="CR22" i="47" s="1"/>
  <c r="CR23" i="47" s="1"/>
  <c r="CR24" i="47" s="1"/>
  <c r="CR25" i="47" s="1"/>
  <c r="CR26" i="47" s="1"/>
  <c r="CR27" i="47" s="1"/>
  <c r="CR28" i="47" s="1"/>
  <c r="CR29" i="47" s="1"/>
  <c r="CR30" i="47" s="1"/>
  <c r="CR31" i="47" s="1"/>
  <c r="CR32" i="47" s="1"/>
  <c r="CR33" i="47" s="1"/>
  <c r="CR34" i="47" s="1"/>
  <c r="CR35" i="47" s="1"/>
  <c r="CR36" i="47" s="1"/>
  <c r="CR37" i="47" s="1"/>
  <c r="CR38" i="47" s="1"/>
  <c r="CR39" i="47" s="1"/>
  <c r="CR40" i="47" s="1"/>
  <c r="CR41" i="47" s="1"/>
  <c r="CR42" i="47" s="1"/>
  <c r="CR43" i="47" s="1"/>
  <c r="CR44" i="47" s="1"/>
  <c r="CR45" i="47" s="1"/>
  <c r="CR46" i="47" s="1"/>
  <c r="CR47" i="47" s="1"/>
  <c r="CR48" i="47" s="1"/>
  <c r="CR49" i="47" s="1"/>
  <c r="CR50" i="47" s="1"/>
  <c r="CR51" i="47" s="1"/>
  <c r="CR52" i="47" s="1"/>
  <c r="CR53" i="47" s="1"/>
  <c r="CR54" i="47" s="1"/>
  <c r="CR55" i="47" s="1"/>
  <c r="CR56" i="47" s="1"/>
  <c r="CR57" i="47" s="1"/>
  <c r="CR58" i="47" s="1"/>
  <c r="CR59" i="47" s="1"/>
  <c r="CR60" i="47" s="1"/>
  <c r="CR61" i="47" s="1"/>
  <c r="CR62" i="47" s="1"/>
  <c r="CR63" i="47" s="1"/>
  <c r="CR64" i="47" s="1"/>
  <c r="CR65" i="47" s="1"/>
  <c r="CR66" i="47" s="1"/>
  <c r="CR67" i="47" s="1"/>
  <c r="CR68" i="47" s="1"/>
  <c r="CR69" i="47" s="1"/>
  <c r="CR70" i="47" s="1"/>
  <c r="CR71" i="47" s="1"/>
  <c r="CR72" i="47" s="1"/>
  <c r="CR73" i="47" s="1"/>
  <c r="CR74" i="47" s="1"/>
  <c r="CR75" i="47" s="1"/>
  <c r="CR76" i="47" s="1"/>
  <c r="CR77" i="47" s="1"/>
  <c r="CR78" i="47" s="1"/>
  <c r="CR79" i="47" s="1"/>
  <c r="CR80" i="47" s="1"/>
  <c r="CR81" i="47" s="1"/>
  <c r="CR82" i="47" s="1"/>
  <c r="CR83" i="47" s="1"/>
  <c r="CR84" i="47" s="1"/>
  <c r="CR85" i="47" s="1"/>
  <c r="CR86" i="47" s="1"/>
  <c r="CR87" i="47" s="1"/>
  <c r="CR88" i="47" s="1"/>
  <c r="CR89" i="47" s="1"/>
  <c r="CR90" i="47" s="1"/>
  <c r="CR91" i="47" s="1"/>
  <c r="CF12" i="47"/>
  <c r="CF13" i="47" s="1"/>
  <c r="CF14" i="47" s="1"/>
  <c r="CF15" i="47" s="1"/>
  <c r="CF16" i="47" s="1"/>
  <c r="CF17" i="47" s="1"/>
  <c r="CF18" i="47" s="1"/>
  <c r="CF19" i="47" s="1"/>
  <c r="CF20" i="47" s="1"/>
  <c r="CF21" i="47" s="1"/>
  <c r="CF22" i="47" s="1"/>
  <c r="CF23" i="47" s="1"/>
  <c r="CF24" i="47" s="1"/>
  <c r="CF25" i="47" s="1"/>
  <c r="CF26" i="47" s="1"/>
  <c r="CF27" i="47" s="1"/>
  <c r="CF28" i="47" s="1"/>
  <c r="CF29" i="47" s="1"/>
  <c r="CF30" i="47" s="1"/>
  <c r="CF31" i="47" s="1"/>
  <c r="CF32" i="47" s="1"/>
  <c r="CF33" i="47" s="1"/>
  <c r="CF34" i="47" s="1"/>
  <c r="CF35" i="47" s="1"/>
  <c r="CF36" i="47" s="1"/>
  <c r="CF37" i="47" s="1"/>
  <c r="CF38" i="47" s="1"/>
  <c r="CF39" i="47" s="1"/>
  <c r="CF40" i="47" s="1"/>
  <c r="CF41" i="47" s="1"/>
  <c r="CF42" i="47" s="1"/>
  <c r="CF43" i="47" s="1"/>
  <c r="CF44" i="47" s="1"/>
  <c r="CF45" i="47" s="1"/>
  <c r="CF46" i="47" s="1"/>
  <c r="CF47" i="47" s="1"/>
  <c r="CF48" i="47" s="1"/>
  <c r="CF49" i="47" s="1"/>
  <c r="CF50" i="47" s="1"/>
  <c r="CF51" i="47" s="1"/>
  <c r="CF52" i="47" s="1"/>
  <c r="CF53" i="47" s="1"/>
  <c r="CF54" i="47" s="1"/>
  <c r="CF55" i="47" s="1"/>
  <c r="CF56" i="47" s="1"/>
  <c r="CF57" i="47" s="1"/>
  <c r="CF58" i="47" s="1"/>
  <c r="CF59" i="47" s="1"/>
  <c r="CF60" i="47" s="1"/>
  <c r="CF61" i="47" s="1"/>
  <c r="CF62" i="47" s="1"/>
  <c r="CF63" i="47" s="1"/>
  <c r="CF64" i="47" s="1"/>
  <c r="CF65" i="47" s="1"/>
  <c r="CF66" i="47" s="1"/>
  <c r="CF67" i="47" s="1"/>
  <c r="CF68" i="47" s="1"/>
  <c r="CF69" i="47" s="1"/>
  <c r="CF70" i="47" s="1"/>
  <c r="CF71" i="47" s="1"/>
  <c r="CF72" i="47" s="1"/>
  <c r="CF73" i="47" s="1"/>
  <c r="CF74" i="47" s="1"/>
  <c r="CF75" i="47" s="1"/>
  <c r="CF76" i="47" s="1"/>
  <c r="CF77" i="47" s="1"/>
  <c r="CF78" i="47" s="1"/>
  <c r="CF79" i="47" s="1"/>
  <c r="CF80" i="47" s="1"/>
  <c r="CF81" i="47" s="1"/>
  <c r="CF82" i="47" s="1"/>
  <c r="CF83" i="47" s="1"/>
  <c r="CF84" i="47" s="1"/>
  <c r="CF85" i="47" s="1"/>
  <c r="CF86" i="47" s="1"/>
  <c r="CF87" i="47" s="1"/>
  <c r="CF88" i="47" s="1"/>
  <c r="CF89" i="47" s="1"/>
  <c r="CF90" i="47" s="1"/>
  <c r="CF91" i="47" s="1"/>
  <c r="DR11" i="47"/>
  <c r="DQ11" i="47"/>
  <c r="DP11" i="47"/>
  <c r="DO11" i="47"/>
  <c r="DN11" i="47"/>
  <c r="DM11" i="47"/>
  <c r="BT11" i="47"/>
  <c r="DL19" i="47" s="1"/>
  <c r="DR10" i="47"/>
  <c r="DQ10" i="47"/>
  <c r="DP10" i="47"/>
  <c r="DO10" i="47"/>
  <c r="DN10" i="47"/>
  <c r="DM10" i="47"/>
  <c r="DL10" i="47"/>
  <c r="DL11" i="47" s="1"/>
  <c r="DL12" i="47" s="1"/>
  <c r="DL13" i="47" s="1"/>
  <c r="DL14" i="47" s="1"/>
  <c r="DL15" i="47" s="1"/>
  <c r="DL16" i="47" s="1"/>
  <c r="DL17" i="47" s="1"/>
  <c r="CZ10" i="47"/>
  <c r="DR9" i="47"/>
  <c r="DQ9" i="47"/>
  <c r="DP9" i="47"/>
  <c r="DO9" i="47"/>
  <c r="DN9" i="47"/>
  <c r="DM9" i="47"/>
  <c r="CL9" i="47"/>
  <c r="CX9" i="47" s="1"/>
  <c r="BZ9" i="47"/>
  <c r="CL10" i="47" s="1"/>
  <c r="BY9" i="47"/>
  <c r="CK10" i="47" s="1"/>
  <c r="CK93" i="47" s="1"/>
  <c r="BX9" i="47"/>
  <c r="DD9" i="47" s="1"/>
  <c r="BW9" i="47"/>
  <c r="BV9" i="47"/>
  <c r="CH10" i="47" s="1"/>
  <c r="BU9" i="47"/>
  <c r="CG10" i="47" s="1"/>
  <c r="CG93" i="47" s="1"/>
  <c r="DF8" i="47"/>
  <c r="BY8" i="47"/>
  <c r="DE8" i="47" s="1"/>
  <c r="BX8" i="47"/>
  <c r="DD8" i="47" s="1"/>
  <c r="BW8" i="47"/>
  <c r="CI9" i="47" s="1"/>
  <c r="CU9" i="47" s="1"/>
  <c r="BV8" i="47"/>
  <c r="CH9" i="47" s="1"/>
  <c r="CT9" i="47" s="1"/>
  <c r="BU8" i="47"/>
  <c r="DA8" i="47" s="1"/>
  <c r="D5" i="47"/>
  <c r="I97" i="46"/>
  <c r="CD91" i="47" s="1"/>
  <c r="G97" i="46"/>
  <c r="I87" i="46"/>
  <c r="CD81" i="47" s="1"/>
  <c r="G87" i="46"/>
  <c r="CC90" i="47" s="1"/>
  <c r="I77" i="46"/>
  <c r="CD71" i="47" s="1"/>
  <c r="G77" i="46"/>
  <c r="CC80" i="47" s="1"/>
  <c r="I67" i="46"/>
  <c r="CD61" i="47" s="1"/>
  <c r="G67" i="46"/>
  <c r="CC70" i="47" s="1"/>
  <c r="I57" i="46"/>
  <c r="CD51" i="47" s="1"/>
  <c r="G57" i="46"/>
  <c r="CC60" i="47" s="1"/>
  <c r="I47" i="46"/>
  <c r="CD41" i="47" s="1"/>
  <c r="G47" i="46"/>
  <c r="CC50" i="47" s="1"/>
  <c r="I37" i="46"/>
  <c r="CD31" i="47" s="1"/>
  <c r="G37" i="46"/>
  <c r="CC40" i="47" s="1"/>
  <c r="I27" i="46"/>
  <c r="CD21" i="47" s="1"/>
  <c r="G27" i="46"/>
  <c r="CC30" i="47" s="1"/>
  <c r="DI30" i="47" s="1"/>
  <c r="I17" i="46"/>
  <c r="G17" i="46"/>
  <c r="CC20" i="47" s="1"/>
  <c r="A9" i="46"/>
  <c r="A8" i="46"/>
  <c r="G7" i="46"/>
  <c r="DU9" i="47" s="1"/>
  <c r="CB9" i="47"/>
  <c r="CA9" i="47"/>
  <c r="CC10" i="47" l="1"/>
  <c r="DV99" i="47"/>
  <c r="DJ91" i="47"/>
  <c r="CP52" i="47"/>
  <c r="DV59" i="47"/>
  <c r="DV39" i="47"/>
  <c r="DJ31" i="47"/>
  <c r="DV19" i="47"/>
  <c r="CM10" i="47"/>
  <c r="R4" i="47"/>
  <c r="CN10" i="47"/>
  <c r="S4" i="47"/>
  <c r="CO91" i="47"/>
  <c r="DU98" i="47"/>
  <c r="DI90" i="47"/>
  <c r="CO71" i="47"/>
  <c r="DU78" i="47"/>
  <c r="DU58" i="47"/>
  <c r="DI50" i="47"/>
  <c r="DU38" i="47"/>
  <c r="DI10" i="47"/>
  <c r="DI70" i="47"/>
  <c r="DJ11" i="47"/>
  <c r="CP72" i="47"/>
  <c r="DV79" i="47"/>
  <c r="DJ71" i="47"/>
  <c r="DJ51" i="47"/>
  <c r="CP10" i="47"/>
  <c r="U4" i="47"/>
  <c r="CP82" i="47"/>
  <c r="DV89" i="47"/>
  <c r="DJ81" i="47"/>
  <c r="CP62" i="47"/>
  <c r="DV69" i="47"/>
  <c r="DJ61" i="47"/>
  <c r="DV49" i="47"/>
  <c r="DJ41" i="47"/>
  <c r="DV29" i="47"/>
  <c r="DJ21" i="47"/>
  <c r="CO10" i="47"/>
  <c r="T4" i="47"/>
  <c r="CO81" i="47"/>
  <c r="DU88" i="47"/>
  <c r="DI80" i="47"/>
  <c r="CO61" i="47"/>
  <c r="DU68" i="47"/>
  <c r="DI60" i="47"/>
  <c r="DU48" i="47"/>
  <c r="DI40" i="47"/>
  <c r="DU28" i="47"/>
  <c r="DI20" i="47"/>
  <c r="DM8" i="47"/>
  <c r="CP99" i="47"/>
  <c r="CP100" i="47"/>
  <c r="DN8" i="47"/>
  <c r="DB8" i="47"/>
  <c r="DQ8" i="47"/>
  <c r="DA9" i="47"/>
  <c r="DE9" i="47"/>
  <c r="DR8" i="47"/>
  <c r="CH93" i="47"/>
  <c r="CT10" i="47"/>
  <c r="CL93" i="47"/>
  <c r="CX10" i="47"/>
  <c r="DC9" i="47"/>
  <c r="DO8" i="47"/>
  <c r="CG9" i="47"/>
  <c r="CS9" i="47" s="1"/>
  <c r="CJ10" i="47"/>
  <c r="DF9" i="47"/>
  <c r="CW10" i="47"/>
  <c r="CZ11" i="47"/>
  <c r="DC8" i="47"/>
  <c r="CG98" i="47"/>
  <c r="BU93" i="47"/>
  <c r="CK98" i="47"/>
  <c r="BY93" i="47"/>
  <c r="CJ9" i="47"/>
  <c r="CV9" i="47" s="1"/>
  <c r="DB9" i="47"/>
  <c r="CS10" i="47"/>
  <c r="BT12" i="47"/>
  <c r="DP8" i="47"/>
  <c r="CK9" i="47"/>
  <c r="CW9" i="47" s="1"/>
  <c r="CI10" i="47"/>
  <c r="CL96" i="47"/>
  <c r="CK96" i="47"/>
  <c r="E7" i="46"/>
  <c r="DT9" i="47" s="1"/>
  <c r="C7" i="46"/>
  <c r="DS9" i="47" s="1"/>
  <c r="I7" i="46"/>
  <c r="DV9" i="47" s="1"/>
  <c r="A10" i="46"/>
  <c r="E5" i="5"/>
  <c r="CA8" i="14"/>
  <c r="BX8" i="14"/>
  <c r="BW8" i="14"/>
  <c r="BV8" i="14"/>
  <c r="BU8" i="14"/>
  <c r="BR4" i="6" l="1"/>
  <c r="L4" i="47"/>
  <c r="CP93" i="47"/>
  <c r="DJ9" i="47"/>
  <c r="DV8" i="47" s="1"/>
  <c r="CO93" i="47"/>
  <c r="DI9" i="47"/>
  <c r="DU8" i="47" s="1"/>
  <c r="CN93" i="47"/>
  <c r="DH9" i="47"/>
  <c r="DT8" i="47" s="1"/>
  <c r="CM93" i="47"/>
  <c r="DG9" i="47"/>
  <c r="DS8" i="47" s="1"/>
  <c r="CN96" i="47"/>
  <c r="CM96" i="47"/>
  <c r="CZ12" i="47"/>
  <c r="DL20" i="47"/>
  <c r="BT13" i="47"/>
  <c r="CJ93" i="47"/>
  <c r="CV10" i="47"/>
  <c r="CL98" i="47"/>
  <c r="BZ93" i="47"/>
  <c r="CU10" i="47"/>
  <c r="CI93" i="47"/>
  <c r="CH98" i="47"/>
  <c r="BV93" i="47"/>
  <c r="A11" i="46"/>
  <c r="CM98" i="47" l="1"/>
  <c r="CA93" i="47"/>
  <c r="CN98" i="47"/>
  <c r="CB93" i="47"/>
  <c r="CO98" i="47"/>
  <c r="CC93" i="47"/>
  <c r="CP98" i="47"/>
  <c r="CD93" i="47"/>
  <c r="CP96" i="47"/>
  <c r="CO96" i="47"/>
  <c r="CI98" i="47"/>
  <c r="BW93" i="47"/>
  <c r="CJ98" i="47"/>
  <c r="BX93" i="47"/>
  <c r="DL21" i="47"/>
  <c r="CZ13" i="47"/>
  <c r="BT14" i="47"/>
  <c r="A12" i="46"/>
  <c r="CP94" i="47" l="1"/>
  <c r="CP95" i="47"/>
  <c r="BT15" i="47"/>
  <c r="DL22" i="47"/>
  <c r="CZ14" i="47"/>
  <c r="A13" i="46"/>
  <c r="CH103" i="14"/>
  <c r="DL23" i="47" l="1"/>
  <c r="BT16" i="47"/>
  <c r="CZ15" i="47"/>
  <c r="A14" i="46"/>
  <c r="AU10" i="6"/>
  <c r="AU9" i="6"/>
  <c r="N3" i="14"/>
  <c r="DI8" i="14"/>
  <c r="DI9" i="14"/>
  <c r="DI10" i="14"/>
  <c r="DI11" i="14"/>
  <c r="DI12" i="14"/>
  <c r="DI13" i="14"/>
  <c r="DI14" i="14"/>
  <c r="BY7" i="14"/>
  <c r="CH8" i="14" s="1"/>
  <c r="CQ8" i="14" s="1"/>
  <c r="G5" i="5"/>
  <c r="N4" i="47" s="1"/>
  <c r="AU13" i="6"/>
  <c r="AN8" i="6"/>
  <c r="AN7" i="6"/>
  <c r="AN6" i="6"/>
  <c r="AN5" i="6"/>
  <c r="G21" i="5" l="1"/>
  <c r="BY8" i="14"/>
  <c r="BT4" i="6"/>
  <c r="CZ16" i="47"/>
  <c r="DL24" i="47"/>
  <c r="BT17" i="47"/>
  <c r="A15" i="46"/>
  <c r="AP16" i="6"/>
  <c r="CZ7" i="14"/>
  <c r="D4" i="14"/>
  <c r="DI7" i="14" l="1"/>
  <c r="CZ8" i="14"/>
  <c r="CH9" i="14"/>
  <c r="DL25" i="47"/>
  <c r="CZ17" i="47"/>
  <c r="BT18" i="47"/>
  <c r="A16" i="46"/>
  <c r="BP7" i="6"/>
  <c r="BP120" i="6"/>
  <c r="BQ120" i="6" s="1"/>
  <c r="BR120" i="6" s="1"/>
  <c r="BS120" i="6" s="1"/>
  <c r="BT120" i="6" s="1"/>
  <c r="BV120" i="6" s="1"/>
  <c r="BW120" i="6" s="1"/>
  <c r="BX120" i="6" s="1"/>
  <c r="BY120" i="6" s="1"/>
  <c r="BZ120" i="6" s="1"/>
  <c r="CH92" i="14" l="1"/>
  <c r="CQ9" i="14"/>
  <c r="BT19" i="47"/>
  <c r="DL26" i="47"/>
  <c r="CZ18" i="47"/>
  <c r="I16" i="46"/>
  <c r="A17" i="46"/>
  <c r="G14" i="46"/>
  <c r="I12" i="46"/>
  <c r="DV14" i="47" s="1"/>
  <c r="I14" i="46"/>
  <c r="DV16" i="47" s="1"/>
  <c r="CH100" i="14" l="1"/>
  <c r="BY92" i="14"/>
  <c r="CD10" i="47"/>
  <c r="DV18" i="47"/>
  <c r="CC17" i="47"/>
  <c r="DU16" i="47"/>
  <c r="DL27" i="47"/>
  <c r="BT20" i="47"/>
  <c r="CZ19" i="47"/>
  <c r="A18" i="46"/>
  <c r="I9" i="46"/>
  <c r="DV11" i="47" s="1"/>
  <c r="C11" i="46"/>
  <c r="DS13" i="47" s="1"/>
  <c r="G12" i="46"/>
  <c r="G11" i="46"/>
  <c r="I15" i="46"/>
  <c r="DV17" i="47" s="1"/>
  <c r="G9" i="46"/>
  <c r="G13" i="46"/>
  <c r="I8" i="46"/>
  <c r="DV10" i="47" s="1"/>
  <c r="I11" i="46"/>
  <c r="DV13" i="47" s="1"/>
  <c r="G15" i="46"/>
  <c r="G10" i="46"/>
  <c r="I13" i="46"/>
  <c r="DV15" i="47" s="1"/>
  <c r="I10" i="46"/>
  <c r="DV12" i="47" s="1"/>
  <c r="G8" i="46"/>
  <c r="G16" i="46"/>
  <c r="I16" i="4"/>
  <c r="DU10" i="47" l="1"/>
  <c r="CC11" i="47"/>
  <c r="DU17" i="47"/>
  <c r="CC18" i="47"/>
  <c r="DU11" i="47"/>
  <c r="CC12" i="47"/>
  <c r="DU25" i="47"/>
  <c r="DI17" i="47"/>
  <c r="DU13" i="47"/>
  <c r="CC14" i="47"/>
  <c r="DU18" i="47"/>
  <c r="CC19" i="47"/>
  <c r="DU12" i="47"/>
  <c r="CC13" i="47"/>
  <c r="DU15" i="47"/>
  <c r="CC16" i="47"/>
  <c r="DU14" i="47"/>
  <c r="CC15" i="47"/>
  <c r="CP11" i="47"/>
  <c r="DJ10" i="47"/>
  <c r="CZ20" i="47"/>
  <c r="BT21" i="47"/>
  <c r="DL28" i="47"/>
  <c r="E17" i="46"/>
  <c r="CB11" i="47" s="1"/>
  <c r="E10" i="46"/>
  <c r="DT12" i="47" s="1"/>
  <c r="E14" i="46"/>
  <c r="DT16" i="47" s="1"/>
  <c r="E15" i="46"/>
  <c r="DT17" i="47" s="1"/>
  <c r="E11" i="46"/>
  <c r="DT13" i="47" s="1"/>
  <c r="E9" i="46"/>
  <c r="DT11" i="47" s="1"/>
  <c r="E8" i="46"/>
  <c r="DT10" i="47" s="1"/>
  <c r="E12" i="46"/>
  <c r="DT14" i="47" s="1"/>
  <c r="E16" i="46"/>
  <c r="E13" i="46"/>
  <c r="DT15" i="47" s="1"/>
  <c r="C17" i="46"/>
  <c r="CA11" i="47" s="1"/>
  <c r="C10" i="46"/>
  <c r="DS12" i="47" s="1"/>
  <c r="C14" i="46"/>
  <c r="DS16" i="47" s="1"/>
  <c r="C13" i="46"/>
  <c r="DS15" i="47" s="1"/>
  <c r="C9" i="46"/>
  <c r="DS11" i="47" s="1"/>
  <c r="C15" i="46"/>
  <c r="DS17" i="47" s="1"/>
  <c r="C12" i="46"/>
  <c r="DS14" i="47" s="1"/>
  <c r="C16" i="46"/>
  <c r="C8" i="46"/>
  <c r="DS10" i="47" s="1"/>
  <c r="A19" i="46"/>
  <c r="F16" i="4"/>
  <c r="J16" i="4"/>
  <c r="G16" i="4"/>
  <c r="H16" i="4"/>
  <c r="E16" i="4"/>
  <c r="CO19" i="47" l="1"/>
  <c r="DI18" i="47"/>
  <c r="DU26" i="47"/>
  <c r="DS19" i="47"/>
  <c r="DG11" i="47"/>
  <c r="CO16" i="47"/>
  <c r="DU23" i="47"/>
  <c r="DI15" i="47"/>
  <c r="DI14" i="47"/>
  <c r="CO15" i="47"/>
  <c r="DU22" i="47"/>
  <c r="DS18" i="47"/>
  <c r="CA10" i="47"/>
  <c r="DU20" i="47"/>
  <c r="CO13" i="47"/>
  <c r="DI12" i="47"/>
  <c r="DU19" i="47"/>
  <c r="CO12" i="47"/>
  <c r="DI11" i="47"/>
  <c r="CO11" i="47"/>
  <c r="DU21" i="47"/>
  <c r="DI13" i="47"/>
  <c r="CO14" i="47"/>
  <c r="DT18" i="47"/>
  <c r="CB10" i="47"/>
  <c r="DT19" i="47"/>
  <c r="DH11" i="47"/>
  <c r="DI16" i="47"/>
  <c r="DU24" i="47"/>
  <c r="CO17" i="47"/>
  <c r="DU27" i="47"/>
  <c r="DI19" i="47"/>
  <c r="CO20" i="47"/>
  <c r="CO18" i="47"/>
  <c r="DL29" i="47"/>
  <c r="BT22" i="47"/>
  <c r="CZ21" i="47"/>
  <c r="A20" i="46"/>
  <c r="P3" i="14"/>
  <c r="DK7" i="14"/>
  <c r="DB7" i="14"/>
  <c r="DB8" i="14"/>
  <c r="CJ8" i="14"/>
  <c r="CS8" i="14" s="1"/>
  <c r="CJ9" i="14"/>
  <c r="CJ92" i="14" s="1"/>
  <c r="DH10" i="47" l="1"/>
  <c r="CN11" i="47"/>
  <c r="CM11" i="47"/>
  <c r="DG10" i="47"/>
  <c r="BT23" i="47"/>
  <c r="DL30" i="47"/>
  <c r="CZ22" i="47"/>
  <c r="A21" i="46"/>
  <c r="CJ100" i="14"/>
  <c r="CS9" i="14"/>
  <c r="CA92" i="14"/>
  <c r="BG10" i="6"/>
  <c r="DL31" i="47" l="1"/>
  <c r="BT24" i="47"/>
  <c r="CZ23" i="47"/>
  <c r="A22" i="46"/>
  <c r="BM10" i="6"/>
  <c r="I5" i="5"/>
  <c r="I21" i="5" s="1"/>
  <c r="CZ24" i="47" l="1"/>
  <c r="BT25" i="47"/>
  <c r="DL32" i="47"/>
  <c r="A23" i="46"/>
  <c r="BM13" i="6"/>
  <c r="BF8" i="6"/>
  <c r="BF5" i="6"/>
  <c r="DL33" i="47" l="1"/>
  <c r="BT26" i="47"/>
  <c r="CZ25" i="47"/>
  <c r="A24" i="46"/>
  <c r="BT27" i="47" l="1"/>
  <c r="CZ26" i="47"/>
  <c r="DL34" i="47"/>
  <c r="A25" i="46"/>
  <c r="CL11" i="14"/>
  <c r="CL12" i="14" s="1"/>
  <c r="CL13" i="14" s="1"/>
  <c r="CL14" i="14" s="1"/>
  <c r="CL15" i="14" s="1"/>
  <c r="CL16" i="14" s="1"/>
  <c r="CL17" i="14" s="1"/>
  <c r="CL18" i="14" s="1"/>
  <c r="CL19" i="14" s="1"/>
  <c r="CL20" i="14" s="1"/>
  <c r="CL21" i="14" s="1"/>
  <c r="CL22" i="14" s="1"/>
  <c r="CL23" i="14" s="1"/>
  <c r="CL24" i="14" s="1"/>
  <c r="CL25" i="14" s="1"/>
  <c r="CL26" i="14" s="1"/>
  <c r="CL27" i="14" s="1"/>
  <c r="CL28" i="14" s="1"/>
  <c r="CL29" i="14" s="1"/>
  <c r="CL30" i="14" s="1"/>
  <c r="CL31" i="14" s="1"/>
  <c r="CL32" i="14" s="1"/>
  <c r="CL33" i="14" s="1"/>
  <c r="CL34" i="14" s="1"/>
  <c r="CL35" i="14" s="1"/>
  <c r="CL36" i="14" s="1"/>
  <c r="CL37" i="14" s="1"/>
  <c r="CL38" i="14" s="1"/>
  <c r="CL39" i="14" s="1"/>
  <c r="CL40" i="14" s="1"/>
  <c r="CL41" i="14" s="1"/>
  <c r="CL42" i="14" s="1"/>
  <c r="CL43" i="14" s="1"/>
  <c r="CL44" i="14" s="1"/>
  <c r="CL45" i="14" s="1"/>
  <c r="CL46" i="14" s="1"/>
  <c r="CL47" i="14" s="1"/>
  <c r="CL48" i="14" s="1"/>
  <c r="CL49" i="14" s="1"/>
  <c r="CL50" i="14" s="1"/>
  <c r="CL51" i="14" s="1"/>
  <c r="CL52" i="14" s="1"/>
  <c r="CL53" i="14" s="1"/>
  <c r="CL54" i="14" s="1"/>
  <c r="CL55" i="14" s="1"/>
  <c r="CL56" i="14" s="1"/>
  <c r="CL57" i="14" s="1"/>
  <c r="CL58" i="14" s="1"/>
  <c r="CL59" i="14" s="1"/>
  <c r="CL60" i="14" s="1"/>
  <c r="CL61" i="14" s="1"/>
  <c r="CL62" i="14" s="1"/>
  <c r="CL63" i="14" s="1"/>
  <c r="CL64" i="14" s="1"/>
  <c r="CL65" i="14" s="1"/>
  <c r="CL66" i="14" s="1"/>
  <c r="CL67" i="14" s="1"/>
  <c r="CL68" i="14" s="1"/>
  <c r="CL69" i="14" s="1"/>
  <c r="CL70" i="14" s="1"/>
  <c r="CL71" i="14" s="1"/>
  <c r="CL72" i="14" s="1"/>
  <c r="CL73" i="14" s="1"/>
  <c r="CL74" i="14" s="1"/>
  <c r="CL75" i="14" s="1"/>
  <c r="CL76" i="14" s="1"/>
  <c r="CL77" i="14" s="1"/>
  <c r="CL78" i="14" s="1"/>
  <c r="CL79" i="14" s="1"/>
  <c r="CL80" i="14" s="1"/>
  <c r="CL81" i="14" s="1"/>
  <c r="CL82" i="14" s="1"/>
  <c r="CL83" i="14" s="1"/>
  <c r="CL84" i="14" s="1"/>
  <c r="CL85" i="14" s="1"/>
  <c r="CL86" i="14" s="1"/>
  <c r="CL87" i="14" s="1"/>
  <c r="CL88" i="14" s="1"/>
  <c r="CL89" i="14" s="1"/>
  <c r="CL90" i="14" s="1"/>
  <c r="DL35" i="47" l="1"/>
  <c r="BT28" i="47"/>
  <c r="CZ27" i="47"/>
  <c r="A26" i="46"/>
  <c r="J100" i="6"/>
  <c r="CZ28" i="47" l="1"/>
  <c r="DL36" i="47"/>
  <c r="BT29" i="47"/>
  <c r="A27" i="46"/>
  <c r="I26" i="46"/>
  <c r="CD20" i="47" s="1"/>
  <c r="G26" i="46"/>
  <c r="CC29" i="47" s="1"/>
  <c r="I19" i="46"/>
  <c r="CD13" i="47" s="1"/>
  <c r="I23" i="46"/>
  <c r="CD17" i="47" s="1"/>
  <c r="G20" i="46"/>
  <c r="CC23" i="47" s="1"/>
  <c r="G21" i="46"/>
  <c r="CC24" i="47" s="1"/>
  <c r="G23" i="46"/>
  <c r="CC26" i="47" s="1"/>
  <c r="I20" i="46"/>
  <c r="CD14" i="47" s="1"/>
  <c r="I24" i="46"/>
  <c r="CD18" i="47" s="1"/>
  <c r="G24" i="46"/>
  <c r="CC27" i="47" s="1"/>
  <c r="G22" i="46"/>
  <c r="CC25" i="47" s="1"/>
  <c r="G25" i="46"/>
  <c r="CC28" i="47" s="1"/>
  <c r="I25" i="46"/>
  <c r="CD19" i="47" s="1"/>
  <c r="K10" i="6"/>
  <c r="DU36" i="47" l="1"/>
  <c r="DI28" i="47"/>
  <c r="CO29" i="47"/>
  <c r="DV25" i="47"/>
  <c r="CP18" i="47"/>
  <c r="DJ17" i="47"/>
  <c r="DU33" i="47"/>
  <c r="DI25" i="47"/>
  <c r="CO26" i="47"/>
  <c r="CO27" i="47"/>
  <c r="DU34" i="47"/>
  <c r="DI26" i="47"/>
  <c r="DV21" i="47"/>
  <c r="DJ13" i="47"/>
  <c r="CP14" i="47"/>
  <c r="CO28" i="47"/>
  <c r="DI27" i="47"/>
  <c r="DU35" i="47"/>
  <c r="DI24" i="47"/>
  <c r="DU32" i="47"/>
  <c r="CO25" i="47"/>
  <c r="DU37" i="47"/>
  <c r="DI29" i="47"/>
  <c r="CO30" i="47"/>
  <c r="DV22" i="47"/>
  <c r="DJ14" i="47"/>
  <c r="CP20" i="47"/>
  <c r="DV27" i="47"/>
  <c r="DJ19" i="47"/>
  <c r="DJ18" i="47"/>
  <c r="CP19" i="47"/>
  <c r="DV26" i="47"/>
  <c r="CO24" i="47"/>
  <c r="DU31" i="47"/>
  <c r="DI23" i="47"/>
  <c r="DV28" i="47"/>
  <c r="DJ20" i="47"/>
  <c r="CP21" i="47"/>
  <c r="BT30" i="47"/>
  <c r="CZ29" i="47"/>
  <c r="DL37" i="47"/>
  <c r="A28" i="46"/>
  <c r="I18" i="46"/>
  <c r="CD12" i="47" s="1"/>
  <c r="G18" i="46"/>
  <c r="CC21" i="47" s="1"/>
  <c r="E18" i="46"/>
  <c r="CB12" i="47" s="1"/>
  <c r="I21" i="46"/>
  <c r="CD15" i="47" s="1"/>
  <c r="CP15" i="47" s="1"/>
  <c r="G19" i="46"/>
  <c r="CC22" i="47" s="1"/>
  <c r="I22" i="46"/>
  <c r="CD16" i="47" s="1"/>
  <c r="DD9" i="14"/>
  <c r="DD10" i="14" s="1"/>
  <c r="DD11" i="14" s="1"/>
  <c r="DD12" i="14" s="1"/>
  <c r="DD13" i="14" s="1"/>
  <c r="DD14" i="14" s="1"/>
  <c r="DU29" i="47" l="1"/>
  <c r="DI21" i="47"/>
  <c r="CO22" i="47"/>
  <c r="CO99" i="47"/>
  <c r="CO21" i="47"/>
  <c r="CO94" i="47"/>
  <c r="CC94" i="47"/>
  <c r="CP12" i="47"/>
  <c r="CP13" i="47"/>
  <c r="CD94" i="47"/>
  <c r="DV20" i="47"/>
  <c r="DJ12" i="47"/>
  <c r="DH12" i="47"/>
  <c r="DT20" i="47"/>
  <c r="CN12" i="47"/>
  <c r="DV24" i="47"/>
  <c r="DJ16" i="47"/>
  <c r="CP17" i="47"/>
  <c r="DU30" i="47"/>
  <c r="CO23" i="47"/>
  <c r="DI22" i="47"/>
  <c r="CP16" i="47"/>
  <c r="DV23" i="47"/>
  <c r="DJ15" i="47"/>
  <c r="BT31" i="47"/>
  <c r="DL38" i="47"/>
  <c r="CZ30" i="47"/>
  <c r="A29" i="46"/>
  <c r="C27" i="46"/>
  <c r="CA21" i="47" s="1"/>
  <c r="C24" i="46"/>
  <c r="CA18" i="47" s="1"/>
  <c r="C18" i="46"/>
  <c r="CA12" i="47" s="1"/>
  <c r="C25" i="46"/>
  <c r="CA19" i="47" s="1"/>
  <c r="C19" i="46"/>
  <c r="CA13" i="47" s="1"/>
  <c r="C22" i="46"/>
  <c r="CA16" i="47" s="1"/>
  <c r="C26" i="46"/>
  <c r="CA20" i="47" s="1"/>
  <c r="C20" i="46"/>
  <c r="CA14" i="47" s="1"/>
  <c r="C21" i="46"/>
  <c r="CA15" i="47" s="1"/>
  <c r="C23" i="46"/>
  <c r="CA17" i="47" s="1"/>
  <c r="E27" i="46"/>
  <c r="CB21" i="47" s="1"/>
  <c r="E23" i="46"/>
  <c r="CB17" i="47" s="1"/>
  <c r="E22" i="46"/>
  <c r="CB16" i="47" s="1"/>
  <c r="E26" i="46"/>
  <c r="CB20" i="47" s="1"/>
  <c r="E25" i="46"/>
  <c r="CB19" i="47" s="1"/>
  <c r="E19" i="46"/>
  <c r="CB13" i="47" s="1"/>
  <c r="E20" i="46"/>
  <c r="CB14" i="47" s="1"/>
  <c r="E21" i="46"/>
  <c r="CB15" i="47" s="1"/>
  <c r="E24" i="46"/>
  <c r="CB18" i="47" s="1"/>
  <c r="CE95" i="14"/>
  <c r="CF95" i="14" s="1"/>
  <c r="CG95" i="14" s="1"/>
  <c r="CB94" i="47" l="1"/>
  <c r="CN20" i="47"/>
  <c r="DT27" i="47"/>
  <c r="DH19" i="47"/>
  <c r="DS28" i="47"/>
  <c r="DG20" i="47"/>
  <c r="CM21" i="47"/>
  <c r="DT28" i="47"/>
  <c r="CN21" i="47"/>
  <c r="DH20" i="47"/>
  <c r="DS24" i="47"/>
  <c r="DG16" i="47"/>
  <c r="CM17" i="47"/>
  <c r="DT22" i="47"/>
  <c r="DH14" i="47"/>
  <c r="CN15" i="47"/>
  <c r="CN17" i="47"/>
  <c r="DH16" i="47"/>
  <c r="DT24" i="47"/>
  <c r="DS23" i="47"/>
  <c r="DG15" i="47"/>
  <c r="CM16" i="47"/>
  <c r="DS21" i="47"/>
  <c r="DG13" i="47"/>
  <c r="CM14" i="47"/>
  <c r="DG21" i="47"/>
  <c r="CM99" i="47"/>
  <c r="DS29" i="47"/>
  <c r="CM94" i="47"/>
  <c r="DH18" i="47"/>
  <c r="CN19" i="47"/>
  <c r="DT26" i="47"/>
  <c r="DH21" i="47"/>
  <c r="CN99" i="47"/>
  <c r="DT29" i="47"/>
  <c r="CN94" i="47"/>
  <c r="DS20" i="47"/>
  <c r="DG12" i="47"/>
  <c r="CM13" i="47"/>
  <c r="CM12" i="47"/>
  <c r="CA94" i="47"/>
  <c r="DT23" i="47"/>
  <c r="DH15" i="47"/>
  <c r="CN16" i="47"/>
  <c r="CM18" i="47"/>
  <c r="DS25" i="47"/>
  <c r="DG17" i="47"/>
  <c r="DG18" i="47"/>
  <c r="DS26" i="47"/>
  <c r="CM19" i="47"/>
  <c r="DH13" i="47"/>
  <c r="DT21" i="47"/>
  <c r="CN14" i="47"/>
  <c r="DT25" i="47"/>
  <c r="DH17" i="47"/>
  <c r="CN18" i="47"/>
  <c r="CM15" i="47"/>
  <c r="DG14" i="47"/>
  <c r="DS22" i="47"/>
  <c r="DS27" i="47"/>
  <c r="CM20" i="47"/>
  <c r="DG19" i="47"/>
  <c r="CN13" i="47"/>
  <c r="DL39" i="47"/>
  <c r="BT32" i="47"/>
  <c r="CZ31" i="47"/>
  <c r="A30" i="46"/>
  <c r="CJ95" i="14"/>
  <c r="CH95" i="14"/>
  <c r="CI95" i="14" s="1"/>
  <c r="CJ103" i="14"/>
  <c r="DK8" i="14"/>
  <c r="DF8" i="14"/>
  <c r="DG8" i="14"/>
  <c r="DH8" i="14"/>
  <c r="DE8" i="14"/>
  <c r="CE103" i="14"/>
  <c r="CD103" i="14"/>
  <c r="CF103" i="14"/>
  <c r="CG103" i="14"/>
  <c r="Q14" i="6"/>
  <c r="Z14" i="6" s="1"/>
  <c r="AI14" i="6" s="1"/>
  <c r="DF7" i="14"/>
  <c r="DG7" i="14"/>
  <c r="DH7" i="14"/>
  <c r="DE7" i="14"/>
  <c r="DD17" i="14"/>
  <c r="CZ32" i="47" l="1"/>
  <c r="DL40" i="47"/>
  <c r="BT33" i="47"/>
  <c r="A31" i="46"/>
  <c r="BJ14" i="6"/>
  <c r="AR14" i="6"/>
  <c r="BA14" i="6" s="1"/>
  <c r="BV7" i="14"/>
  <c r="CW7" i="14" s="1"/>
  <c r="BW7" i="14"/>
  <c r="BX7" i="14"/>
  <c r="CY7" i="14" s="1"/>
  <c r="BU7" i="14"/>
  <c r="CV7" i="14" s="1"/>
  <c r="DL41" i="47" l="1"/>
  <c r="BT34" i="47"/>
  <c r="CZ33" i="47"/>
  <c r="A32" i="46"/>
  <c r="CE8" i="14"/>
  <c r="CN8" i="14" s="1"/>
  <c r="CD8" i="14"/>
  <c r="CM8" i="14" s="1"/>
  <c r="CX7" i="14"/>
  <c r="CF8" i="14"/>
  <c r="CO8" i="14" s="1"/>
  <c r="CG8" i="14"/>
  <c r="CP8" i="14" s="1"/>
  <c r="BT35" i="47" l="1"/>
  <c r="DL42" i="47"/>
  <c r="CZ34" i="47"/>
  <c r="A33" i="46"/>
  <c r="N98" i="6"/>
  <c r="W98" i="6" s="1"/>
  <c r="AF98" i="6" s="1"/>
  <c r="V9" i="6"/>
  <c r="AE9" i="6" s="1"/>
  <c r="AN9" i="6" s="1"/>
  <c r="K9" i="6"/>
  <c r="BG100" i="6" l="1"/>
  <c r="AO98" i="6"/>
  <c r="AX98" i="6" s="1"/>
  <c r="DL43" i="47"/>
  <c r="BT36" i="47"/>
  <c r="CZ35" i="47"/>
  <c r="A34" i="46"/>
  <c r="DD15" i="14"/>
  <c r="CZ36" i="47" l="1"/>
  <c r="DL44" i="47"/>
  <c r="BT37" i="47"/>
  <c r="A35" i="46"/>
  <c r="DD16" i="14"/>
  <c r="AL13" i="6"/>
  <c r="AC13" i="6"/>
  <c r="BD13" i="6" s="1"/>
  <c r="A16" i="6"/>
  <c r="A17" i="6" s="1"/>
  <c r="DL45" i="47" l="1"/>
  <c r="BT38" i="47"/>
  <c r="CZ37" i="47"/>
  <c r="A36" i="46"/>
  <c r="A18" i="6"/>
  <c r="CU9" i="14"/>
  <c r="CW8" i="14"/>
  <c r="CX8" i="14"/>
  <c r="CY8" i="14"/>
  <c r="CV8" i="14"/>
  <c r="DL46" i="47" l="1"/>
  <c r="CZ38" i="47"/>
  <c r="BT39" i="47"/>
  <c r="I36" i="46"/>
  <c r="CD30" i="47" s="1"/>
  <c r="A37" i="46"/>
  <c r="G31" i="46"/>
  <c r="CC34" i="47" s="1"/>
  <c r="I32" i="46"/>
  <c r="CD26" i="47" s="1"/>
  <c r="I30" i="46"/>
  <c r="CD24" i="47" s="1"/>
  <c r="G28" i="46"/>
  <c r="CC31" i="47" s="1"/>
  <c r="I34" i="46"/>
  <c r="CD28" i="47" s="1"/>
  <c r="I29" i="46"/>
  <c r="CD23" i="47" s="1"/>
  <c r="G34" i="46"/>
  <c r="CC37" i="47" s="1"/>
  <c r="I31" i="46"/>
  <c r="CD25" i="47" s="1"/>
  <c r="G32" i="46"/>
  <c r="CC35" i="47" s="1"/>
  <c r="I33" i="46"/>
  <c r="CD27" i="47" s="1"/>
  <c r="G35" i="46"/>
  <c r="CC38" i="47" s="1"/>
  <c r="G29" i="46"/>
  <c r="CC32" i="47" s="1"/>
  <c r="G30" i="46"/>
  <c r="CC33" i="47" s="1"/>
  <c r="I35" i="46"/>
  <c r="CD29" i="47" s="1"/>
  <c r="A19" i="6"/>
  <c r="DI38" i="47" l="1"/>
  <c r="DU46" i="47"/>
  <c r="DV38" i="47"/>
  <c r="DJ30" i="47"/>
  <c r="CP31" i="47"/>
  <c r="DJ27" i="47"/>
  <c r="CP28" i="47"/>
  <c r="DV35" i="47"/>
  <c r="DJ23" i="47"/>
  <c r="CP24" i="47"/>
  <c r="DV31" i="47"/>
  <c r="DU41" i="47"/>
  <c r="DI33" i="47"/>
  <c r="CO34" i="47"/>
  <c r="DI35" i="47"/>
  <c r="DU43" i="47"/>
  <c r="DU42" i="47"/>
  <c r="DI34" i="47"/>
  <c r="CO35" i="47"/>
  <c r="DI37" i="47"/>
  <c r="DU45" i="47"/>
  <c r="CO38" i="47"/>
  <c r="DV32" i="47"/>
  <c r="DJ24" i="47"/>
  <c r="CP25" i="47"/>
  <c r="DV37" i="47"/>
  <c r="DJ29" i="47"/>
  <c r="CP30" i="47"/>
  <c r="DJ26" i="47"/>
  <c r="DV34" i="47"/>
  <c r="CP27" i="47"/>
  <c r="CP29" i="47"/>
  <c r="DV36" i="47"/>
  <c r="DJ28" i="47"/>
  <c r="DI32" i="47"/>
  <c r="CO33" i="47"/>
  <c r="DU40" i="47"/>
  <c r="DV33" i="47"/>
  <c r="DJ25" i="47"/>
  <c r="CP26" i="47"/>
  <c r="CO32" i="47"/>
  <c r="DU39" i="47"/>
  <c r="CO31" i="47"/>
  <c r="DI31" i="47"/>
  <c r="DL47" i="47"/>
  <c r="CZ39" i="47"/>
  <c r="BT40" i="47"/>
  <c r="A38" i="46"/>
  <c r="I28" i="46"/>
  <c r="CD22" i="47" s="1"/>
  <c r="C28" i="46"/>
  <c r="CA22" i="47" s="1"/>
  <c r="G33" i="46"/>
  <c r="CC36" i="47" s="1"/>
  <c r="G36" i="46"/>
  <c r="CC39" i="47" s="1"/>
  <c r="A20" i="6"/>
  <c r="C19" i="5"/>
  <c r="DU44" i="47" l="1"/>
  <c r="DI36" i="47"/>
  <c r="CO37" i="47"/>
  <c r="DG22" i="47"/>
  <c r="DS30" i="47"/>
  <c r="CM22" i="47"/>
  <c r="DJ22" i="47"/>
  <c r="DV30" i="47"/>
  <c r="CP22" i="47"/>
  <c r="CP23" i="47"/>
  <c r="CO36" i="47"/>
  <c r="DI39" i="47"/>
  <c r="CO40" i="47"/>
  <c r="DU47" i="47"/>
  <c r="CO39" i="47"/>
  <c r="DL48" i="47"/>
  <c r="BT41" i="47"/>
  <c r="CZ40" i="47"/>
  <c r="E37" i="46"/>
  <c r="CB31" i="47" s="1"/>
  <c r="E28" i="46"/>
  <c r="CB22" i="47" s="1"/>
  <c r="E30" i="46"/>
  <c r="CB24" i="47" s="1"/>
  <c r="E36" i="46"/>
  <c r="CB30" i="47" s="1"/>
  <c r="E34" i="46"/>
  <c r="CB28" i="47" s="1"/>
  <c r="E29" i="46"/>
  <c r="CB23" i="47" s="1"/>
  <c r="E32" i="46"/>
  <c r="CB26" i="47" s="1"/>
  <c r="E33" i="46"/>
  <c r="CB27" i="47" s="1"/>
  <c r="E31" i="46"/>
  <c r="CB25" i="47" s="1"/>
  <c r="E35" i="46"/>
  <c r="CB29" i="47" s="1"/>
  <c r="C37" i="46"/>
  <c r="CA31" i="47" s="1"/>
  <c r="C33" i="46"/>
  <c r="CA27" i="47" s="1"/>
  <c r="C30" i="46"/>
  <c r="CA24" i="47" s="1"/>
  <c r="C35" i="46"/>
  <c r="CA29" i="47" s="1"/>
  <c r="C34" i="46"/>
  <c r="CA28" i="47" s="1"/>
  <c r="C32" i="46"/>
  <c r="CA26" i="47" s="1"/>
  <c r="C36" i="46"/>
  <c r="CA30" i="47" s="1"/>
  <c r="C31" i="46"/>
  <c r="CA25" i="47" s="1"/>
  <c r="C29" i="46"/>
  <c r="CA23" i="47" s="1"/>
  <c r="A39" i="46"/>
  <c r="A21" i="6"/>
  <c r="DS38" i="47" l="1"/>
  <c r="DG30" i="47"/>
  <c r="CM31" i="47"/>
  <c r="DS32" i="47"/>
  <c r="DG24" i="47"/>
  <c r="CM25" i="47"/>
  <c r="DH25" i="47"/>
  <c r="CN26" i="47"/>
  <c r="DT33" i="47"/>
  <c r="CN29" i="47"/>
  <c r="DH28" i="47"/>
  <c r="DT36" i="47"/>
  <c r="DT39" i="47"/>
  <c r="DH31" i="47"/>
  <c r="CM27" i="47"/>
  <c r="DG26" i="47"/>
  <c r="DS34" i="47"/>
  <c r="DS35" i="47"/>
  <c r="DG27" i="47"/>
  <c r="CM28" i="47"/>
  <c r="DT35" i="47"/>
  <c r="DH27" i="47"/>
  <c r="CN28" i="47"/>
  <c r="DT38" i="47"/>
  <c r="DH30" i="47"/>
  <c r="CN31" i="47"/>
  <c r="DS31" i="47"/>
  <c r="DG23" i="47"/>
  <c r="CM24" i="47"/>
  <c r="DS36" i="47"/>
  <c r="DG28" i="47"/>
  <c r="CM29" i="47"/>
  <c r="DS39" i="47"/>
  <c r="DG31" i="47"/>
  <c r="DT34" i="47"/>
  <c r="DH26" i="47"/>
  <c r="CN27" i="47"/>
  <c r="CN25" i="47"/>
  <c r="DT32" i="47"/>
  <c r="DH24" i="47"/>
  <c r="CM26" i="47"/>
  <c r="DG25" i="47"/>
  <c r="DS33" i="47"/>
  <c r="CM30" i="47"/>
  <c r="DG29" i="47"/>
  <c r="DS37" i="47"/>
  <c r="CN30" i="47"/>
  <c r="DT37" i="47"/>
  <c r="DH29" i="47"/>
  <c r="DT31" i="47"/>
  <c r="DH23" i="47"/>
  <c r="CN24" i="47"/>
  <c r="DT30" i="47"/>
  <c r="DH22" i="47"/>
  <c r="CN23" i="47"/>
  <c r="CN22" i="47"/>
  <c r="CM23" i="47"/>
  <c r="DL49" i="47"/>
  <c r="CZ41" i="47"/>
  <c r="BT42" i="47"/>
  <c r="A40" i="46"/>
  <c r="A22" i="6"/>
  <c r="BT43" i="47" l="1"/>
  <c r="CZ42" i="47"/>
  <c r="DL50" i="47"/>
  <c r="A41" i="46"/>
  <c r="A23" i="6"/>
  <c r="DL51" i="47" l="1"/>
  <c r="BT44" i="47"/>
  <c r="CZ43" i="47"/>
  <c r="A42" i="46"/>
  <c r="A24" i="6"/>
  <c r="BT45" i="47" l="1"/>
  <c r="DL52" i="47"/>
  <c r="CZ44" i="47"/>
  <c r="A43" i="46"/>
  <c r="A25" i="6"/>
  <c r="DL53" i="47" l="1"/>
  <c r="BT46" i="47"/>
  <c r="CZ45" i="47"/>
  <c r="A44" i="46"/>
  <c r="A26" i="6"/>
  <c r="DL54" i="47" l="1"/>
  <c r="CZ46" i="47"/>
  <c r="BT47" i="47"/>
  <c r="A45" i="46"/>
  <c r="A27" i="6"/>
  <c r="DL55" i="47" l="1"/>
  <c r="BT48" i="47"/>
  <c r="CZ47" i="47"/>
  <c r="A46" i="46"/>
  <c r="A28" i="6"/>
  <c r="M3" i="14"/>
  <c r="L3" i="14"/>
  <c r="K3" i="14"/>
  <c r="J3" i="14"/>
  <c r="CD9" i="14"/>
  <c r="CM9" i="14" s="1"/>
  <c r="CE9" i="14"/>
  <c r="CN9" i="14" s="1"/>
  <c r="CF9" i="14"/>
  <c r="CO9" i="14" s="1"/>
  <c r="CG9" i="14"/>
  <c r="CP9" i="14" s="1"/>
  <c r="CC11" i="14"/>
  <c r="CC12" i="14" s="1"/>
  <c r="CC13" i="14" s="1"/>
  <c r="CC14" i="14" s="1"/>
  <c r="CC15" i="14" s="1"/>
  <c r="CC16" i="14" s="1"/>
  <c r="CC17" i="14" s="1"/>
  <c r="CC18" i="14" s="1"/>
  <c r="CC19" i="14" s="1"/>
  <c r="CC20" i="14" s="1"/>
  <c r="CC21" i="14" s="1"/>
  <c r="CC22" i="14" s="1"/>
  <c r="CC23" i="14" s="1"/>
  <c r="CC24" i="14" s="1"/>
  <c r="CC25" i="14" s="1"/>
  <c r="CC26" i="14" s="1"/>
  <c r="CC27" i="14" s="1"/>
  <c r="CC28" i="14" s="1"/>
  <c r="CC29" i="14" s="1"/>
  <c r="CC30" i="14" s="1"/>
  <c r="CC31" i="14" s="1"/>
  <c r="CC32" i="14" s="1"/>
  <c r="CC33" i="14" s="1"/>
  <c r="CC34" i="14" s="1"/>
  <c r="CC35" i="14" s="1"/>
  <c r="CC36" i="14" s="1"/>
  <c r="CC37" i="14" s="1"/>
  <c r="CC38" i="14" s="1"/>
  <c r="CC39" i="14" s="1"/>
  <c r="CC40" i="14" s="1"/>
  <c r="CC41" i="14" s="1"/>
  <c r="CC42" i="14" s="1"/>
  <c r="CC43" i="14" s="1"/>
  <c r="CC44" i="14" s="1"/>
  <c r="CC45" i="14" s="1"/>
  <c r="CC46" i="14" s="1"/>
  <c r="CC47" i="14" s="1"/>
  <c r="CC48" i="14" s="1"/>
  <c r="CC49" i="14" s="1"/>
  <c r="CC50" i="14" s="1"/>
  <c r="CC51" i="14" s="1"/>
  <c r="CC52" i="14" s="1"/>
  <c r="CC53" i="14" s="1"/>
  <c r="CC54" i="14" s="1"/>
  <c r="CC55" i="14" s="1"/>
  <c r="CC56" i="14" s="1"/>
  <c r="CC57" i="14" s="1"/>
  <c r="CC58" i="14" s="1"/>
  <c r="CC59" i="14" s="1"/>
  <c r="CC60" i="14" s="1"/>
  <c r="CC61" i="14" s="1"/>
  <c r="CC62" i="14" s="1"/>
  <c r="CC63" i="14" s="1"/>
  <c r="CC64" i="14" s="1"/>
  <c r="CC65" i="14" s="1"/>
  <c r="CC66" i="14" s="1"/>
  <c r="CC67" i="14" s="1"/>
  <c r="CC68" i="14" s="1"/>
  <c r="CC69" i="14" s="1"/>
  <c r="CC70" i="14" s="1"/>
  <c r="CC71" i="14" s="1"/>
  <c r="CC72" i="14" s="1"/>
  <c r="CC73" i="14" s="1"/>
  <c r="CC74" i="14" s="1"/>
  <c r="CC75" i="14" s="1"/>
  <c r="CC76" i="14" s="1"/>
  <c r="CC77" i="14" s="1"/>
  <c r="CC78" i="14" s="1"/>
  <c r="CC79" i="14" s="1"/>
  <c r="CC80" i="14" s="1"/>
  <c r="CC81" i="14" s="1"/>
  <c r="CC82" i="14" s="1"/>
  <c r="CC83" i="14" s="1"/>
  <c r="CC84" i="14" s="1"/>
  <c r="CC85" i="14" s="1"/>
  <c r="CC86" i="14" s="1"/>
  <c r="CC87" i="14" s="1"/>
  <c r="CC88" i="14" s="1"/>
  <c r="CC89" i="14" s="1"/>
  <c r="CC90" i="14" s="1"/>
  <c r="BT49" i="47" l="1"/>
  <c r="CZ48" i="47"/>
  <c r="DL56" i="47"/>
  <c r="A47" i="46"/>
  <c r="G42" i="46"/>
  <c r="CC45" i="47" s="1"/>
  <c r="CD92" i="14"/>
  <c r="CD100" i="14" s="1"/>
  <c r="CG92" i="14"/>
  <c r="CG100" i="14" s="1"/>
  <c r="CE92" i="14"/>
  <c r="CE100" i="14" s="1"/>
  <c r="CF92" i="14"/>
  <c r="CF100" i="14" s="1"/>
  <c r="A29" i="6"/>
  <c r="AA100" i="6"/>
  <c r="DU53" i="47" l="1"/>
  <c r="DI45" i="47"/>
  <c r="DL57" i="47"/>
  <c r="BT50" i="47"/>
  <c r="CZ49" i="47"/>
  <c r="A48" i="46"/>
  <c r="E38" i="46"/>
  <c r="CB32" i="47" s="1"/>
  <c r="I38" i="46"/>
  <c r="CD32" i="47" s="1"/>
  <c r="G39" i="46"/>
  <c r="CC42" i="47" s="1"/>
  <c r="E39" i="46"/>
  <c r="CB33" i="47" s="1"/>
  <c r="G41" i="46"/>
  <c r="CC44" i="47" s="1"/>
  <c r="I43" i="46"/>
  <c r="CD37" i="47" s="1"/>
  <c r="I39" i="46"/>
  <c r="CD33" i="47" s="1"/>
  <c r="G40" i="46"/>
  <c r="CC43" i="47" s="1"/>
  <c r="G38" i="46"/>
  <c r="CC41" i="47" s="1"/>
  <c r="I42" i="46"/>
  <c r="CD36" i="47" s="1"/>
  <c r="I41" i="46"/>
  <c r="CD35" i="47" s="1"/>
  <c r="G43" i="46"/>
  <c r="CC46" i="47" s="1"/>
  <c r="CO46" i="47" s="1"/>
  <c r="I40" i="46"/>
  <c r="CD34" i="47" s="1"/>
  <c r="G46" i="46"/>
  <c r="CC49" i="47" s="1"/>
  <c r="G44" i="46"/>
  <c r="CC47" i="47" s="1"/>
  <c r="I45" i="46"/>
  <c r="CD39" i="47" s="1"/>
  <c r="I44" i="46"/>
  <c r="CD38" i="47" s="1"/>
  <c r="I46" i="46"/>
  <c r="CD40" i="47" s="1"/>
  <c r="G45" i="46"/>
  <c r="CC48" i="47" s="1"/>
  <c r="BU92" i="14"/>
  <c r="BV92" i="14"/>
  <c r="BW92" i="14"/>
  <c r="BX92" i="14"/>
  <c r="A30" i="6"/>
  <c r="DI48" i="47" l="1"/>
  <c r="CO49" i="47"/>
  <c r="DU56" i="47"/>
  <c r="DU55" i="47"/>
  <c r="DI47" i="47"/>
  <c r="CO48" i="47"/>
  <c r="DJ35" i="47"/>
  <c r="CP36" i="47"/>
  <c r="DV43" i="47"/>
  <c r="DV41" i="47"/>
  <c r="DJ33" i="47"/>
  <c r="CP34" i="47"/>
  <c r="DI42" i="47"/>
  <c r="DU50" i="47"/>
  <c r="CO43" i="47"/>
  <c r="DV48" i="47"/>
  <c r="DJ40" i="47"/>
  <c r="CP41" i="47"/>
  <c r="DU57" i="47"/>
  <c r="DI49" i="47"/>
  <c r="CO50" i="47"/>
  <c r="DV44" i="47"/>
  <c r="CP37" i="47"/>
  <c r="DJ36" i="47"/>
  <c r="DV45" i="47"/>
  <c r="DJ37" i="47"/>
  <c r="CP38" i="47"/>
  <c r="CP32" i="47"/>
  <c r="DV40" i="47"/>
  <c r="DJ32" i="47"/>
  <c r="CP33" i="47"/>
  <c r="CD95" i="47"/>
  <c r="DV46" i="47"/>
  <c r="DJ38" i="47"/>
  <c r="CP39" i="47"/>
  <c r="DV42" i="47"/>
  <c r="DJ34" i="47"/>
  <c r="CP35" i="47"/>
  <c r="DU49" i="47"/>
  <c r="DI41" i="47"/>
  <c r="CO41" i="47"/>
  <c r="CO100" i="47"/>
  <c r="CO42" i="47"/>
  <c r="CO95" i="47"/>
  <c r="CC95" i="47"/>
  <c r="DU52" i="47"/>
  <c r="CO45" i="47"/>
  <c r="DI44" i="47"/>
  <c r="DT40" i="47"/>
  <c r="DH32" i="47"/>
  <c r="CN33" i="47"/>
  <c r="CN32" i="47"/>
  <c r="DJ39" i="47"/>
  <c r="CP40" i="47"/>
  <c r="DV47" i="47"/>
  <c r="DI46" i="47"/>
  <c r="CO47" i="47"/>
  <c r="DU54" i="47"/>
  <c r="DU51" i="47"/>
  <c r="DI43" i="47"/>
  <c r="CO44" i="47"/>
  <c r="DH33" i="47"/>
  <c r="DT41" i="47"/>
  <c r="BT51" i="47"/>
  <c r="CZ50" i="47"/>
  <c r="DL58" i="47"/>
  <c r="E47" i="46"/>
  <c r="CB41" i="47" s="1"/>
  <c r="E40" i="46"/>
  <c r="CB34" i="47" s="1"/>
  <c r="CN34" i="47" s="1"/>
  <c r="E45" i="46"/>
  <c r="CB39" i="47" s="1"/>
  <c r="E43" i="46"/>
  <c r="CB37" i="47" s="1"/>
  <c r="E41" i="46"/>
  <c r="CB35" i="47" s="1"/>
  <c r="E42" i="46"/>
  <c r="CB36" i="47" s="1"/>
  <c r="E44" i="46"/>
  <c r="CB38" i="47" s="1"/>
  <c r="E46" i="46"/>
  <c r="CB40" i="47" s="1"/>
  <c r="C47" i="46"/>
  <c r="CA41" i="47" s="1"/>
  <c r="C40" i="46"/>
  <c r="CA34" i="47" s="1"/>
  <c r="C39" i="46"/>
  <c r="CA33" i="47" s="1"/>
  <c r="C43" i="46"/>
  <c r="CA37" i="47" s="1"/>
  <c r="C42" i="46"/>
  <c r="CA36" i="47" s="1"/>
  <c r="C38" i="46"/>
  <c r="CA32" i="47" s="1"/>
  <c r="C45" i="46"/>
  <c r="CA39" i="47" s="1"/>
  <c r="C41" i="46"/>
  <c r="CA35" i="47" s="1"/>
  <c r="C44" i="46"/>
  <c r="CA38" i="47" s="1"/>
  <c r="C46" i="46"/>
  <c r="CA40" i="47" s="1"/>
  <c r="A49" i="46"/>
  <c r="A31" i="6"/>
  <c r="CM39" i="47" l="1"/>
  <c r="DS46" i="47"/>
  <c r="DG38" i="47"/>
  <c r="DS44" i="47"/>
  <c r="DG36" i="47"/>
  <c r="CM37" i="47"/>
  <c r="DS49" i="47"/>
  <c r="DG41" i="47"/>
  <c r="CM100" i="47"/>
  <c r="CM95" i="47"/>
  <c r="CN36" i="47"/>
  <c r="DT43" i="47"/>
  <c r="DH35" i="47"/>
  <c r="DT49" i="47"/>
  <c r="DH41" i="47"/>
  <c r="CN100" i="47"/>
  <c r="CN95" i="47"/>
  <c r="CB95" i="47"/>
  <c r="DS43" i="47"/>
  <c r="DG35" i="47"/>
  <c r="CM36" i="47"/>
  <c r="CM38" i="47"/>
  <c r="DS45" i="47"/>
  <c r="DG37" i="47"/>
  <c r="DH40" i="47"/>
  <c r="CN41" i="47"/>
  <c r="DT48" i="47"/>
  <c r="CN38" i="47"/>
  <c r="DH37" i="47"/>
  <c r="DT45" i="47"/>
  <c r="DS47" i="47"/>
  <c r="DG39" i="47"/>
  <c r="CM40" i="47"/>
  <c r="CM34" i="47"/>
  <c r="DS41" i="47"/>
  <c r="DG33" i="47"/>
  <c r="DT46" i="47"/>
  <c r="DH38" i="47"/>
  <c r="CN39" i="47"/>
  <c r="DT47" i="47"/>
  <c r="DH39" i="47"/>
  <c r="CN40" i="47"/>
  <c r="DS48" i="47"/>
  <c r="DG40" i="47"/>
  <c r="CM41" i="47"/>
  <c r="DG32" i="47"/>
  <c r="DS40" i="47"/>
  <c r="CM33" i="47"/>
  <c r="CA95" i="47"/>
  <c r="CM32" i="47"/>
  <c r="CM35" i="47"/>
  <c r="DG34" i="47"/>
  <c r="DS42" i="47"/>
  <c r="CN37" i="47"/>
  <c r="DH36" i="47"/>
  <c r="DT44" i="47"/>
  <c r="DH34" i="47"/>
  <c r="CN35" i="47"/>
  <c r="DT42" i="47"/>
  <c r="DL59" i="47"/>
  <c r="CZ51" i="47"/>
  <c r="BT52" i="47"/>
  <c r="A50" i="46"/>
  <c r="A32" i="6"/>
  <c r="BT53" i="47" l="1"/>
  <c r="DL60" i="47"/>
  <c r="CZ52" i="47"/>
  <c r="A51" i="46"/>
  <c r="A33" i="6"/>
  <c r="DL61" i="47" l="1"/>
  <c r="BT54" i="47"/>
  <c r="CZ53" i="47"/>
  <c r="A52" i="46"/>
  <c r="A34" i="6"/>
  <c r="E21" i="5"/>
  <c r="CZ54" i="47" l="1"/>
  <c r="DL62" i="47"/>
  <c r="BT55" i="47"/>
  <c r="A53" i="46"/>
  <c r="A35" i="6"/>
  <c r="AE8" i="6"/>
  <c r="AE7" i="6"/>
  <c r="AE6" i="6"/>
  <c r="AE5" i="6"/>
  <c r="AL9" i="6"/>
  <c r="AL10" i="6"/>
  <c r="M8" i="6"/>
  <c r="M7" i="6"/>
  <c r="M6" i="6"/>
  <c r="M5" i="6"/>
  <c r="T7" i="6"/>
  <c r="T9" i="6"/>
  <c r="O16" i="6" s="1"/>
  <c r="T10" i="6"/>
  <c r="V8" i="6"/>
  <c r="V7" i="6"/>
  <c r="V6" i="6"/>
  <c r="V5" i="6"/>
  <c r="E8" i="6"/>
  <c r="E7" i="6"/>
  <c r="E6" i="6"/>
  <c r="E5" i="6"/>
  <c r="K7" i="6"/>
  <c r="DL63" i="47" l="1"/>
  <c r="BT56" i="47"/>
  <c r="CZ55" i="47"/>
  <c r="A54" i="46"/>
  <c r="A36" i="6"/>
  <c r="O17" i="6"/>
  <c r="O18" i="6" s="1"/>
  <c r="O19" i="6" s="1"/>
  <c r="O20" i="6" s="1"/>
  <c r="O21" i="6" s="1"/>
  <c r="O22" i="6" s="1"/>
  <c r="O23" i="6" s="1"/>
  <c r="O24" i="6" s="1"/>
  <c r="O25" i="6" s="1"/>
  <c r="O26" i="6" s="1"/>
  <c r="O27" i="6" s="1"/>
  <c r="O28" i="6" s="1"/>
  <c r="O29" i="6" s="1"/>
  <c r="O30" i="6" s="1"/>
  <c r="O31" i="6" s="1"/>
  <c r="O32" i="6" s="1"/>
  <c r="O33" i="6" s="1"/>
  <c r="O34" i="6" s="1"/>
  <c r="O35" i="6" s="1"/>
  <c r="O36" i="6" s="1"/>
  <c r="O37" i="6" s="1"/>
  <c r="O38" i="6" s="1"/>
  <c r="O39" i="6" s="1"/>
  <c r="O40" i="6" s="1"/>
  <c r="O41" i="6" s="1"/>
  <c r="O42" i="6" s="1"/>
  <c r="O43" i="6" s="1"/>
  <c r="O44" i="6" s="1"/>
  <c r="O45" i="6" s="1"/>
  <c r="O46" i="6" s="1"/>
  <c r="O47" i="6" s="1"/>
  <c r="O48" i="6" s="1"/>
  <c r="O49" i="6" s="1"/>
  <c r="O50" i="6" s="1"/>
  <c r="O51" i="6" s="1"/>
  <c r="O52" i="6" s="1"/>
  <c r="O53" i="6" s="1"/>
  <c r="O54" i="6" s="1"/>
  <c r="O55" i="6" s="1"/>
  <c r="O56" i="6" s="1"/>
  <c r="O57" i="6" s="1"/>
  <c r="O58" i="6" s="1"/>
  <c r="O59" i="6" s="1"/>
  <c r="O60" i="6" s="1"/>
  <c r="O61" i="6" s="1"/>
  <c r="O62" i="6" s="1"/>
  <c r="O63" i="6" s="1"/>
  <c r="O64" i="6" s="1"/>
  <c r="O65" i="6" s="1"/>
  <c r="O66" i="6" s="1"/>
  <c r="O67" i="6" s="1"/>
  <c r="O68" i="6" s="1"/>
  <c r="O69" i="6" s="1"/>
  <c r="O70" i="6" s="1"/>
  <c r="O71" i="6" s="1"/>
  <c r="O72" i="6" s="1"/>
  <c r="O73" i="6" s="1"/>
  <c r="O74" i="6" s="1"/>
  <c r="O75" i="6" s="1"/>
  <c r="O76" i="6" s="1"/>
  <c r="O77" i="6" s="1"/>
  <c r="O78" i="6" s="1"/>
  <c r="O79" i="6" s="1"/>
  <c r="O80" i="6" s="1"/>
  <c r="O81" i="6" s="1"/>
  <c r="O82" i="6" s="1"/>
  <c r="O83" i="6" s="1"/>
  <c r="O84" i="6" s="1"/>
  <c r="O85" i="6" s="1"/>
  <c r="O86" i="6" s="1"/>
  <c r="O87" i="6" s="1"/>
  <c r="O88" i="6" s="1"/>
  <c r="O89" i="6" s="1"/>
  <c r="O90" i="6" s="1"/>
  <c r="O91" i="6" s="1"/>
  <c r="O92" i="6" s="1"/>
  <c r="O93" i="6" s="1"/>
  <c r="O94" i="6" s="1"/>
  <c r="O95" i="6" s="1"/>
  <c r="O96" i="6" s="1"/>
  <c r="AG16" i="6"/>
  <c r="BT57" i="47" l="1"/>
  <c r="CZ56" i="47"/>
  <c r="DL64" i="47"/>
  <c r="A55" i="46"/>
  <c r="A37" i="6"/>
  <c r="DL65" i="47" l="1"/>
  <c r="BT58" i="47"/>
  <c r="CZ57" i="47"/>
  <c r="A56" i="46"/>
  <c r="A38" i="6"/>
  <c r="CZ58" i="47" l="1"/>
  <c r="DL66" i="47"/>
  <c r="BT59" i="47"/>
  <c r="I54" i="46"/>
  <c r="CD48" i="47" s="1"/>
  <c r="I55" i="46"/>
  <c r="CD49" i="47" s="1"/>
  <c r="G55" i="46"/>
  <c r="CC58" i="47" s="1"/>
  <c r="A57" i="46"/>
  <c r="I56" i="46"/>
  <c r="CD50" i="47" s="1"/>
  <c r="G56" i="46"/>
  <c r="CC59" i="47" s="1"/>
  <c r="G52" i="46"/>
  <c r="CC55" i="47" s="1"/>
  <c r="G50" i="46"/>
  <c r="CC53" i="47" s="1"/>
  <c r="I52" i="46"/>
  <c r="CD46" i="47" s="1"/>
  <c r="G53" i="46"/>
  <c r="CC56" i="47" s="1"/>
  <c r="I50" i="46"/>
  <c r="CD44" i="47" s="1"/>
  <c r="G49" i="46"/>
  <c r="CC52" i="47" s="1"/>
  <c r="I51" i="46"/>
  <c r="CD45" i="47" s="1"/>
  <c r="A39" i="6"/>
  <c r="DV53" i="47" l="1"/>
  <c r="DJ45" i="47"/>
  <c r="CP46" i="47"/>
  <c r="DV54" i="47"/>
  <c r="DJ46" i="47"/>
  <c r="CP47" i="47"/>
  <c r="CP51" i="47"/>
  <c r="DV58" i="47"/>
  <c r="DJ50" i="47"/>
  <c r="DJ48" i="47"/>
  <c r="DV56" i="47"/>
  <c r="CP49" i="47"/>
  <c r="DU60" i="47"/>
  <c r="CO53" i="47"/>
  <c r="DI52" i="47"/>
  <c r="DU61" i="47"/>
  <c r="DI53" i="47"/>
  <c r="CP45" i="47"/>
  <c r="DV52" i="47"/>
  <c r="DJ44" i="47"/>
  <c r="CO56" i="47"/>
  <c r="DU63" i="47"/>
  <c r="DI55" i="47"/>
  <c r="CO59" i="47"/>
  <c r="DU66" i="47"/>
  <c r="DI58" i="47"/>
  <c r="DI56" i="47"/>
  <c r="DU64" i="47"/>
  <c r="CO60" i="47"/>
  <c r="DI59" i="47"/>
  <c r="DU67" i="47"/>
  <c r="CP50" i="47"/>
  <c r="DV57" i="47"/>
  <c r="DJ49" i="47"/>
  <c r="BT60" i="47"/>
  <c r="CZ59" i="47"/>
  <c r="DL67" i="47"/>
  <c r="E49" i="46"/>
  <c r="CB43" i="47" s="1"/>
  <c r="A58" i="46"/>
  <c r="I48" i="46"/>
  <c r="CD42" i="47" s="1"/>
  <c r="I49" i="46"/>
  <c r="CD43" i="47" s="1"/>
  <c r="G48" i="46"/>
  <c r="CC51" i="47" s="1"/>
  <c r="C49" i="46"/>
  <c r="CA43" i="47" s="1"/>
  <c r="E48" i="46"/>
  <c r="CB42" i="47" s="1"/>
  <c r="G51" i="46"/>
  <c r="CC54" i="47" s="1"/>
  <c r="CO54" i="47" s="1"/>
  <c r="G54" i="46"/>
  <c r="CC57" i="47" s="1"/>
  <c r="I53" i="46"/>
  <c r="CD47" i="47" s="1"/>
  <c r="A40" i="6"/>
  <c r="DT51" i="47" l="1"/>
  <c r="DH43" i="47"/>
  <c r="DT50" i="47"/>
  <c r="DH42" i="47"/>
  <c r="CN43" i="47"/>
  <c r="CN42" i="47"/>
  <c r="DJ43" i="47"/>
  <c r="CP44" i="47"/>
  <c r="DV51" i="47"/>
  <c r="CP48" i="47"/>
  <c r="DV55" i="47"/>
  <c r="DJ47" i="47"/>
  <c r="DS51" i="47"/>
  <c r="DG43" i="47"/>
  <c r="CP43" i="47"/>
  <c r="DJ42" i="47"/>
  <c r="DV50" i="47"/>
  <c r="CP42" i="47"/>
  <c r="DU65" i="47"/>
  <c r="DI57" i="47"/>
  <c r="CO58" i="47"/>
  <c r="CO57" i="47"/>
  <c r="DU62" i="47"/>
  <c r="DI54" i="47"/>
  <c r="CO55" i="47"/>
  <c r="CO52" i="47"/>
  <c r="DU59" i="47"/>
  <c r="CO51" i="47"/>
  <c r="DI51" i="47"/>
  <c r="BT61" i="47"/>
  <c r="DL68" i="47"/>
  <c r="CZ60" i="47"/>
  <c r="A59" i="46"/>
  <c r="C57" i="46"/>
  <c r="CA51" i="47" s="1"/>
  <c r="C52" i="46"/>
  <c r="CA46" i="47" s="1"/>
  <c r="C54" i="46"/>
  <c r="CA48" i="47" s="1"/>
  <c r="C56" i="46"/>
  <c r="CA50" i="47" s="1"/>
  <c r="C55" i="46"/>
  <c r="CA49" i="47" s="1"/>
  <c r="C51" i="46"/>
  <c r="CA45" i="47" s="1"/>
  <c r="C50" i="46"/>
  <c r="CA44" i="47" s="1"/>
  <c r="CM44" i="47" s="1"/>
  <c r="C48" i="46"/>
  <c r="CA42" i="47" s="1"/>
  <c r="C53" i="46"/>
  <c r="CA47" i="47" s="1"/>
  <c r="E57" i="46"/>
  <c r="CB51" i="47" s="1"/>
  <c r="E52" i="46"/>
  <c r="CB46" i="47" s="1"/>
  <c r="E55" i="46"/>
  <c r="CB49" i="47" s="1"/>
  <c r="E56" i="46"/>
  <c r="CB50" i="47" s="1"/>
  <c r="E51" i="46"/>
  <c r="CB45" i="47" s="1"/>
  <c r="E54" i="46"/>
  <c r="CB48" i="47" s="1"/>
  <c r="E50" i="46"/>
  <c r="CB44" i="47" s="1"/>
  <c r="E53" i="46"/>
  <c r="CB47" i="47" s="1"/>
  <c r="A41" i="6"/>
  <c r="DT55" i="47" l="1"/>
  <c r="DH47" i="47"/>
  <c r="CN48" i="47"/>
  <c r="CN51" i="47"/>
  <c r="DT58" i="47"/>
  <c r="DH50" i="47"/>
  <c r="DS55" i="47"/>
  <c r="DG47" i="47"/>
  <c r="CM48" i="47"/>
  <c r="DG49" i="47"/>
  <c r="CM50" i="47"/>
  <c r="DS57" i="47"/>
  <c r="DG51" i="47"/>
  <c r="CM52" i="47"/>
  <c r="DS59" i="47"/>
  <c r="DT52" i="47"/>
  <c r="DH44" i="47"/>
  <c r="CN45" i="47"/>
  <c r="DH49" i="47"/>
  <c r="CN50" i="47"/>
  <c r="DT57" i="47"/>
  <c r="DS50" i="47"/>
  <c r="DG42" i="47"/>
  <c r="CM43" i="47"/>
  <c r="CM42" i="47"/>
  <c r="DS58" i="47"/>
  <c r="CM51" i="47"/>
  <c r="DG50" i="47"/>
  <c r="CN44" i="47"/>
  <c r="DH48" i="47"/>
  <c r="CN49" i="47"/>
  <c r="DT56" i="47"/>
  <c r="DT54" i="47"/>
  <c r="DH46" i="47"/>
  <c r="CN47" i="47"/>
  <c r="DS52" i="47"/>
  <c r="DG44" i="47"/>
  <c r="CM45" i="47"/>
  <c r="DS56" i="47"/>
  <c r="DG48" i="47"/>
  <c r="CM49" i="47"/>
  <c r="DH45" i="47"/>
  <c r="DT53" i="47"/>
  <c r="CN46" i="47"/>
  <c r="CN52" i="47"/>
  <c r="DT59" i="47"/>
  <c r="DH51" i="47"/>
  <c r="CM46" i="47"/>
  <c r="DS53" i="47"/>
  <c r="DG45" i="47"/>
  <c r="DG46" i="47"/>
  <c r="DS54" i="47"/>
  <c r="CM47" i="47"/>
  <c r="DL69" i="47"/>
  <c r="BT62" i="47"/>
  <c r="CZ61" i="47"/>
  <c r="A60" i="46"/>
  <c r="A42" i="6"/>
  <c r="CZ62" i="47" l="1"/>
  <c r="DL70" i="47"/>
  <c r="BT63" i="47"/>
  <c r="A61" i="46"/>
  <c r="A43" i="6"/>
  <c r="AC9" i="6"/>
  <c r="X16" i="6" s="1"/>
  <c r="AC10" i="6"/>
  <c r="F21" i="5"/>
  <c r="D21" i="5"/>
  <c r="C21" i="5"/>
  <c r="C9" i="5"/>
  <c r="C5" i="5"/>
  <c r="F5" i="5"/>
  <c r="D5" i="5"/>
  <c r="A3" i="40"/>
  <c r="A4" i="40" s="1"/>
  <c r="A5" i="40" s="1"/>
  <c r="A6" i="40" s="1"/>
  <c r="BT10" i="14"/>
  <c r="C17" i="6"/>
  <c r="AP17" i="6" s="1"/>
  <c r="E17" i="4"/>
  <c r="F17" i="4" s="1"/>
  <c r="G17" i="4" s="1"/>
  <c r="H17" i="4" s="1"/>
  <c r="I17" i="4" s="1"/>
  <c r="J17" i="4" s="1"/>
  <c r="K17" i="4" s="1"/>
  <c r="L17" i="4" s="1"/>
  <c r="M17" i="4" s="1"/>
  <c r="BS4" i="6" l="1"/>
  <c r="M4" i="47"/>
  <c r="BQ4" i="6"/>
  <c r="K4" i="47"/>
  <c r="BP4" i="6"/>
  <c r="J4" i="47"/>
  <c r="BT64" i="47"/>
  <c r="DL71" i="47"/>
  <c r="CZ63" i="47"/>
  <c r="A62" i="46"/>
  <c r="DD18" i="14"/>
  <c r="CU10" i="14"/>
  <c r="A44" i="6"/>
  <c r="BT11" i="14"/>
  <c r="C18" i="6"/>
  <c r="AP18" i="6" s="1"/>
  <c r="AG17" i="6"/>
  <c r="DK9" i="14"/>
  <c r="X17" i="6"/>
  <c r="BT65" i="47" l="1"/>
  <c r="DL72" i="47"/>
  <c r="CZ64" i="47"/>
  <c r="A63" i="46"/>
  <c r="DD19" i="14"/>
  <c r="CU11" i="14"/>
  <c r="DK10" i="14"/>
  <c r="DG9" i="14"/>
  <c r="DH9" i="14"/>
  <c r="DE9" i="14"/>
  <c r="DF9" i="14"/>
  <c r="A45" i="6"/>
  <c r="BT12" i="14"/>
  <c r="C19" i="6"/>
  <c r="AP19" i="6" s="1"/>
  <c r="AG18" i="6"/>
  <c r="X18" i="6"/>
  <c r="X19" i="6" s="1"/>
  <c r="X20" i="6" s="1"/>
  <c r="X21" i="6" s="1"/>
  <c r="X22" i="6" s="1"/>
  <c r="X23" i="6" s="1"/>
  <c r="X24" i="6" s="1"/>
  <c r="X25" i="6" s="1"/>
  <c r="X26" i="6" s="1"/>
  <c r="X27" i="6" s="1"/>
  <c r="X28" i="6" s="1"/>
  <c r="X29" i="6" s="1"/>
  <c r="X30" i="6" s="1"/>
  <c r="X31" i="6" s="1"/>
  <c r="X32" i="6" s="1"/>
  <c r="X33" i="6" s="1"/>
  <c r="X34" i="6" s="1"/>
  <c r="X35" i="6" s="1"/>
  <c r="X36" i="6" s="1"/>
  <c r="X37" i="6" s="1"/>
  <c r="X38" i="6" s="1"/>
  <c r="X39" i="6" s="1"/>
  <c r="X40" i="6" s="1"/>
  <c r="X41" i="6" s="1"/>
  <c r="X42" i="6" s="1"/>
  <c r="X43" i="6" s="1"/>
  <c r="X44" i="6" s="1"/>
  <c r="X45" i="6" s="1"/>
  <c r="X46" i="6" s="1"/>
  <c r="DL73" i="47" l="1"/>
  <c r="BT66" i="47"/>
  <c r="CZ65" i="47"/>
  <c r="A64" i="46"/>
  <c r="DK11" i="14"/>
  <c r="DD20" i="14"/>
  <c r="CU12" i="14"/>
  <c r="DH11" i="14"/>
  <c r="DE11" i="14"/>
  <c r="DG11" i="14"/>
  <c r="DF11" i="14"/>
  <c r="DF10" i="14"/>
  <c r="DG10" i="14"/>
  <c r="DH10" i="14"/>
  <c r="DE10" i="14"/>
  <c r="DK12" i="14"/>
  <c r="J14" i="6"/>
  <c r="S14" i="6" s="1"/>
  <c r="AB14" i="6" s="1"/>
  <c r="AK14" i="6" s="1"/>
  <c r="A46" i="6"/>
  <c r="BT13" i="14"/>
  <c r="C20" i="6"/>
  <c r="AP20" i="6" s="1"/>
  <c r="AG19" i="6"/>
  <c r="X47" i="6"/>
  <c r="X48" i="6" s="1"/>
  <c r="X49" i="6" s="1"/>
  <c r="X50" i="6" s="1"/>
  <c r="X51" i="6" s="1"/>
  <c r="X52" i="6" s="1"/>
  <c r="X53" i="6" s="1"/>
  <c r="X54" i="6" s="1"/>
  <c r="X55" i="6" s="1"/>
  <c r="X56" i="6" s="1"/>
  <c r="X57" i="6" s="1"/>
  <c r="X58" i="6" s="1"/>
  <c r="X59" i="6" s="1"/>
  <c r="X60" i="6" s="1"/>
  <c r="X61" i="6" s="1"/>
  <c r="X62" i="6" s="1"/>
  <c r="X63" i="6" s="1"/>
  <c r="X64" i="6" s="1"/>
  <c r="X65" i="6" s="1"/>
  <c r="X66" i="6" s="1"/>
  <c r="X67" i="6" s="1"/>
  <c r="X68" i="6" s="1"/>
  <c r="X69" i="6" s="1"/>
  <c r="X70" i="6" s="1"/>
  <c r="X71" i="6" s="1"/>
  <c r="X72" i="6" s="1"/>
  <c r="X73" i="6" s="1"/>
  <c r="X74" i="6" s="1"/>
  <c r="X75" i="6" s="1"/>
  <c r="X76" i="6" s="1"/>
  <c r="X77" i="6" s="1"/>
  <c r="X78" i="6" s="1"/>
  <c r="X79" i="6" s="1"/>
  <c r="X80" i="6" s="1"/>
  <c r="X81" i="6" s="1"/>
  <c r="X82" i="6" s="1"/>
  <c r="X83" i="6" s="1"/>
  <c r="X84" i="6" s="1"/>
  <c r="X85" i="6" s="1"/>
  <c r="X86" i="6" s="1"/>
  <c r="X87" i="6" s="1"/>
  <c r="DL74" i="47" l="1"/>
  <c r="CZ66" i="47"/>
  <c r="BT67" i="47"/>
  <c r="A65" i="46"/>
  <c r="AT14" i="6"/>
  <c r="BC14" i="6" s="1"/>
  <c r="BL14" i="6"/>
  <c r="DD21" i="14"/>
  <c r="CU13" i="14"/>
  <c r="DF12" i="14"/>
  <c r="DG12" i="14"/>
  <c r="DH12" i="14"/>
  <c r="DE12" i="14"/>
  <c r="DK13" i="14"/>
  <c r="A47" i="6"/>
  <c r="BT14" i="14"/>
  <c r="C21" i="6"/>
  <c r="AP21" i="6" s="1"/>
  <c r="AG20" i="6"/>
  <c r="X88" i="6"/>
  <c r="X89" i="6" s="1"/>
  <c r="X90" i="6" s="1"/>
  <c r="X91" i="6" s="1"/>
  <c r="X92" i="6" s="1"/>
  <c r="X93" i="6" s="1"/>
  <c r="X94" i="6" s="1"/>
  <c r="X95" i="6" s="1"/>
  <c r="X96" i="6" s="1"/>
  <c r="DL75" i="47" l="1"/>
  <c r="CZ67" i="47"/>
  <c r="BT68" i="47"/>
  <c r="A66" i="46"/>
  <c r="DD22" i="14"/>
  <c r="CU14" i="14"/>
  <c r="DH13" i="14"/>
  <c r="DE13" i="14"/>
  <c r="DG13" i="14"/>
  <c r="DF13" i="14"/>
  <c r="DK14" i="14"/>
  <c r="A48" i="6"/>
  <c r="BT15" i="14"/>
  <c r="DD23" i="14" s="1"/>
  <c r="C22" i="6"/>
  <c r="AP22" i="6" s="1"/>
  <c r="AG21" i="6"/>
  <c r="BT69" i="47" l="1"/>
  <c r="DL76" i="47"/>
  <c r="CZ68" i="47"/>
  <c r="A67" i="46"/>
  <c r="I66" i="46"/>
  <c r="CD60" i="47" s="1"/>
  <c r="I58" i="46"/>
  <c r="CD52" i="47" s="1"/>
  <c r="I64" i="46"/>
  <c r="CD58" i="47" s="1"/>
  <c r="I61" i="46"/>
  <c r="CD55" i="47" s="1"/>
  <c r="I62" i="46"/>
  <c r="CD56" i="47" s="1"/>
  <c r="G60" i="46"/>
  <c r="CC63" i="47" s="1"/>
  <c r="G61" i="46"/>
  <c r="CC64" i="47" s="1"/>
  <c r="I65" i="46"/>
  <c r="CD59" i="47" s="1"/>
  <c r="DF14" i="14"/>
  <c r="DG14" i="14"/>
  <c r="DH14" i="14"/>
  <c r="DE14" i="14"/>
  <c r="A49" i="6"/>
  <c r="BT16" i="14"/>
  <c r="DD24" i="14" s="1"/>
  <c r="CU15" i="14"/>
  <c r="C23" i="6"/>
  <c r="AP23" i="6" s="1"/>
  <c r="AG22" i="6"/>
  <c r="DK15" i="14" l="1"/>
  <c r="DQ16" i="47"/>
  <c r="DM16" i="47"/>
  <c r="DN16" i="47"/>
  <c r="DP16" i="47"/>
  <c r="DR16" i="47"/>
  <c r="DO16" i="47"/>
  <c r="DI15" i="14"/>
  <c r="DJ55" i="47"/>
  <c r="CP56" i="47"/>
  <c r="DV63" i="47"/>
  <c r="CO65" i="47"/>
  <c r="DI64" i="47"/>
  <c r="DU72" i="47"/>
  <c r="CO64" i="47"/>
  <c r="DU71" i="47"/>
  <c r="DI63" i="47"/>
  <c r="DV60" i="47"/>
  <c r="DJ52" i="47"/>
  <c r="CP53" i="47"/>
  <c r="DJ59" i="47"/>
  <c r="CP60" i="47"/>
  <c r="DV67" i="47"/>
  <c r="DV66" i="47"/>
  <c r="DJ58" i="47"/>
  <c r="CP59" i="47"/>
  <c r="CP57" i="47"/>
  <c r="DV64" i="47"/>
  <c r="DJ56" i="47"/>
  <c r="CP61" i="47"/>
  <c r="DV68" i="47"/>
  <c r="DJ60" i="47"/>
  <c r="DL77" i="47"/>
  <c r="BT70" i="47"/>
  <c r="CZ69" i="47"/>
  <c r="A68" i="46"/>
  <c r="E58" i="46"/>
  <c r="CB52" i="47" s="1"/>
  <c r="G58" i="46"/>
  <c r="CC61" i="47" s="1"/>
  <c r="G59" i="46"/>
  <c r="CC62" i="47" s="1"/>
  <c r="I63" i="46"/>
  <c r="CD57" i="47" s="1"/>
  <c r="I59" i="46"/>
  <c r="CD53" i="47" s="1"/>
  <c r="G63" i="46"/>
  <c r="CC66" i="47" s="1"/>
  <c r="G62" i="46"/>
  <c r="CC65" i="47" s="1"/>
  <c r="G65" i="46"/>
  <c r="CC68" i="47" s="1"/>
  <c r="G64" i="46"/>
  <c r="CC67" i="47" s="1"/>
  <c r="I60" i="46"/>
  <c r="CD54" i="47" s="1"/>
  <c r="G66" i="46"/>
  <c r="CC69" i="47" s="1"/>
  <c r="DE15" i="14"/>
  <c r="DG15" i="14"/>
  <c r="DH15" i="14"/>
  <c r="DF15" i="14"/>
  <c r="A50" i="6"/>
  <c r="BT17" i="14"/>
  <c r="DD25" i="14" s="1"/>
  <c r="CU16" i="14"/>
  <c r="C24" i="6"/>
  <c r="AP24" i="6" s="1"/>
  <c r="AG23" i="6"/>
  <c r="DO17" i="47" l="1"/>
  <c r="DR17" i="47"/>
  <c r="DN17" i="47"/>
  <c r="DQ17" i="47"/>
  <c r="DM17" i="47"/>
  <c r="DP17" i="47"/>
  <c r="DI16" i="14"/>
  <c r="DI61" i="47"/>
  <c r="CO62" i="47"/>
  <c r="DU69" i="47"/>
  <c r="DI67" i="47"/>
  <c r="DU75" i="47"/>
  <c r="CO68" i="47"/>
  <c r="CP54" i="47"/>
  <c r="DV61" i="47"/>
  <c r="DJ53" i="47"/>
  <c r="CN53" i="47"/>
  <c r="DT60" i="47"/>
  <c r="DH52" i="47"/>
  <c r="DU74" i="47"/>
  <c r="DI66" i="47"/>
  <c r="CO67" i="47"/>
  <c r="DI68" i="47"/>
  <c r="CO69" i="47"/>
  <c r="DU76" i="47"/>
  <c r="DJ57" i="47"/>
  <c r="CP58" i="47"/>
  <c r="DV65" i="47"/>
  <c r="CP55" i="47"/>
  <c r="DV62" i="47"/>
  <c r="DJ54" i="47"/>
  <c r="CO70" i="47"/>
  <c r="DU77" i="47"/>
  <c r="DI69" i="47"/>
  <c r="CO66" i="47"/>
  <c r="DU73" i="47"/>
  <c r="DI65" i="47"/>
  <c r="DI62" i="47"/>
  <c r="DU70" i="47"/>
  <c r="CO63" i="47"/>
  <c r="DL78" i="47"/>
  <c r="CZ70" i="47"/>
  <c r="BT71" i="47"/>
  <c r="E67" i="46"/>
  <c r="CB61" i="47" s="1"/>
  <c r="E65" i="46"/>
  <c r="CB59" i="47" s="1"/>
  <c r="E63" i="46"/>
  <c r="CB57" i="47" s="1"/>
  <c r="E59" i="46"/>
  <c r="CB53" i="47" s="1"/>
  <c r="E62" i="46"/>
  <c r="CB56" i="47" s="1"/>
  <c r="E66" i="46"/>
  <c r="CB60" i="47" s="1"/>
  <c r="E64" i="46"/>
  <c r="CB58" i="47" s="1"/>
  <c r="E60" i="46"/>
  <c r="CB54" i="47" s="1"/>
  <c r="E61" i="46"/>
  <c r="CB55" i="47" s="1"/>
  <c r="C67" i="46"/>
  <c r="CA61" i="47" s="1"/>
  <c r="C59" i="46"/>
  <c r="CA53" i="47" s="1"/>
  <c r="C58" i="46"/>
  <c r="CA52" i="47" s="1"/>
  <c r="C63" i="46"/>
  <c r="CA57" i="47" s="1"/>
  <c r="C61" i="46"/>
  <c r="CA55" i="47" s="1"/>
  <c r="C65" i="46"/>
  <c r="CA59" i="47" s="1"/>
  <c r="C66" i="46"/>
  <c r="CA60" i="47" s="1"/>
  <c r="C62" i="46"/>
  <c r="CA56" i="47" s="1"/>
  <c r="C60" i="46"/>
  <c r="CA54" i="47" s="1"/>
  <c r="C64" i="46"/>
  <c r="CA58" i="47" s="1"/>
  <c r="A69" i="46"/>
  <c r="DK16" i="14"/>
  <c r="M18" i="4"/>
  <c r="DG16" i="14"/>
  <c r="DH16" i="14"/>
  <c r="DE16" i="14"/>
  <c r="DF16" i="14"/>
  <c r="A51" i="6"/>
  <c r="BT18" i="14"/>
  <c r="DD26" i="14" s="1"/>
  <c r="CU17" i="14"/>
  <c r="C25" i="6"/>
  <c r="AP25" i="6" s="1"/>
  <c r="AG24" i="6"/>
  <c r="N18" i="4" l="1"/>
  <c r="G31" i="5"/>
  <c r="G28" i="5"/>
  <c r="L24" i="4"/>
  <c r="H16" i="5" s="1"/>
  <c r="DG60" i="47"/>
  <c r="CM61" i="47"/>
  <c r="DS68" i="47"/>
  <c r="CN55" i="47"/>
  <c r="DT62" i="47"/>
  <c r="DH54" i="47"/>
  <c r="CM54" i="47"/>
  <c r="DG53" i="47"/>
  <c r="DS61" i="47"/>
  <c r="DH58" i="47"/>
  <c r="CN59" i="47"/>
  <c r="DT66" i="47"/>
  <c r="DH57" i="47"/>
  <c r="CN58" i="47"/>
  <c r="DT65" i="47"/>
  <c r="DG52" i="47"/>
  <c r="DS60" i="47"/>
  <c r="CM53" i="47"/>
  <c r="DG59" i="47"/>
  <c r="CM60" i="47"/>
  <c r="DS67" i="47"/>
  <c r="DG54" i="47"/>
  <c r="CM55" i="47"/>
  <c r="DS62" i="47"/>
  <c r="DG55" i="47"/>
  <c r="DS63" i="47"/>
  <c r="CM56" i="47"/>
  <c r="CM62" i="47"/>
  <c r="DS69" i="47"/>
  <c r="DG61" i="47"/>
  <c r="CN61" i="47"/>
  <c r="DT68" i="47"/>
  <c r="DH60" i="47"/>
  <c r="DH59" i="47"/>
  <c r="CN60" i="47"/>
  <c r="DT67" i="47"/>
  <c r="DT61" i="47"/>
  <c r="DH53" i="47"/>
  <c r="CN54" i="47"/>
  <c r="CM59" i="47"/>
  <c r="DG58" i="47"/>
  <c r="DS66" i="47"/>
  <c r="CM57" i="47"/>
  <c r="DG56" i="47"/>
  <c r="DS64" i="47"/>
  <c r="DG57" i="47"/>
  <c r="CM58" i="47"/>
  <c r="DS65" i="47"/>
  <c r="CN56" i="47"/>
  <c r="DT63" i="47"/>
  <c r="DH55" i="47"/>
  <c r="DH56" i="47"/>
  <c r="CN57" i="47"/>
  <c r="DT64" i="47"/>
  <c r="CN62" i="47"/>
  <c r="DT69" i="47"/>
  <c r="DH61" i="47"/>
  <c r="CZ71" i="47"/>
  <c r="BT72" i="47"/>
  <c r="DL79" i="47"/>
  <c r="A70" i="46"/>
  <c r="L28" i="4"/>
  <c r="A52" i="6"/>
  <c r="BT19" i="14"/>
  <c r="DD27" i="14" s="1"/>
  <c r="CU18" i="14"/>
  <c r="C26" i="6"/>
  <c r="AP26" i="6" s="1"/>
  <c r="AG25" i="6"/>
  <c r="BY9" i="14" l="1"/>
  <c r="BY10" i="47"/>
  <c r="AN16" i="6"/>
  <c r="G16" i="5"/>
  <c r="D6" i="47"/>
  <c r="BT73" i="47"/>
  <c r="CZ72" i="47"/>
  <c r="DL80" i="47"/>
  <c r="A71" i="46"/>
  <c r="I16" i="5"/>
  <c r="F16" i="5"/>
  <c r="D16" i="5"/>
  <c r="C16" i="5"/>
  <c r="E16" i="5"/>
  <c r="D5" i="14"/>
  <c r="A53" i="6"/>
  <c r="BT20" i="14"/>
  <c r="DD28" i="14" s="1"/>
  <c r="CU19" i="14"/>
  <c r="C27" i="6"/>
  <c r="AP27" i="6" s="1"/>
  <c r="AG26" i="6"/>
  <c r="BZ9" i="14" l="1"/>
  <c r="DJ17" i="14" s="1"/>
  <c r="DA9" i="14"/>
  <c r="AW16" i="6"/>
  <c r="CZ9" i="14"/>
  <c r="DE10" i="47"/>
  <c r="DQ18" i="47"/>
  <c r="BY11" i="47"/>
  <c r="CK11" i="47" s="1"/>
  <c r="CW11" i="47" s="1"/>
  <c r="BY10" i="14"/>
  <c r="CH10" i="14" s="1"/>
  <c r="CQ10" i="14" s="1"/>
  <c r="AR16" i="6"/>
  <c r="AQ16" i="6"/>
  <c r="AO16" i="6"/>
  <c r="AN17" i="6" s="1"/>
  <c r="AU16" i="6"/>
  <c r="AT16" i="6"/>
  <c r="DI17" i="14"/>
  <c r="DL81" i="47"/>
  <c r="BT74" i="47"/>
  <c r="CZ73" i="47"/>
  <c r="A72" i="46"/>
  <c r="BM9" i="6"/>
  <c r="BM11" i="6" s="1"/>
  <c r="A54" i="6"/>
  <c r="BT21" i="14"/>
  <c r="DD29" i="14" s="1"/>
  <c r="CU20" i="14"/>
  <c r="C28" i="6"/>
  <c r="AP28" i="6" s="1"/>
  <c r="AG27" i="6"/>
  <c r="BW10" i="47"/>
  <c r="BZ10" i="14" l="1"/>
  <c r="AX16" i="6"/>
  <c r="AW17" i="6"/>
  <c r="AY16" i="6"/>
  <c r="H9" i="5" s="1"/>
  <c r="AZ16" i="6"/>
  <c r="BA16" i="6"/>
  <c r="BD16" i="6"/>
  <c r="DA10" i="14" s="1"/>
  <c r="BC16" i="6"/>
  <c r="BX10" i="47"/>
  <c r="DP18" i="47" s="1"/>
  <c r="BB16" i="6"/>
  <c r="CZ10" i="14"/>
  <c r="DE11" i="47"/>
  <c r="DO18" i="47"/>
  <c r="BY11" i="14"/>
  <c r="DI19" i="14" s="1"/>
  <c r="BY12" i="47"/>
  <c r="CK12" i="47" s="1"/>
  <c r="CW12" i="47" s="1"/>
  <c r="AR17" i="6"/>
  <c r="AU17" i="6"/>
  <c r="AO17" i="6"/>
  <c r="AN18" i="6" s="1"/>
  <c r="AS18" i="6" s="1"/>
  <c r="AQ17" i="6"/>
  <c r="AT17" i="6"/>
  <c r="DQ19" i="47"/>
  <c r="BV10" i="47"/>
  <c r="DI18" i="14"/>
  <c r="E16" i="6"/>
  <c r="G16" i="6" s="1"/>
  <c r="BU10" i="47"/>
  <c r="DL82" i="47"/>
  <c r="CZ74" i="47"/>
  <c r="BT75" i="47"/>
  <c r="A73" i="46"/>
  <c r="AS16" i="6"/>
  <c r="AS17" i="6"/>
  <c r="BF16" i="6"/>
  <c r="BF21" i="6"/>
  <c r="BF28" i="6"/>
  <c r="BF24" i="6"/>
  <c r="BF20" i="6"/>
  <c r="BF27" i="6"/>
  <c r="BF23" i="6"/>
  <c r="BF19" i="6"/>
  <c r="BF26" i="6"/>
  <c r="BF22" i="6"/>
  <c r="BF18" i="6"/>
  <c r="BF25" i="6"/>
  <c r="BF17" i="6"/>
  <c r="BZ12" i="47" s="1"/>
  <c r="A55" i="6"/>
  <c r="V16" i="6"/>
  <c r="BW11" i="47" s="1"/>
  <c r="BT22" i="14"/>
  <c r="DD30" i="14" s="1"/>
  <c r="CU21" i="14"/>
  <c r="M16" i="6"/>
  <c r="AE16" i="6"/>
  <c r="BX11" i="47" s="1"/>
  <c r="C29" i="6"/>
  <c r="AG28" i="6"/>
  <c r="BU9" i="14"/>
  <c r="DE17" i="14" s="1"/>
  <c r="BW9" i="14"/>
  <c r="DG17" i="14" s="1"/>
  <c r="BV9" i="14"/>
  <c r="DF17" i="14" s="1"/>
  <c r="BX9" i="14"/>
  <c r="BZ10" i="47" l="1"/>
  <c r="BZ11" i="14"/>
  <c r="AW18" i="6"/>
  <c r="CI10" i="14"/>
  <c r="CR10" i="14" s="1"/>
  <c r="DJ18" i="14"/>
  <c r="CI11" i="14"/>
  <c r="CR11" i="14" s="1"/>
  <c r="BF29" i="6"/>
  <c r="BZ24" i="47" s="1"/>
  <c r="DR32" i="47" s="1"/>
  <c r="AP29" i="6"/>
  <c r="CH11" i="14"/>
  <c r="CQ11" i="14" s="1"/>
  <c r="CW9" i="14"/>
  <c r="DB10" i="47"/>
  <c r="DO19" i="47"/>
  <c r="CV9" i="14"/>
  <c r="DA10" i="47"/>
  <c r="CA16" i="14"/>
  <c r="DK24" i="14" s="1"/>
  <c r="BZ17" i="47"/>
  <c r="CA21" i="14"/>
  <c r="BZ22" i="47"/>
  <c r="CA15" i="14"/>
  <c r="DK23" i="14" s="1"/>
  <c r="BZ16" i="47"/>
  <c r="BP16" i="6"/>
  <c r="BV16" i="6" s="1"/>
  <c r="BU11" i="47"/>
  <c r="CG11" i="47" s="1"/>
  <c r="CS11" i="47" s="1"/>
  <c r="DN18" i="47"/>
  <c r="BY12" i="14"/>
  <c r="BY13" i="47"/>
  <c r="CK13" i="47" s="1"/>
  <c r="CW13" i="47" s="1"/>
  <c r="AO18" i="6"/>
  <c r="AN19" i="6" s="1"/>
  <c r="AR18" i="6"/>
  <c r="AU18" i="6"/>
  <c r="AQ18" i="6"/>
  <c r="AT18" i="6"/>
  <c r="BQ16" i="6"/>
  <c r="BW16" i="6" s="1"/>
  <c r="BV11" i="47"/>
  <c r="CH11" i="47" s="1"/>
  <c r="CT11" i="47" s="1"/>
  <c r="CA20" i="14"/>
  <c r="CJ93" i="14" s="1"/>
  <c r="BZ21" i="47"/>
  <c r="CA14" i="14"/>
  <c r="DK22" i="14" s="1"/>
  <c r="BZ15" i="47"/>
  <c r="BJ16" i="6"/>
  <c r="BZ11" i="47"/>
  <c r="CL11" i="47" s="1"/>
  <c r="CX11" i="47" s="1"/>
  <c r="CZ11" i="14"/>
  <c r="DE12" i="47"/>
  <c r="CI11" i="47"/>
  <c r="CU11" i="47" s="1"/>
  <c r="DR20" i="47"/>
  <c r="DP19" i="47"/>
  <c r="CY9" i="14"/>
  <c r="DB9" i="14" s="1"/>
  <c r="DD10" i="47"/>
  <c r="DF10" i="47" s="1"/>
  <c r="CA19" i="14"/>
  <c r="DK27" i="14" s="1"/>
  <c r="BZ20" i="47"/>
  <c r="CA13" i="14"/>
  <c r="BZ14" i="47"/>
  <c r="CA18" i="14"/>
  <c r="CJ19" i="14" s="1"/>
  <c r="CS19" i="14" s="1"/>
  <c r="BZ19" i="47"/>
  <c r="CJ11" i="47"/>
  <c r="CV11" i="47" s="1"/>
  <c r="CX9" i="14"/>
  <c r="DC10" i="47"/>
  <c r="CA12" i="14"/>
  <c r="DK20" i="14" s="1"/>
  <c r="BZ13" i="47"/>
  <c r="CL13" i="47" s="1"/>
  <c r="CX13" i="47" s="1"/>
  <c r="CA17" i="14"/>
  <c r="DK25" i="14" s="1"/>
  <c r="BZ18" i="47"/>
  <c r="CA22" i="14"/>
  <c r="DK30" i="14" s="1"/>
  <c r="BZ23" i="47"/>
  <c r="DM18" i="47"/>
  <c r="DQ20" i="47"/>
  <c r="DR18" i="47"/>
  <c r="DL83" i="47"/>
  <c r="CZ75" i="47"/>
  <c r="BT76" i="47"/>
  <c r="A74" i="46"/>
  <c r="BS16" i="6"/>
  <c r="BY16" i="6" s="1"/>
  <c r="Z16" i="6"/>
  <c r="BR16" i="6"/>
  <c r="BX16" i="6" s="1"/>
  <c r="BI16" i="6"/>
  <c r="BL16" i="6"/>
  <c r="BG16" i="6"/>
  <c r="BK16" i="6"/>
  <c r="BM16" i="6"/>
  <c r="BI17" i="6"/>
  <c r="CA11" i="14"/>
  <c r="CA10" i="14"/>
  <c r="DH17" i="14"/>
  <c r="CA9" i="14"/>
  <c r="BG17" i="6"/>
  <c r="BJ17" i="6"/>
  <c r="BL17" i="6"/>
  <c r="BM17" i="6"/>
  <c r="DF12" i="47" s="1"/>
  <c r="BK17" i="6"/>
  <c r="BJ18" i="6"/>
  <c r="BG18" i="6"/>
  <c r="BI18" i="6"/>
  <c r="BM18" i="6"/>
  <c r="BL18" i="6"/>
  <c r="BK18" i="6"/>
  <c r="P16" i="6"/>
  <c r="Q16" i="6"/>
  <c r="AH16" i="6"/>
  <c r="AI16" i="6"/>
  <c r="Y16" i="6"/>
  <c r="T16" i="6"/>
  <c r="A56" i="6"/>
  <c r="AL16" i="6"/>
  <c r="AC16" i="6"/>
  <c r="K16" i="6"/>
  <c r="BT23" i="14"/>
  <c r="DD31" i="14" s="1"/>
  <c r="CU22" i="14"/>
  <c r="C30" i="6"/>
  <c r="AG29" i="6"/>
  <c r="S16" i="6"/>
  <c r="R16" i="6"/>
  <c r="N16" i="6"/>
  <c r="M17" i="6" s="1"/>
  <c r="AK16" i="6"/>
  <c r="AJ16" i="6"/>
  <c r="AF16" i="6"/>
  <c r="AE17" i="6" s="1"/>
  <c r="BX12" i="47" s="1"/>
  <c r="I16" i="6"/>
  <c r="J16" i="6"/>
  <c r="H16" i="6"/>
  <c r="F16" i="6"/>
  <c r="BV10" i="14"/>
  <c r="BX10" i="14"/>
  <c r="BW10" i="14"/>
  <c r="W16" i="6"/>
  <c r="V17" i="6" s="1"/>
  <c r="BW12" i="47" s="1"/>
  <c r="AB16" i="6"/>
  <c r="AA16" i="6"/>
  <c r="BU10" i="14"/>
  <c r="CA23" i="14" l="1"/>
  <c r="DK31" i="14" s="1"/>
  <c r="BU16" i="6"/>
  <c r="AW19" i="6"/>
  <c r="BZ12" i="14"/>
  <c r="CI12" i="14" s="1"/>
  <c r="CR12" i="14" s="1"/>
  <c r="DJ19" i="14"/>
  <c r="CJ16" i="14"/>
  <c r="CS16" i="14" s="1"/>
  <c r="CJ15" i="14"/>
  <c r="CS15" i="14" s="1"/>
  <c r="CJ14" i="14"/>
  <c r="CS14" i="14" s="1"/>
  <c r="BF30" i="6"/>
  <c r="CA24" i="14" s="1"/>
  <c r="DK32" i="14" s="1"/>
  <c r="AP30" i="6"/>
  <c r="CJ18" i="14"/>
  <c r="CS18" i="14" s="1"/>
  <c r="CJ22" i="14"/>
  <c r="CS22" i="14" s="1"/>
  <c r="CJ21" i="14"/>
  <c r="CS21" i="14" s="1"/>
  <c r="CJ17" i="14"/>
  <c r="CS17" i="14" s="1"/>
  <c r="DK21" i="14"/>
  <c r="CJ23" i="14"/>
  <c r="CS23" i="14" s="1"/>
  <c r="DK29" i="14"/>
  <c r="DK26" i="14"/>
  <c r="CJ101" i="14"/>
  <c r="CJ20" i="14"/>
  <c r="CS20" i="14" s="1"/>
  <c r="DK28" i="14"/>
  <c r="CJ13" i="14"/>
  <c r="CS13" i="14" s="1"/>
  <c r="DO20" i="47"/>
  <c r="DB10" i="14"/>
  <c r="DF11" i="47"/>
  <c r="CL20" i="47"/>
  <c r="CX20" i="47" s="1"/>
  <c r="DR27" i="47"/>
  <c r="CL21" i="47"/>
  <c r="CX21" i="47" s="1"/>
  <c r="DR28" i="47"/>
  <c r="BQ17" i="6"/>
  <c r="BW17" i="6" s="1"/>
  <c r="BV12" i="47"/>
  <c r="CH12" i="47" s="1"/>
  <c r="CT12" i="47" s="1"/>
  <c r="DP20" i="47"/>
  <c r="CY10" i="14"/>
  <c r="DD11" i="47"/>
  <c r="DR26" i="47"/>
  <c r="CL19" i="47"/>
  <c r="CX19" i="47" s="1"/>
  <c r="DR19" i="47"/>
  <c r="CL12" i="47"/>
  <c r="CX12" i="47" s="1"/>
  <c r="BZ94" i="47"/>
  <c r="CL99" i="47"/>
  <c r="CL22" i="47"/>
  <c r="CX22" i="47" s="1"/>
  <c r="DR29" i="47"/>
  <c r="CL94" i="47"/>
  <c r="BY13" i="14"/>
  <c r="BY14" i="47"/>
  <c r="CK14" i="47" s="1"/>
  <c r="CW14" i="47" s="1"/>
  <c r="AR19" i="6"/>
  <c r="AU19" i="6"/>
  <c r="AQ19" i="6"/>
  <c r="AO19" i="6"/>
  <c r="AN20" i="6" s="1"/>
  <c r="AT19" i="6"/>
  <c r="AS19" i="6"/>
  <c r="DR24" i="47"/>
  <c r="CL17" i="47"/>
  <c r="CX17" i="47" s="1"/>
  <c r="DR25" i="47"/>
  <c r="CL18" i="47"/>
  <c r="CX18" i="47" s="1"/>
  <c r="CX10" i="14"/>
  <c r="DC11" i="47"/>
  <c r="CV10" i="14"/>
  <c r="DA11" i="47"/>
  <c r="CW10" i="14"/>
  <c r="DB11" i="47"/>
  <c r="DB12" i="14"/>
  <c r="DF13" i="47"/>
  <c r="BT16" i="6"/>
  <c r="BT17" i="6" s="1"/>
  <c r="BT18" i="6" s="1"/>
  <c r="BT19" i="6" s="1"/>
  <c r="DR22" i="47"/>
  <c r="CL15" i="47"/>
  <c r="CX15" i="47" s="1"/>
  <c r="CJ12" i="47"/>
  <c r="CV12" i="47" s="1"/>
  <c r="DQ21" i="47"/>
  <c r="CL24" i="47"/>
  <c r="CX24" i="47" s="1"/>
  <c r="DR31" i="47"/>
  <c r="DR21" i="47"/>
  <c r="CL14" i="47"/>
  <c r="CX14" i="47" s="1"/>
  <c r="CL16" i="47"/>
  <c r="CX16" i="47" s="1"/>
  <c r="DR23" i="47"/>
  <c r="DN19" i="47"/>
  <c r="CZ12" i="14"/>
  <c r="DE13" i="47"/>
  <c r="CH12" i="14"/>
  <c r="CQ12" i="14" s="1"/>
  <c r="DI20" i="14"/>
  <c r="DM19" i="47"/>
  <c r="DR30" i="47"/>
  <c r="CL23" i="47"/>
  <c r="CX23" i="47" s="1"/>
  <c r="CI12" i="47"/>
  <c r="CU12" i="47" s="1"/>
  <c r="BT77" i="47"/>
  <c r="DL84" i="47"/>
  <c r="CZ76" i="47"/>
  <c r="A75" i="46"/>
  <c r="BS17" i="6"/>
  <c r="BY17" i="6" s="1"/>
  <c r="Z17" i="6"/>
  <c r="BR17" i="6"/>
  <c r="BW4" i="6"/>
  <c r="BV4" i="6"/>
  <c r="BX4" i="6"/>
  <c r="DB11" i="14"/>
  <c r="BY4" i="6"/>
  <c r="CJ10" i="14"/>
  <c r="CS10" i="14" s="1"/>
  <c r="DK17" i="14"/>
  <c r="DK18" i="14"/>
  <c r="CA93" i="14"/>
  <c r="CJ11" i="14"/>
  <c r="CS11" i="14" s="1"/>
  <c r="DK19" i="14"/>
  <c r="CJ12" i="14"/>
  <c r="CS12" i="14" s="1"/>
  <c r="BJ19" i="6"/>
  <c r="BM19" i="6"/>
  <c r="BG19" i="6"/>
  <c r="BI19" i="6"/>
  <c r="BL19" i="6"/>
  <c r="BK19" i="6"/>
  <c r="CD10" i="14"/>
  <c r="CM10" i="14" s="1"/>
  <c r="E17" i="6"/>
  <c r="BU12" i="47" s="1"/>
  <c r="P17" i="6"/>
  <c r="Q17" i="6"/>
  <c r="AH17" i="6"/>
  <c r="AI17" i="6"/>
  <c r="DF18" i="14"/>
  <c r="DE18" i="14"/>
  <c r="DG18" i="14"/>
  <c r="DH18" i="14"/>
  <c r="Y17" i="6"/>
  <c r="CG10" i="14"/>
  <c r="CP10" i="14" s="1"/>
  <c r="CF10" i="14"/>
  <c r="CO10" i="14" s="1"/>
  <c r="CE10" i="14"/>
  <c r="CN10" i="14" s="1"/>
  <c r="T17" i="6"/>
  <c r="AC17" i="6"/>
  <c r="A57" i="6"/>
  <c r="AL17" i="6"/>
  <c r="BT24" i="14"/>
  <c r="DD32" i="14" s="1"/>
  <c r="CU23" i="14"/>
  <c r="C31" i="6"/>
  <c r="AG30" i="6"/>
  <c r="S17" i="6"/>
  <c r="N17" i="6"/>
  <c r="M18" i="6" s="1"/>
  <c r="R17" i="6"/>
  <c r="AK17" i="6"/>
  <c r="AF17" i="6"/>
  <c r="AE18" i="6" s="1"/>
  <c r="AJ17" i="6"/>
  <c r="BX11" i="14"/>
  <c r="BV11" i="14"/>
  <c r="AA17" i="6"/>
  <c r="BW11" i="14"/>
  <c r="DG19" i="14" s="1"/>
  <c r="AB17" i="6"/>
  <c r="W17" i="6"/>
  <c r="V18" i="6" s="1"/>
  <c r="DJ20" i="14" l="1"/>
  <c r="AW20" i="6"/>
  <c r="BZ13" i="14"/>
  <c r="DJ21" i="14" s="1"/>
  <c r="BU17" i="6"/>
  <c r="CA16" i="6"/>
  <c r="BZ25" i="47"/>
  <c r="DR33" i="47" s="1"/>
  <c r="BF31" i="6"/>
  <c r="CA25" i="14" s="1"/>
  <c r="DK33" i="14" s="1"/>
  <c r="AP31" i="6"/>
  <c r="I26" i="5"/>
  <c r="CJ24" i="14"/>
  <c r="CS24" i="14" s="1"/>
  <c r="BZ16" i="6"/>
  <c r="DM20" i="47"/>
  <c r="CG12" i="47"/>
  <c r="CS12" i="47" s="1"/>
  <c r="BT20" i="6"/>
  <c r="BY14" i="14"/>
  <c r="BY15" i="47"/>
  <c r="CK15" i="47" s="1"/>
  <c r="CW15" i="47" s="1"/>
  <c r="AR20" i="6"/>
  <c r="AU20" i="6"/>
  <c r="AQ20" i="6"/>
  <c r="AO20" i="6"/>
  <c r="AN21" i="6" s="1"/>
  <c r="AT20" i="6"/>
  <c r="AS20" i="6"/>
  <c r="DQ22" i="47"/>
  <c r="BQ18" i="6"/>
  <c r="BW18" i="6" s="1"/>
  <c r="BV13" i="47"/>
  <c r="BS18" i="6"/>
  <c r="BY18" i="6" s="1"/>
  <c r="BX13" i="47"/>
  <c r="CX11" i="14"/>
  <c r="DC12" i="47"/>
  <c r="DB13" i="14"/>
  <c r="DF14" i="47"/>
  <c r="CH13" i="14"/>
  <c r="CQ13" i="14" s="1"/>
  <c r="DI21" i="14"/>
  <c r="DN20" i="47"/>
  <c r="Z18" i="6"/>
  <c r="BW13" i="47"/>
  <c r="CY11" i="14"/>
  <c r="DD12" i="47"/>
  <c r="CW11" i="14"/>
  <c r="DB12" i="47"/>
  <c r="CZ13" i="14"/>
  <c r="DE14" i="47"/>
  <c r="DL85" i="47"/>
  <c r="BT78" i="47"/>
  <c r="CZ77" i="47"/>
  <c r="A76" i="46"/>
  <c r="BZ17" i="6"/>
  <c r="BR18" i="6"/>
  <c r="BX17" i="6"/>
  <c r="G17" i="6"/>
  <c r="BP17" i="6"/>
  <c r="BZ4" i="6"/>
  <c r="BI20" i="6"/>
  <c r="BG20" i="6"/>
  <c r="BM20" i="6"/>
  <c r="BJ20" i="6"/>
  <c r="BL20" i="6"/>
  <c r="BK20" i="6"/>
  <c r="H17" i="6"/>
  <c r="K17" i="6"/>
  <c r="J17" i="6"/>
  <c r="F17" i="6"/>
  <c r="E18" i="6" s="1"/>
  <c r="BU11" i="14"/>
  <c r="I17" i="6"/>
  <c r="P18" i="6"/>
  <c r="Q18" i="6"/>
  <c r="AH18" i="6"/>
  <c r="AI18" i="6"/>
  <c r="CE11" i="14"/>
  <c r="CN11" i="14" s="1"/>
  <c r="DF19" i="14"/>
  <c r="CG11" i="14"/>
  <c r="CP11" i="14" s="1"/>
  <c r="DH19" i="14"/>
  <c r="Y18" i="6"/>
  <c r="CF11" i="14"/>
  <c r="CO11" i="14" s="1"/>
  <c r="T18" i="6"/>
  <c r="AC18" i="6"/>
  <c r="AL18" i="6"/>
  <c r="A58" i="6"/>
  <c r="BT25" i="14"/>
  <c r="DD33" i="14" s="1"/>
  <c r="CU24" i="14"/>
  <c r="C32" i="6"/>
  <c r="AG31" i="6"/>
  <c r="AF18" i="6"/>
  <c r="AE19" i="6" s="1"/>
  <c r="AJ18" i="6"/>
  <c r="AK18" i="6"/>
  <c r="N18" i="6"/>
  <c r="M19" i="6" s="1"/>
  <c r="R18" i="6"/>
  <c r="S18" i="6"/>
  <c r="BV12" i="14"/>
  <c r="AA18" i="6"/>
  <c r="BW12" i="14"/>
  <c r="AB18" i="6"/>
  <c r="W18" i="6"/>
  <c r="V19" i="6" s="1"/>
  <c r="BX12" i="14"/>
  <c r="BU18" i="6" l="1"/>
  <c r="CA17" i="6"/>
  <c r="CI13" i="14"/>
  <c r="CR13" i="14" s="1"/>
  <c r="BZ14" i="14"/>
  <c r="AW21" i="6"/>
  <c r="BZ26" i="47"/>
  <c r="CL26" i="47" s="1"/>
  <c r="CX26" i="47" s="1"/>
  <c r="CL25" i="47"/>
  <c r="CX25" i="47" s="1"/>
  <c r="CJ25" i="14"/>
  <c r="CS25" i="14" s="1"/>
  <c r="BF32" i="6"/>
  <c r="CA26" i="14" s="1"/>
  <c r="CJ26" i="14" s="1"/>
  <c r="CS26" i="14" s="1"/>
  <c r="AP32" i="6"/>
  <c r="CW12" i="14"/>
  <c r="DB13" i="47"/>
  <c r="BQ19" i="6"/>
  <c r="BW19" i="6" s="1"/>
  <c r="BV14" i="47"/>
  <c r="CH14" i="47" s="1"/>
  <c r="CT14" i="47" s="1"/>
  <c r="J18" i="6"/>
  <c r="BU13" i="47"/>
  <c r="DO21" i="47"/>
  <c r="CI13" i="47"/>
  <c r="CU13" i="47" s="1"/>
  <c r="CH14" i="14"/>
  <c r="CQ14" i="14" s="1"/>
  <c r="DI22" i="14"/>
  <c r="Z19" i="6"/>
  <c r="BW14" i="47"/>
  <c r="DN21" i="47"/>
  <c r="CZ14" i="14"/>
  <c r="DE15" i="47"/>
  <c r="CY12" i="14"/>
  <c r="DD13" i="47"/>
  <c r="CX12" i="14"/>
  <c r="DC13" i="47"/>
  <c r="CV11" i="14"/>
  <c r="DA12" i="47"/>
  <c r="CH13" i="47"/>
  <c r="CT13" i="47" s="1"/>
  <c r="BT21" i="6"/>
  <c r="BS19" i="6"/>
  <c r="BY19" i="6" s="1"/>
  <c r="BX14" i="47"/>
  <c r="CJ14" i="47" s="1"/>
  <c r="CV14" i="47" s="1"/>
  <c r="DB14" i="14"/>
  <c r="DF15" i="47"/>
  <c r="DP21" i="47"/>
  <c r="CJ13" i="47"/>
  <c r="CV13" i="47" s="1"/>
  <c r="BY15" i="14"/>
  <c r="BY16" i="47"/>
  <c r="CK16" i="47" s="1"/>
  <c r="CW16" i="47" s="1"/>
  <c r="AQ21" i="6"/>
  <c r="AU21" i="6"/>
  <c r="AO21" i="6"/>
  <c r="AN22" i="6" s="1"/>
  <c r="AR21" i="6"/>
  <c r="AT21" i="6"/>
  <c r="AS21" i="6"/>
  <c r="DQ23" i="47"/>
  <c r="DL86" i="47"/>
  <c r="CZ78" i="47"/>
  <c r="BT79" i="47"/>
  <c r="A77" i="46"/>
  <c r="I76" i="46"/>
  <c r="CD70" i="47" s="1"/>
  <c r="G76" i="46"/>
  <c r="CC79" i="47" s="1"/>
  <c r="I72" i="46"/>
  <c r="CD66" i="47" s="1"/>
  <c r="I73" i="46"/>
  <c r="CD67" i="47" s="1"/>
  <c r="G70" i="46"/>
  <c r="CC73" i="47" s="1"/>
  <c r="G73" i="46"/>
  <c r="CC76" i="47" s="1"/>
  <c r="BZ18" i="6"/>
  <c r="BR19" i="6"/>
  <c r="BX18" i="6"/>
  <c r="BP18" i="6"/>
  <c r="BV17" i="6"/>
  <c r="BM21" i="6"/>
  <c r="BJ21" i="6"/>
  <c r="BI21" i="6"/>
  <c r="BG21" i="6"/>
  <c r="BL21" i="6"/>
  <c r="BK21" i="6"/>
  <c r="DE19" i="14"/>
  <c r="CD11" i="14"/>
  <c r="CM11" i="14" s="1"/>
  <c r="H18" i="6"/>
  <c r="BU12" i="14"/>
  <c r="CD12" i="14" s="1"/>
  <c r="F18" i="6"/>
  <c r="E19" i="6" s="1"/>
  <c r="K18" i="6"/>
  <c r="G18" i="6"/>
  <c r="I18" i="6"/>
  <c r="P19" i="6"/>
  <c r="Q19" i="6"/>
  <c r="AH19" i="6"/>
  <c r="AI19" i="6"/>
  <c r="DG20" i="14"/>
  <c r="DH20" i="14"/>
  <c r="CE12" i="14"/>
  <c r="CN12" i="14" s="1"/>
  <c r="DF20" i="14"/>
  <c r="Y19" i="6"/>
  <c r="CG12" i="14"/>
  <c r="CP12" i="14" s="1"/>
  <c r="CF12" i="14"/>
  <c r="CO12" i="14" s="1"/>
  <c r="T19" i="6"/>
  <c r="AC19" i="6"/>
  <c r="A59" i="6"/>
  <c r="AL19" i="6"/>
  <c r="BT26" i="14"/>
  <c r="DD34" i="14" s="1"/>
  <c r="CU25" i="14"/>
  <c r="C33" i="6"/>
  <c r="AG32" i="6"/>
  <c r="R19" i="6"/>
  <c r="S19" i="6"/>
  <c r="N19" i="6"/>
  <c r="M20" i="6" s="1"/>
  <c r="AF19" i="6"/>
  <c r="AE20" i="6" s="1"/>
  <c r="AJ19" i="6"/>
  <c r="AK19" i="6"/>
  <c r="W19" i="6"/>
  <c r="V20" i="6" s="1"/>
  <c r="AB19" i="6"/>
  <c r="BW13" i="14"/>
  <c r="DG21" i="14" s="1"/>
  <c r="AA19" i="6"/>
  <c r="BX13" i="14"/>
  <c r="BV13" i="14"/>
  <c r="DR34" i="47" l="1"/>
  <c r="CI14" i="14"/>
  <c r="CR14" i="14" s="1"/>
  <c r="DJ22" i="14"/>
  <c r="AW22" i="6"/>
  <c r="BZ15" i="14"/>
  <c r="DJ23" i="14" s="1"/>
  <c r="BU19" i="6"/>
  <c r="CA18" i="6"/>
  <c r="BZ27" i="47"/>
  <c r="DR35" i="47" s="1"/>
  <c r="BF33" i="6"/>
  <c r="BZ28" i="47" s="1"/>
  <c r="AP33" i="6"/>
  <c r="DK34" i="14"/>
  <c r="BT22" i="6"/>
  <c r="CI14" i="47"/>
  <c r="CU14" i="47" s="1"/>
  <c r="CV12" i="14"/>
  <c r="DA13" i="47"/>
  <c r="DQ24" i="47"/>
  <c r="DM21" i="47"/>
  <c r="CG13" i="47"/>
  <c r="CS13" i="47" s="1"/>
  <c r="CZ15" i="14"/>
  <c r="DE16" i="47"/>
  <c r="DO22" i="47"/>
  <c r="BS20" i="6"/>
  <c r="BY20" i="6" s="1"/>
  <c r="BX15" i="47"/>
  <c r="CJ15" i="47" s="1"/>
  <c r="CV15" i="47" s="1"/>
  <c r="CY13" i="14"/>
  <c r="DD14" i="47"/>
  <c r="DB15" i="14"/>
  <c r="DF16" i="47"/>
  <c r="Z20" i="6"/>
  <c r="BW15" i="47"/>
  <c r="BQ20" i="6"/>
  <c r="BW20" i="6" s="1"/>
  <c r="BV15" i="47"/>
  <c r="CH15" i="47" s="1"/>
  <c r="CT15" i="47" s="1"/>
  <c r="CX13" i="14"/>
  <c r="DC14" i="47"/>
  <c r="F19" i="6"/>
  <c r="E20" i="6" s="1"/>
  <c r="BU15" i="47" s="1"/>
  <c r="BU14" i="47"/>
  <c r="BY16" i="14"/>
  <c r="BY17" i="47"/>
  <c r="AO22" i="6"/>
  <c r="AN23" i="6" s="1"/>
  <c r="AU22" i="6"/>
  <c r="AQ22" i="6"/>
  <c r="AR22" i="6"/>
  <c r="AT22" i="6"/>
  <c r="AS22" i="6"/>
  <c r="CH15" i="14"/>
  <c r="CQ15" i="14" s="1"/>
  <c r="DI23" i="14"/>
  <c r="DP22" i="47"/>
  <c r="CW13" i="14"/>
  <c r="DB14" i="47"/>
  <c r="DN22" i="47"/>
  <c r="CP67" i="47"/>
  <c r="DJ66" i="47"/>
  <c r="DV74" i="47"/>
  <c r="CO77" i="47"/>
  <c r="DU84" i="47"/>
  <c r="DI76" i="47"/>
  <c r="CO80" i="47"/>
  <c r="DI79" i="47"/>
  <c r="DU87" i="47"/>
  <c r="CP68" i="47"/>
  <c r="DV75" i="47"/>
  <c r="DJ67" i="47"/>
  <c r="DI73" i="47"/>
  <c r="CO74" i="47"/>
  <c r="DU81" i="47"/>
  <c r="DV78" i="47"/>
  <c r="DJ70" i="47"/>
  <c r="CP71" i="47"/>
  <c r="DL87" i="47"/>
  <c r="CZ79" i="47"/>
  <c r="BT80" i="47"/>
  <c r="A78" i="46"/>
  <c r="I68" i="46"/>
  <c r="CD62" i="47" s="1"/>
  <c r="G69" i="46"/>
  <c r="CC72" i="47" s="1"/>
  <c r="G68" i="46"/>
  <c r="CC71" i="47" s="1"/>
  <c r="I75" i="46"/>
  <c r="CD69" i="47" s="1"/>
  <c r="G74" i="46"/>
  <c r="CC77" i="47" s="1"/>
  <c r="I71" i="46"/>
  <c r="CD65" i="47" s="1"/>
  <c r="I70" i="46"/>
  <c r="CD64" i="47" s="1"/>
  <c r="I74" i="46"/>
  <c r="CD68" i="47" s="1"/>
  <c r="I69" i="46"/>
  <c r="CD63" i="47" s="1"/>
  <c r="G75" i="46"/>
  <c r="CC78" i="47" s="1"/>
  <c r="G71" i="46"/>
  <c r="CC74" i="47" s="1"/>
  <c r="G72" i="46"/>
  <c r="CC75" i="47" s="1"/>
  <c r="BZ19" i="6"/>
  <c r="BX19" i="6"/>
  <c r="BR20" i="6"/>
  <c r="BP19" i="6"/>
  <c r="BV18" i="6"/>
  <c r="BI22" i="6"/>
  <c r="BM22" i="6"/>
  <c r="BJ22" i="6"/>
  <c r="BG22" i="6"/>
  <c r="BL22" i="6"/>
  <c r="BK22" i="6"/>
  <c r="DE20" i="14"/>
  <c r="CM12" i="14"/>
  <c r="G19" i="6"/>
  <c r="J19" i="6"/>
  <c r="K19" i="6"/>
  <c r="I19" i="6"/>
  <c r="BU13" i="14"/>
  <c r="CD13" i="14" s="1"/>
  <c r="H19" i="6"/>
  <c r="P20" i="6"/>
  <c r="Q20" i="6"/>
  <c r="AH20" i="6"/>
  <c r="AI20" i="6"/>
  <c r="CG13" i="14"/>
  <c r="CP13" i="14" s="1"/>
  <c r="DH21" i="14"/>
  <c r="CE13" i="14"/>
  <c r="CN13" i="14" s="1"/>
  <c r="DF21" i="14"/>
  <c r="AC20" i="6"/>
  <c r="Y20" i="6"/>
  <c r="CF13" i="14"/>
  <c r="CO13" i="14" s="1"/>
  <c r="T20" i="6"/>
  <c r="AL20" i="6"/>
  <c r="A60" i="6"/>
  <c r="BT27" i="14"/>
  <c r="DD35" i="14" s="1"/>
  <c r="CU26" i="14"/>
  <c r="S20" i="6"/>
  <c r="N20" i="6"/>
  <c r="M21" i="6" s="1"/>
  <c r="R20" i="6"/>
  <c r="AF20" i="6"/>
  <c r="AE21" i="6" s="1"/>
  <c r="AJ20" i="6"/>
  <c r="AK20" i="6"/>
  <c r="C34" i="6"/>
  <c r="AG33" i="6"/>
  <c r="BV14" i="14"/>
  <c r="DF22" i="14" s="1"/>
  <c r="AB20" i="6"/>
  <c r="W20" i="6"/>
  <c r="V21" i="6" s="1"/>
  <c r="AA20" i="6"/>
  <c r="BW14" i="14"/>
  <c r="BX14" i="14"/>
  <c r="DH22" i="14" s="1"/>
  <c r="CI15" i="14" l="1"/>
  <c r="CR15" i="14" s="1"/>
  <c r="AW23" i="6"/>
  <c r="BZ16" i="14"/>
  <c r="BU20" i="6"/>
  <c r="CA19" i="6"/>
  <c r="CA27" i="14"/>
  <c r="CJ27" i="14" s="1"/>
  <c r="CS27" i="14" s="1"/>
  <c r="CL27" i="47"/>
  <c r="CX27" i="47" s="1"/>
  <c r="CL28" i="47"/>
  <c r="CX28" i="47" s="1"/>
  <c r="BF34" i="6"/>
  <c r="BZ29" i="47" s="1"/>
  <c r="CL29" i="47" s="1"/>
  <c r="CX29" i="47" s="1"/>
  <c r="AP34" i="6"/>
  <c r="BT23" i="6"/>
  <c r="J20" i="6"/>
  <c r="BU14" i="14"/>
  <c r="CD14" i="14" s="1"/>
  <c r="CM14" i="14" s="1"/>
  <c r="H20" i="6"/>
  <c r="K20" i="6"/>
  <c r="CV14" i="14" s="1"/>
  <c r="I20" i="6"/>
  <c r="F20" i="6"/>
  <c r="E21" i="6" s="1"/>
  <c r="BU16" i="47" s="1"/>
  <c r="DM24" i="47" s="1"/>
  <c r="G20" i="6"/>
  <c r="BQ21" i="6"/>
  <c r="BW21" i="6" s="1"/>
  <c r="BV16" i="47"/>
  <c r="CH16" i="47" s="1"/>
  <c r="CT16" i="47" s="1"/>
  <c r="DB16" i="14"/>
  <c r="DF17" i="47"/>
  <c r="DQ25" i="47"/>
  <c r="DO23" i="47"/>
  <c r="CI15" i="47"/>
  <c r="CU15" i="47" s="1"/>
  <c r="Z21" i="6"/>
  <c r="BW16" i="47"/>
  <c r="CI16" i="47" s="1"/>
  <c r="CU16" i="47" s="1"/>
  <c r="CH16" i="14"/>
  <c r="CQ16" i="14" s="1"/>
  <c r="DI24" i="14"/>
  <c r="CK17" i="47"/>
  <c r="CW17" i="47" s="1"/>
  <c r="DR36" i="47"/>
  <c r="BS21" i="6"/>
  <c r="BY21" i="6" s="1"/>
  <c r="BX16" i="47"/>
  <c r="CJ16" i="47" s="1"/>
  <c r="CV16" i="47" s="1"/>
  <c r="CY14" i="14"/>
  <c r="DD15" i="47"/>
  <c r="CX14" i="14"/>
  <c r="DC15" i="47"/>
  <c r="CZ16" i="14"/>
  <c r="DE17" i="47"/>
  <c r="CG15" i="47"/>
  <c r="CS15" i="47" s="1"/>
  <c r="DM22" i="47"/>
  <c r="DN23" i="47"/>
  <c r="DP23" i="47"/>
  <c r="CW14" i="14"/>
  <c r="DB15" i="47"/>
  <c r="CV13" i="14"/>
  <c r="DA14" i="47"/>
  <c r="BY17" i="14"/>
  <c r="BY18" i="47"/>
  <c r="AO23" i="6"/>
  <c r="AN24" i="6" s="1"/>
  <c r="AR23" i="6"/>
  <c r="AQ23" i="6"/>
  <c r="AU23" i="6"/>
  <c r="AT23" i="6"/>
  <c r="AS23" i="6"/>
  <c r="DM23" i="47"/>
  <c r="CG14" i="47"/>
  <c r="CS14" i="47" s="1"/>
  <c r="DI75" i="47"/>
  <c r="CO76" i="47"/>
  <c r="DU83" i="47"/>
  <c r="DI74" i="47"/>
  <c r="CO75" i="47"/>
  <c r="DU82" i="47"/>
  <c r="DJ64" i="47"/>
  <c r="CP65" i="47"/>
  <c r="DV72" i="47"/>
  <c r="DI71" i="47"/>
  <c r="CO72" i="47"/>
  <c r="DU79" i="47"/>
  <c r="CP70" i="47"/>
  <c r="DV77" i="47"/>
  <c r="DJ69" i="47"/>
  <c r="DU86" i="47"/>
  <c r="DI78" i="47"/>
  <c r="CO79" i="47"/>
  <c r="CP66" i="47"/>
  <c r="DV73" i="47"/>
  <c r="DJ65" i="47"/>
  <c r="DU80" i="47"/>
  <c r="DI72" i="47"/>
  <c r="CO73" i="47"/>
  <c r="DV76" i="47"/>
  <c r="CP69" i="47"/>
  <c r="DJ68" i="47"/>
  <c r="DV71" i="47"/>
  <c r="DJ63" i="47"/>
  <c r="CP64" i="47"/>
  <c r="DI77" i="47"/>
  <c r="CO78" i="47"/>
  <c r="DU85" i="47"/>
  <c r="CP63" i="47"/>
  <c r="DV70" i="47"/>
  <c r="DJ62" i="47"/>
  <c r="BT81" i="47"/>
  <c r="CZ80" i="47"/>
  <c r="DL88" i="47"/>
  <c r="C77" i="46"/>
  <c r="CA71" i="47" s="1"/>
  <c r="C68" i="46"/>
  <c r="CA62" i="47" s="1"/>
  <c r="C70" i="46"/>
  <c r="CA64" i="47" s="1"/>
  <c r="C73" i="46"/>
  <c r="CA67" i="47" s="1"/>
  <c r="C69" i="46"/>
  <c r="CA63" i="47" s="1"/>
  <c r="C75" i="46"/>
  <c r="CA69" i="47" s="1"/>
  <c r="C71" i="46"/>
  <c r="CA65" i="47" s="1"/>
  <c r="C72" i="46"/>
  <c r="CA66" i="47" s="1"/>
  <c r="C74" i="46"/>
  <c r="CA68" i="47" s="1"/>
  <c r="C76" i="46"/>
  <c r="CA70" i="47" s="1"/>
  <c r="A79" i="46"/>
  <c r="E77" i="46"/>
  <c r="CB71" i="47" s="1"/>
  <c r="E75" i="46"/>
  <c r="CB69" i="47" s="1"/>
  <c r="E73" i="46"/>
  <c r="CB67" i="47" s="1"/>
  <c r="E69" i="46"/>
  <c r="CB63" i="47" s="1"/>
  <c r="E74" i="46"/>
  <c r="CB68" i="47" s="1"/>
  <c r="E70" i="46"/>
  <c r="CB64" i="47" s="1"/>
  <c r="E68" i="46"/>
  <c r="CB62" i="47" s="1"/>
  <c r="E71" i="46"/>
  <c r="CB65" i="47" s="1"/>
  <c r="E76" i="46"/>
  <c r="CB70" i="47" s="1"/>
  <c r="E72" i="46"/>
  <c r="CB66" i="47" s="1"/>
  <c r="BZ20" i="6"/>
  <c r="BX20" i="6"/>
  <c r="BR21" i="6"/>
  <c r="BV19" i="6"/>
  <c r="BP20" i="6"/>
  <c r="BI23" i="6"/>
  <c r="BJ23" i="6"/>
  <c r="BM23" i="6"/>
  <c r="BG23" i="6"/>
  <c r="BL23" i="6"/>
  <c r="BK23" i="6"/>
  <c r="DE21" i="14"/>
  <c r="CM13" i="14"/>
  <c r="P21" i="6"/>
  <c r="Q21" i="6"/>
  <c r="AH21" i="6"/>
  <c r="AI21" i="6"/>
  <c r="DG22" i="14"/>
  <c r="Y21" i="6"/>
  <c r="AC21" i="6"/>
  <c r="CG14" i="14"/>
  <c r="CP14" i="14" s="1"/>
  <c r="CE14" i="14"/>
  <c r="CN14" i="14" s="1"/>
  <c r="CF14" i="14"/>
  <c r="CO14" i="14" s="1"/>
  <c r="T21" i="6"/>
  <c r="AL21" i="6"/>
  <c r="A61" i="6"/>
  <c r="BT28" i="14"/>
  <c r="DD36" i="14" s="1"/>
  <c r="CU27" i="14"/>
  <c r="AF21" i="6"/>
  <c r="AE22" i="6" s="1"/>
  <c r="AJ21" i="6"/>
  <c r="AK21" i="6"/>
  <c r="N21" i="6"/>
  <c r="M22" i="6" s="1"/>
  <c r="R21" i="6"/>
  <c r="S21" i="6"/>
  <c r="C35" i="6"/>
  <c r="AG34" i="6"/>
  <c r="BX15" i="14"/>
  <c r="DH23" i="14" s="1"/>
  <c r="BV15" i="14"/>
  <c r="W21" i="6"/>
  <c r="V22" i="6" s="1"/>
  <c r="BW17" i="47" s="1"/>
  <c r="AB21" i="6"/>
  <c r="AA21" i="6"/>
  <c r="BW15" i="14"/>
  <c r="DG23" i="14" s="1"/>
  <c r="DE22" i="14" l="1"/>
  <c r="CA28" i="14"/>
  <c r="DK36" i="14" s="1"/>
  <c r="BU21" i="6"/>
  <c r="CA20" i="6"/>
  <c r="CI16" i="14"/>
  <c r="CR16" i="14" s="1"/>
  <c r="DJ24" i="14"/>
  <c r="DK35" i="14"/>
  <c r="BZ17" i="14"/>
  <c r="AW24" i="6"/>
  <c r="F21" i="6"/>
  <c r="E22" i="6" s="1"/>
  <c r="BU17" i="47" s="1"/>
  <c r="CG17" i="47" s="1"/>
  <c r="CS17" i="47" s="1"/>
  <c r="G21" i="6"/>
  <c r="BF35" i="6"/>
  <c r="CA29" i="14" s="1"/>
  <c r="CJ29" i="14" s="1"/>
  <c r="CS29" i="14" s="1"/>
  <c r="AP35" i="6"/>
  <c r="CJ28" i="14"/>
  <c r="CS28" i="14" s="1"/>
  <c r="DA15" i="47"/>
  <c r="H21" i="6"/>
  <c r="CG16" i="47"/>
  <c r="CS16" i="47" s="1"/>
  <c r="BU15" i="14"/>
  <c r="CD15" i="14" s="1"/>
  <c r="CM15" i="14" s="1"/>
  <c r="I21" i="6"/>
  <c r="J21" i="6"/>
  <c r="K21" i="6"/>
  <c r="DA16" i="47" s="1"/>
  <c r="BS22" i="6"/>
  <c r="BY22" i="6" s="1"/>
  <c r="BX17" i="47"/>
  <c r="CJ17" i="47" s="1"/>
  <c r="CV17" i="47" s="1"/>
  <c r="DO25" i="47"/>
  <c r="BQ22" i="6"/>
  <c r="BW22" i="6" s="1"/>
  <c r="BV17" i="47"/>
  <c r="CH17" i="47" s="1"/>
  <c r="CT17" i="47" s="1"/>
  <c r="CY15" i="14"/>
  <c r="DD16" i="47"/>
  <c r="DB17" i="14"/>
  <c r="DF18" i="47"/>
  <c r="DR37" i="47"/>
  <c r="CW15" i="14"/>
  <c r="DB16" i="47"/>
  <c r="BY18" i="14"/>
  <c r="BY19" i="47"/>
  <c r="CK19" i="47" s="1"/>
  <c r="CW19" i="47" s="1"/>
  <c r="AO24" i="6"/>
  <c r="AN25" i="6" s="1"/>
  <c r="AR24" i="6"/>
  <c r="AU24" i="6"/>
  <c r="AQ24" i="6"/>
  <c r="AT24" i="6"/>
  <c r="AS24" i="6"/>
  <c r="DN24" i="47"/>
  <c r="BT24" i="6"/>
  <c r="CX15" i="14"/>
  <c r="DC16" i="47"/>
  <c r="CZ17" i="14"/>
  <c r="DE18" i="47"/>
  <c r="DQ26" i="47"/>
  <c r="DP24" i="47"/>
  <c r="DO24" i="47"/>
  <c r="CI17" i="47"/>
  <c r="CU17" i="47" s="1"/>
  <c r="CH17" i="14"/>
  <c r="CQ17" i="14" s="1"/>
  <c r="DI25" i="14"/>
  <c r="CK18" i="47"/>
  <c r="CW18" i="47" s="1"/>
  <c r="CN67" i="47"/>
  <c r="DT74" i="47"/>
  <c r="DH66" i="47"/>
  <c r="CN70" i="47"/>
  <c r="DH69" i="47"/>
  <c r="DT77" i="47"/>
  <c r="DG71" i="47"/>
  <c r="CM72" i="47"/>
  <c r="DS79" i="47"/>
  <c r="CN71" i="47"/>
  <c r="DH70" i="47"/>
  <c r="DT78" i="47"/>
  <c r="DT76" i="47"/>
  <c r="DH68" i="47"/>
  <c r="CN69" i="47"/>
  <c r="CN72" i="47"/>
  <c r="DT79" i="47"/>
  <c r="DH71" i="47"/>
  <c r="CM67" i="47"/>
  <c r="DG66" i="47"/>
  <c r="DS74" i="47"/>
  <c r="DG67" i="47"/>
  <c r="CM68" i="47"/>
  <c r="DS75" i="47"/>
  <c r="DS76" i="47"/>
  <c r="DG68" i="47"/>
  <c r="CM69" i="47"/>
  <c r="DH65" i="47"/>
  <c r="CN66" i="47"/>
  <c r="DT73" i="47"/>
  <c r="DT71" i="47"/>
  <c r="DH63" i="47"/>
  <c r="CN64" i="47"/>
  <c r="CM66" i="47"/>
  <c r="DS73" i="47"/>
  <c r="DG65" i="47"/>
  <c r="CM65" i="47"/>
  <c r="DS72" i="47"/>
  <c r="DG64" i="47"/>
  <c r="CN65" i="47"/>
  <c r="DT72" i="47"/>
  <c r="DH64" i="47"/>
  <c r="DG63" i="47"/>
  <c r="CM64" i="47"/>
  <c r="DS71" i="47"/>
  <c r="DT70" i="47"/>
  <c r="DH62" i="47"/>
  <c r="CN63" i="47"/>
  <c r="CN68" i="47"/>
  <c r="DT75" i="47"/>
  <c r="DH67" i="47"/>
  <c r="CM71" i="47"/>
  <c r="DS78" i="47"/>
  <c r="DG70" i="47"/>
  <c r="CM70" i="47"/>
  <c r="DS77" i="47"/>
  <c r="DG69" i="47"/>
  <c r="DS70" i="47"/>
  <c r="DG62" i="47"/>
  <c r="CM63" i="47"/>
  <c r="BT82" i="47"/>
  <c r="DL89" i="47"/>
  <c r="CZ81" i="47"/>
  <c r="A80" i="46"/>
  <c r="BZ21" i="6"/>
  <c r="BR22" i="6"/>
  <c r="BX21" i="6"/>
  <c r="BV20" i="6"/>
  <c r="BP21" i="6"/>
  <c r="BM24" i="6"/>
  <c r="BJ24" i="6"/>
  <c r="BI24" i="6"/>
  <c r="BG24" i="6"/>
  <c r="BL24" i="6"/>
  <c r="BK24" i="6"/>
  <c r="P22" i="6"/>
  <c r="Q22" i="6"/>
  <c r="AH22" i="6"/>
  <c r="AI22" i="6"/>
  <c r="Y22" i="6"/>
  <c r="Z22" i="6"/>
  <c r="DF23" i="14"/>
  <c r="AC22" i="6"/>
  <c r="CE15" i="14"/>
  <c r="CN15" i="14" s="1"/>
  <c r="CF15" i="14"/>
  <c r="CO15" i="14" s="1"/>
  <c r="CG15" i="14"/>
  <c r="CP15" i="14" s="1"/>
  <c r="T22" i="6"/>
  <c r="AL22" i="6"/>
  <c r="A62" i="6"/>
  <c r="BT29" i="14"/>
  <c r="DD37" i="14" s="1"/>
  <c r="CU28" i="14"/>
  <c r="C36" i="6"/>
  <c r="AG35" i="6"/>
  <c r="S22" i="6"/>
  <c r="N22" i="6"/>
  <c r="M23" i="6" s="1"/>
  <c r="R22" i="6"/>
  <c r="AF22" i="6"/>
  <c r="AE23" i="6" s="1"/>
  <c r="AJ22" i="6"/>
  <c r="AK22" i="6"/>
  <c r="W22" i="6"/>
  <c r="V23" i="6" s="1"/>
  <c r="AA22" i="6"/>
  <c r="AB22" i="6"/>
  <c r="BW16" i="14"/>
  <c r="DG24" i="14" s="1"/>
  <c r="BV16" i="14"/>
  <c r="BX16" i="14"/>
  <c r="DH24" i="14" s="1"/>
  <c r="BZ30" i="47" l="1"/>
  <c r="CL30" i="47" s="1"/>
  <c r="CX30" i="47" s="1"/>
  <c r="AW25" i="6"/>
  <c r="BZ18" i="14"/>
  <c r="CI18" i="14" s="1"/>
  <c r="CR18" i="14" s="1"/>
  <c r="CI17" i="14"/>
  <c r="CR17" i="14" s="1"/>
  <c r="DJ25" i="14"/>
  <c r="BU22" i="6"/>
  <c r="CA21" i="6"/>
  <c r="H22" i="6"/>
  <c r="DM25" i="47"/>
  <c r="BU16" i="14"/>
  <c r="CD16" i="14" s="1"/>
  <c r="CM16" i="14" s="1"/>
  <c r="J22" i="6"/>
  <c r="F22" i="6"/>
  <c r="K22" i="6"/>
  <c r="CV16" i="14" s="1"/>
  <c r="G22" i="6"/>
  <c r="I22" i="6"/>
  <c r="BF36" i="6"/>
  <c r="BZ31" i="47" s="1"/>
  <c r="AP36" i="6"/>
  <c r="DK37" i="14"/>
  <c r="DE23" i="14"/>
  <c r="CV15" i="14"/>
  <c r="BT25" i="6"/>
  <c r="BQ23" i="6"/>
  <c r="BW23" i="6" s="1"/>
  <c r="BV18" i="47"/>
  <c r="CH18" i="47" s="1"/>
  <c r="CT18" i="47" s="1"/>
  <c r="CY16" i="14"/>
  <c r="DD17" i="47"/>
  <c r="DQ27" i="47"/>
  <c r="DN25" i="47"/>
  <c r="DP25" i="47"/>
  <c r="CW16" i="14"/>
  <c r="DB17" i="47"/>
  <c r="CX16" i="14"/>
  <c r="DC17" i="47"/>
  <c r="DB18" i="14"/>
  <c r="DF19" i="47"/>
  <c r="CZ18" i="14"/>
  <c r="DE19" i="47"/>
  <c r="CH18" i="14"/>
  <c r="CQ18" i="14" s="1"/>
  <c r="DI26" i="14"/>
  <c r="Z23" i="6"/>
  <c r="BW18" i="47"/>
  <c r="BS23" i="6"/>
  <c r="BY23" i="6" s="1"/>
  <c r="BX18" i="47"/>
  <c r="BY19" i="14"/>
  <c r="BY20" i="47"/>
  <c r="AO25" i="6"/>
  <c r="AN26" i="6" s="1"/>
  <c r="AR25" i="6"/>
  <c r="AQ25" i="6"/>
  <c r="AU25" i="6"/>
  <c r="AT25" i="6"/>
  <c r="AS25" i="6"/>
  <c r="DL90" i="47"/>
  <c r="BT83" i="47"/>
  <c r="CZ82" i="47"/>
  <c r="A81" i="46"/>
  <c r="BZ22" i="6"/>
  <c r="BR23" i="6"/>
  <c r="BX22" i="6"/>
  <c r="BP22" i="6"/>
  <c r="BV21" i="6"/>
  <c r="BI25" i="6"/>
  <c r="BG25" i="6"/>
  <c r="BM25" i="6"/>
  <c r="BJ25" i="6"/>
  <c r="BL25" i="6"/>
  <c r="BK25" i="6"/>
  <c r="E23" i="6"/>
  <c r="P23" i="6"/>
  <c r="Q23" i="6"/>
  <c r="AH23" i="6"/>
  <c r="AI23" i="6"/>
  <c r="CE16" i="14"/>
  <c r="CN16" i="14" s="1"/>
  <c r="DF24" i="14"/>
  <c r="Y23" i="6"/>
  <c r="AC23" i="6"/>
  <c r="CG16" i="14"/>
  <c r="CP16" i="14" s="1"/>
  <c r="CF16" i="14"/>
  <c r="CO16" i="14" s="1"/>
  <c r="T23" i="6"/>
  <c r="AL23" i="6"/>
  <c r="A63" i="6"/>
  <c r="BT30" i="14"/>
  <c r="DD38" i="14" s="1"/>
  <c r="CU29" i="14"/>
  <c r="AF23" i="6"/>
  <c r="AE24" i="6" s="1"/>
  <c r="AJ23" i="6"/>
  <c r="AK23" i="6"/>
  <c r="N23" i="6"/>
  <c r="M24" i="6" s="1"/>
  <c r="S23" i="6"/>
  <c r="R23" i="6"/>
  <c r="C37" i="6"/>
  <c r="AG36" i="6"/>
  <c r="BV17" i="14"/>
  <c r="DF25" i="14" s="1"/>
  <c r="BX17" i="14"/>
  <c r="DH25" i="14" s="1"/>
  <c r="BW17" i="14"/>
  <c r="DG25" i="14" s="1"/>
  <c r="AB23" i="6"/>
  <c r="AA23" i="6"/>
  <c r="W23" i="6"/>
  <c r="V24" i="6" s="1"/>
  <c r="DR38" i="47" l="1"/>
  <c r="DJ26" i="14"/>
  <c r="BU23" i="6"/>
  <c r="CA22" i="6"/>
  <c r="AW26" i="6"/>
  <c r="BZ19" i="14"/>
  <c r="DJ27" i="14" s="1"/>
  <c r="DE24" i="14"/>
  <c r="CA30" i="14"/>
  <c r="CJ30" i="14" s="1"/>
  <c r="CS30" i="14" s="1"/>
  <c r="DA17" i="47"/>
  <c r="BF37" i="6"/>
  <c r="CA31" i="14" s="1"/>
  <c r="AP37" i="6"/>
  <c r="DB19" i="14"/>
  <c r="DF20" i="47"/>
  <c r="BY20" i="14"/>
  <c r="CH20" i="14" s="1"/>
  <c r="CQ20" i="14" s="1"/>
  <c r="BY21" i="47"/>
  <c r="CK21" i="47" s="1"/>
  <c r="CW21" i="47" s="1"/>
  <c r="AT26" i="6"/>
  <c r="AU26" i="6"/>
  <c r="AQ26" i="6"/>
  <c r="AR26" i="6"/>
  <c r="AO26" i="6"/>
  <c r="AN27" i="6" s="1"/>
  <c r="AS26" i="6"/>
  <c r="DR39" i="47"/>
  <c r="DP26" i="47"/>
  <c r="CJ18" i="47"/>
  <c r="CV18" i="47" s="1"/>
  <c r="CL31" i="47"/>
  <c r="CX31" i="47" s="1"/>
  <c r="CZ19" i="14"/>
  <c r="DE20" i="47"/>
  <c r="DQ28" i="47"/>
  <c r="Z24" i="6"/>
  <c r="BW19" i="47"/>
  <c r="CI19" i="47" s="1"/>
  <c r="CU19" i="47" s="1"/>
  <c r="BS24" i="6"/>
  <c r="BY24" i="6" s="1"/>
  <c r="BX19" i="47"/>
  <c r="CJ19" i="47" s="1"/>
  <c r="CV19" i="47" s="1"/>
  <c r="CY17" i="14"/>
  <c r="DD18" i="47"/>
  <c r="CX17" i="14"/>
  <c r="DC18" i="47"/>
  <c r="CH19" i="14"/>
  <c r="CQ19" i="14" s="1"/>
  <c r="DI27" i="14"/>
  <c r="DO26" i="47"/>
  <c r="CI18" i="47"/>
  <c r="CU18" i="47" s="1"/>
  <c r="CK20" i="47"/>
  <c r="CW20" i="47" s="1"/>
  <c r="DN26" i="47"/>
  <c r="BQ24" i="6"/>
  <c r="BW24" i="6" s="1"/>
  <c r="BV19" i="47"/>
  <c r="CH19" i="47" s="1"/>
  <c r="CT19" i="47" s="1"/>
  <c r="CW17" i="14"/>
  <c r="DB18" i="47"/>
  <c r="H23" i="6"/>
  <c r="BU18" i="47"/>
  <c r="BT26" i="6"/>
  <c r="CZ83" i="47"/>
  <c r="DL91" i="47"/>
  <c r="BT84" i="47"/>
  <c r="A82" i="46"/>
  <c r="BZ23" i="6"/>
  <c r="BX23" i="6"/>
  <c r="BR24" i="6"/>
  <c r="BP23" i="6"/>
  <c r="BV22" i="6"/>
  <c r="BL26" i="6"/>
  <c r="BG26" i="6"/>
  <c r="BJ26" i="6"/>
  <c r="BM26" i="6"/>
  <c r="BI26" i="6"/>
  <c r="BK26" i="6"/>
  <c r="F23" i="6"/>
  <c r="E24" i="6" s="1"/>
  <c r="BU19" i="47" s="1"/>
  <c r="BU17" i="14"/>
  <c r="J23" i="6"/>
  <c r="K23" i="6"/>
  <c r="I23" i="6"/>
  <c r="G23" i="6"/>
  <c r="P24" i="6"/>
  <c r="Q24" i="6"/>
  <c r="AH24" i="6"/>
  <c r="AI24" i="6"/>
  <c r="AC24" i="6"/>
  <c r="Y24" i="6"/>
  <c r="CF17" i="14"/>
  <c r="CO17" i="14" s="1"/>
  <c r="CE17" i="14"/>
  <c r="CN17" i="14" s="1"/>
  <c r="CG17" i="14"/>
  <c r="CP17" i="14" s="1"/>
  <c r="T24" i="6"/>
  <c r="AL24" i="6"/>
  <c r="A64" i="6"/>
  <c r="BT31" i="14"/>
  <c r="DD39" i="14" s="1"/>
  <c r="CU30" i="14"/>
  <c r="C38" i="6"/>
  <c r="AG37" i="6"/>
  <c r="S24" i="6"/>
  <c r="R24" i="6"/>
  <c r="N24" i="6"/>
  <c r="M25" i="6" s="1"/>
  <c r="AF24" i="6"/>
  <c r="AE25" i="6" s="1"/>
  <c r="AJ24" i="6"/>
  <c r="AK24" i="6"/>
  <c r="BW18" i="14"/>
  <c r="DG26" i="14" s="1"/>
  <c r="AA24" i="6"/>
  <c r="AB24" i="6"/>
  <c r="W24" i="6"/>
  <c r="V25" i="6" s="1"/>
  <c r="BW20" i="47" s="1"/>
  <c r="BV18" i="14"/>
  <c r="BX18" i="14"/>
  <c r="DH26" i="14" s="1"/>
  <c r="CJ31" i="14" l="1"/>
  <c r="CS31" i="14" s="1"/>
  <c r="BU24" i="6"/>
  <c r="CA23" i="6"/>
  <c r="DK38" i="14"/>
  <c r="CI19" i="14"/>
  <c r="CR19" i="14" s="1"/>
  <c r="AW27" i="6"/>
  <c r="BZ20" i="14"/>
  <c r="BZ32" i="47"/>
  <c r="CL32" i="47" s="1"/>
  <c r="CX32" i="47" s="1"/>
  <c r="DK39" i="14"/>
  <c r="BF38" i="6"/>
  <c r="CA32" i="14" s="1"/>
  <c r="CJ32" i="14" s="1"/>
  <c r="CS32" i="14" s="1"/>
  <c r="AP38" i="6"/>
  <c r="BT27" i="6"/>
  <c r="BQ25" i="6"/>
  <c r="BW25" i="6" s="1"/>
  <c r="BV20" i="47"/>
  <c r="CH20" i="47" s="1"/>
  <c r="CT20" i="47" s="1"/>
  <c r="CX18" i="14"/>
  <c r="DC19" i="47"/>
  <c r="CI20" i="47"/>
  <c r="CU20" i="47" s="1"/>
  <c r="DO27" i="47"/>
  <c r="CZ20" i="14"/>
  <c r="DE21" i="47"/>
  <c r="BS25" i="6"/>
  <c r="BY25" i="6" s="1"/>
  <c r="BX20" i="47"/>
  <c r="CJ20" i="47" s="1"/>
  <c r="CV20" i="47" s="1"/>
  <c r="DB20" i="14"/>
  <c r="DF21" i="47"/>
  <c r="BY21" i="14"/>
  <c r="BY22" i="47"/>
  <c r="CK22" i="47" s="1"/>
  <c r="CW22" i="47" s="1"/>
  <c r="AO27" i="6"/>
  <c r="AN28" i="6" s="1"/>
  <c r="AT27" i="6"/>
  <c r="AU27" i="6"/>
  <c r="AR27" i="6"/>
  <c r="AQ27" i="6"/>
  <c r="AS27" i="6"/>
  <c r="CY18" i="14"/>
  <c r="DD19" i="47"/>
  <c r="DM27" i="47"/>
  <c r="DP27" i="47"/>
  <c r="CK99" i="47"/>
  <c r="DQ29" i="47"/>
  <c r="CK94" i="47"/>
  <c r="BY94" i="47"/>
  <c r="DO28" i="47"/>
  <c r="CW18" i="14"/>
  <c r="DB19" i="47"/>
  <c r="CV17" i="14"/>
  <c r="DA18" i="47"/>
  <c r="CG19" i="47"/>
  <c r="CS19" i="47" s="1"/>
  <c r="DM26" i="47"/>
  <c r="CG18" i="47"/>
  <c r="CS18" i="47" s="1"/>
  <c r="DN27" i="47"/>
  <c r="DI28" i="14"/>
  <c r="CH101" i="14"/>
  <c r="G26" i="5" s="1"/>
  <c r="CH93" i="14"/>
  <c r="BY93" i="14"/>
  <c r="CZ84" i="47"/>
  <c r="DL92" i="47"/>
  <c r="BT85" i="47"/>
  <c r="A83" i="46"/>
  <c r="BZ24" i="6"/>
  <c r="BX24" i="6"/>
  <c r="BR25" i="6"/>
  <c r="BV23" i="6"/>
  <c r="BP24" i="6"/>
  <c r="BL27" i="6"/>
  <c r="BI27" i="6"/>
  <c r="BJ27" i="6"/>
  <c r="BG27" i="6"/>
  <c r="BM27" i="6"/>
  <c r="BK27" i="6"/>
  <c r="DE25" i="14"/>
  <c r="CD17" i="14"/>
  <c r="CM17" i="14" s="1"/>
  <c r="J24" i="6"/>
  <c r="G24" i="6"/>
  <c r="H24" i="6"/>
  <c r="BU18" i="14"/>
  <c r="K24" i="6"/>
  <c r="F24" i="6"/>
  <c r="I24" i="6"/>
  <c r="P25" i="6"/>
  <c r="Q25" i="6"/>
  <c r="AH25" i="6"/>
  <c r="AI25" i="6"/>
  <c r="Y25" i="6"/>
  <c r="Z25" i="6"/>
  <c r="CE18" i="14"/>
  <c r="CN18" i="14" s="1"/>
  <c r="DF26" i="14"/>
  <c r="AC25" i="6"/>
  <c r="CG18" i="14"/>
  <c r="CP18" i="14" s="1"/>
  <c r="CF18" i="14"/>
  <c r="CO18" i="14" s="1"/>
  <c r="T25" i="6"/>
  <c r="AL25" i="6"/>
  <c r="A65" i="6"/>
  <c r="BT32" i="14"/>
  <c r="DD40" i="14" s="1"/>
  <c r="CU31" i="14"/>
  <c r="AF25" i="6"/>
  <c r="AE26" i="6" s="1"/>
  <c r="AJ25" i="6"/>
  <c r="AK25" i="6"/>
  <c r="S25" i="6"/>
  <c r="R25" i="6"/>
  <c r="N25" i="6"/>
  <c r="M26" i="6" s="1"/>
  <c r="C39" i="6"/>
  <c r="AG38" i="6"/>
  <c r="BX19" i="14"/>
  <c r="BW19" i="14"/>
  <c r="AB25" i="6"/>
  <c r="W25" i="6"/>
  <c r="V26" i="6" s="1"/>
  <c r="AA25" i="6"/>
  <c r="BV19" i="14"/>
  <c r="DR40" i="47" l="1"/>
  <c r="CI20" i="14"/>
  <c r="CR20" i="14" s="1"/>
  <c r="DJ28" i="14"/>
  <c r="CI101" i="14"/>
  <c r="H26" i="5" s="1"/>
  <c r="CI93" i="14"/>
  <c r="BZ93" i="14"/>
  <c r="AW28" i="6"/>
  <c r="BZ21" i="14"/>
  <c r="BU25" i="6"/>
  <c r="CA24" i="6"/>
  <c r="BZ33" i="47"/>
  <c r="CL33" i="47" s="1"/>
  <c r="CX33" i="47" s="1"/>
  <c r="BF39" i="6"/>
  <c r="CA33" i="14" s="1"/>
  <c r="CJ33" i="14" s="1"/>
  <c r="CS33" i="14" s="1"/>
  <c r="AP39" i="6"/>
  <c r="DK40" i="14"/>
  <c r="BT28" i="6"/>
  <c r="BS26" i="6"/>
  <c r="BY26" i="6" s="1"/>
  <c r="BX21" i="47"/>
  <c r="CJ21" i="47" s="1"/>
  <c r="CV21" i="47" s="1"/>
  <c r="CY19" i="14"/>
  <c r="DD20" i="47"/>
  <c r="CX19" i="14"/>
  <c r="DC20" i="47"/>
  <c r="Z26" i="6"/>
  <c r="BW21" i="47"/>
  <c r="CW19" i="14"/>
  <c r="DB20" i="47"/>
  <c r="BY22" i="14"/>
  <c r="BY23" i="47"/>
  <c r="CK23" i="47" s="1"/>
  <c r="CW23" i="47" s="1"/>
  <c r="AO28" i="6"/>
  <c r="AN29" i="6" s="1"/>
  <c r="AT28" i="6"/>
  <c r="AU28" i="6"/>
  <c r="AR28" i="6"/>
  <c r="AQ28" i="6"/>
  <c r="AS28" i="6"/>
  <c r="DQ30" i="47"/>
  <c r="DP28" i="47"/>
  <c r="DN28" i="47"/>
  <c r="BQ26" i="6"/>
  <c r="BW26" i="6" s="1"/>
  <c r="BV21" i="47"/>
  <c r="CH21" i="47" s="1"/>
  <c r="CT21" i="47" s="1"/>
  <c r="CV18" i="14"/>
  <c r="DA19" i="47"/>
  <c r="DB21" i="14"/>
  <c r="DF22" i="47"/>
  <c r="CZ21" i="14"/>
  <c r="DE22" i="47"/>
  <c r="CH21" i="14"/>
  <c r="CQ21" i="14" s="1"/>
  <c r="DI29" i="14"/>
  <c r="BT86" i="47"/>
  <c r="CZ85" i="47"/>
  <c r="DL93" i="47"/>
  <c r="A84" i="46"/>
  <c r="BZ25" i="6"/>
  <c r="BR26" i="6"/>
  <c r="BX25" i="6"/>
  <c r="BV24" i="6"/>
  <c r="BL28" i="6"/>
  <c r="BG28" i="6"/>
  <c r="BM28" i="6"/>
  <c r="BI28" i="6"/>
  <c r="BJ28" i="6"/>
  <c r="BK28" i="6"/>
  <c r="CD18" i="14"/>
  <c r="CM18" i="14" s="1"/>
  <c r="DE26" i="14"/>
  <c r="E25" i="6"/>
  <c r="P26" i="6"/>
  <c r="Q26" i="6"/>
  <c r="AH26" i="6"/>
  <c r="AI26" i="6"/>
  <c r="CG19" i="14"/>
  <c r="CP19" i="14" s="1"/>
  <c r="DH27" i="14"/>
  <c r="CE19" i="14"/>
  <c r="CN19" i="14" s="1"/>
  <c r="DF27" i="14"/>
  <c r="CF19" i="14"/>
  <c r="CO19" i="14" s="1"/>
  <c r="DG27" i="14"/>
  <c r="AC26" i="6"/>
  <c r="Y26" i="6"/>
  <c r="T26" i="6"/>
  <c r="AL26" i="6"/>
  <c r="A66" i="6"/>
  <c r="BT33" i="14"/>
  <c r="DD41" i="14" s="1"/>
  <c r="CU32" i="14"/>
  <c r="C40" i="6"/>
  <c r="AG39" i="6"/>
  <c r="S26" i="6"/>
  <c r="N26" i="6"/>
  <c r="M27" i="6" s="1"/>
  <c r="R26" i="6"/>
  <c r="AF26" i="6"/>
  <c r="AE27" i="6" s="1"/>
  <c r="AJ26" i="6"/>
  <c r="AK26" i="6"/>
  <c r="BV20" i="14"/>
  <c r="W26" i="6"/>
  <c r="V27" i="6" s="1"/>
  <c r="AA26" i="6"/>
  <c r="AB26" i="6"/>
  <c r="BW20" i="14"/>
  <c r="BX20" i="14"/>
  <c r="DJ29" i="14" l="1"/>
  <c r="CI21" i="14"/>
  <c r="CR21" i="14" s="1"/>
  <c r="AW29" i="6"/>
  <c r="BZ22" i="14"/>
  <c r="CI22" i="14" s="1"/>
  <c r="CR22" i="14" s="1"/>
  <c r="CA25" i="6"/>
  <c r="BU26" i="6"/>
  <c r="DR41" i="47"/>
  <c r="BZ34" i="47"/>
  <c r="CL34" i="47" s="1"/>
  <c r="CX34" i="47" s="1"/>
  <c r="BF40" i="6"/>
  <c r="CA34" i="14" s="1"/>
  <c r="CJ34" i="14" s="1"/>
  <c r="CS34" i="14" s="1"/>
  <c r="AP40" i="6"/>
  <c r="BT29" i="6"/>
  <c r="DK41" i="14"/>
  <c r="Z27" i="6"/>
  <c r="BW22" i="47"/>
  <c r="CI22" i="47" s="1"/>
  <c r="CU22" i="47" s="1"/>
  <c r="BS27" i="6"/>
  <c r="BY27" i="6" s="1"/>
  <c r="BX22" i="47"/>
  <c r="CJ22" i="47" s="1"/>
  <c r="CV22" i="47" s="1"/>
  <c r="CX20" i="14"/>
  <c r="DC21" i="47"/>
  <c r="CZ22" i="14"/>
  <c r="DE23" i="47"/>
  <c r="CH22" i="14"/>
  <c r="CQ22" i="14" s="1"/>
  <c r="DI30" i="14"/>
  <c r="DO29" i="47"/>
  <c r="CI94" i="47"/>
  <c r="CI99" i="47"/>
  <c r="BW94" i="47"/>
  <c r="CI21" i="47"/>
  <c r="CU21" i="47" s="1"/>
  <c r="CY20" i="14"/>
  <c r="DD21" i="47"/>
  <c r="DB22" i="14"/>
  <c r="DF23" i="47"/>
  <c r="CH94" i="47"/>
  <c r="DN29" i="47"/>
  <c r="CH99" i="47"/>
  <c r="BV94" i="47"/>
  <c r="BQ27" i="6"/>
  <c r="BW27" i="6" s="1"/>
  <c r="BV22" i="47"/>
  <c r="CH22" i="47" s="1"/>
  <c r="CT22" i="47" s="1"/>
  <c r="CW20" i="14"/>
  <c r="DB21" i="47"/>
  <c r="BY23" i="14"/>
  <c r="BY24" i="47"/>
  <c r="CK24" i="47" s="1"/>
  <c r="CW24" i="47" s="1"/>
  <c r="AT29" i="6"/>
  <c r="AU29" i="6"/>
  <c r="AR29" i="6"/>
  <c r="AQ29" i="6"/>
  <c r="AO29" i="6"/>
  <c r="AN30" i="6" s="1"/>
  <c r="AS29" i="6"/>
  <c r="DP29" i="47"/>
  <c r="CJ94" i="47"/>
  <c r="CJ99" i="47"/>
  <c r="BX94" i="47"/>
  <c r="BP25" i="6"/>
  <c r="BV25" i="6" s="1"/>
  <c r="BU20" i="47"/>
  <c r="DQ31" i="47"/>
  <c r="DL94" i="47"/>
  <c r="BT87" i="47"/>
  <c r="CZ86" i="47"/>
  <c r="A85" i="46"/>
  <c r="BZ26" i="6"/>
  <c r="BR27" i="6"/>
  <c r="BX26" i="6"/>
  <c r="BL29" i="6"/>
  <c r="BJ29" i="6"/>
  <c r="BG29" i="6"/>
  <c r="BI29" i="6"/>
  <c r="BM29" i="6"/>
  <c r="BK29" i="6"/>
  <c r="K25" i="6"/>
  <c r="J25" i="6"/>
  <c r="BU19" i="14"/>
  <c r="H25" i="6"/>
  <c r="F25" i="6"/>
  <c r="I25" i="6"/>
  <c r="G25" i="6"/>
  <c r="CF101" i="14"/>
  <c r="E26" i="5" s="1"/>
  <c r="CF93" i="14"/>
  <c r="CG101" i="14"/>
  <c r="F26" i="5" s="1"/>
  <c r="CG93" i="14"/>
  <c r="CE93" i="14"/>
  <c r="CE101" i="14"/>
  <c r="D26" i="5" s="1"/>
  <c r="P27" i="6"/>
  <c r="Q27" i="6"/>
  <c r="AH27" i="6"/>
  <c r="AI27" i="6"/>
  <c r="BV93" i="14"/>
  <c r="BX93" i="14"/>
  <c r="DG28" i="14"/>
  <c r="BW93" i="14"/>
  <c r="DH28" i="14"/>
  <c r="DF28" i="14"/>
  <c r="CF20" i="14"/>
  <c r="CO20" i="14" s="1"/>
  <c r="AC27" i="6"/>
  <c r="Y27" i="6"/>
  <c r="CE20" i="14"/>
  <c r="CN20" i="14" s="1"/>
  <c r="CG20" i="14"/>
  <c r="CP20" i="14" s="1"/>
  <c r="T27" i="6"/>
  <c r="AL27" i="6"/>
  <c r="A67" i="6"/>
  <c r="BT34" i="14"/>
  <c r="DD42" i="14" s="1"/>
  <c r="CU33" i="14"/>
  <c r="C41" i="6"/>
  <c r="AG40" i="6"/>
  <c r="AF27" i="6"/>
  <c r="AE28" i="6" s="1"/>
  <c r="AJ27" i="6"/>
  <c r="AK27" i="6"/>
  <c r="S27" i="6"/>
  <c r="N27" i="6"/>
  <c r="M28" i="6" s="1"/>
  <c r="R27" i="6"/>
  <c r="BX21" i="14"/>
  <c r="BW21" i="14"/>
  <c r="DG29" i="14" s="1"/>
  <c r="AB27" i="6"/>
  <c r="W27" i="6"/>
  <c r="V28" i="6" s="1"/>
  <c r="BW23" i="47" s="1"/>
  <c r="AA27" i="6"/>
  <c r="BV21" i="14"/>
  <c r="DF29" i="14" s="1"/>
  <c r="DR42" i="47" l="1"/>
  <c r="BU27" i="6"/>
  <c r="CA26" i="6"/>
  <c r="BZ23" i="14"/>
  <c r="CI23" i="14" s="1"/>
  <c r="CR23" i="14" s="1"/>
  <c r="AW30" i="6"/>
  <c r="DJ30" i="14"/>
  <c r="BZ35" i="47"/>
  <c r="CL35" i="47" s="1"/>
  <c r="CX35" i="47" s="1"/>
  <c r="BF41" i="6"/>
  <c r="CA35" i="14" s="1"/>
  <c r="AP41" i="6"/>
  <c r="DK42" i="14"/>
  <c r="BS28" i="6"/>
  <c r="BY28" i="6" s="1"/>
  <c r="BX23" i="47"/>
  <c r="CJ23" i="47" s="1"/>
  <c r="CV23" i="47" s="1"/>
  <c r="DB23" i="14"/>
  <c r="DF24" i="47"/>
  <c r="CZ23" i="14"/>
  <c r="DE24" i="47"/>
  <c r="BQ28" i="6"/>
  <c r="BW28" i="6" s="1"/>
  <c r="BV23" i="47"/>
  <c r="CH23" i="47" s="1"/>
  <c r="CT23" i="47" s="1"/>
  <c r="CY21" i="14"/>
  <c r="DD22" i="47"/>
  <c r="DM28" i="47"/>
  <c r="CG20" i="47"/>
  <c r="CS20" i="47" s="1"/>
  <c r="BY24" i="14"/>
  <c r="BY25" i="47"/>
  <c r="CK25" i="47" s="1"/>
  <c r="CW25" i="47" s="1"/>
  <c r="AT30" i="6"/>
  <c r="AU30" i="6"/>
  <c r="AR30" i="6"/>
  <c r="AQ30" i="6"/>
  <c r="AO30" i="6"/>
  <c r="AN31" i="6" s="1"/>
  <c r="AS30" i="6"/>
  <c r="DO30" i="47"/>
  <c r="CI23" i="47"/>
  <c r="CU23" i="47" s="1"/>
  <c r="DO31" i="47"/>
  <c r="CW21" i="14"/>
  <c r="DB22" i="47"/>
  <c r="CX21" i="14"/>
  <c r="DC22" i="47"/>
  <c r="CV19" i="14"/>
  <c r="DA20" i="47"/>
  <c r="DQ32" i="47"/>
  <c r="DN30" i="47"/>
  <c r="CH23" i="14"/>
  <c r="CQ23" i="14" s="1"/>
  <c r="DI31" i="14"/>
  <c r="DP30" i="47"/>
  <c r="BT30" i="6"/>
  <c r="CZ87" i="47"/>
  <c r="DL95" i="47"/>
  <c r="BT88" i="47"/>
  <c r="A86" i="46"/>
  <c r="BZ27" i="6"/>
  <c r="BX27" i="6"/>
  <c r="BR28" i="6"/>
  <c r="BI30" i="6"/>
  <c r="BM30" i="6"/>
  <c r="BJ30" i="6"/>
  <c r="BL30" i="6"/>
  <c r="BG30" i="6"/>
  <c r="BK30" i="6"/>
  <c r="CD19" i="14"/>
  <c r="CM19" i="14" s="1"/>
  <c r="DE27" i="14"/>
  <c r="E26" i="6"/>
  <c r="P28" i="6"/>
  <c r="Q28" i="6"/>
  <c r="AH28" i="6"/>
  <c r="AI28" i="6"/>
  <c r="Y28" i="6"/>
  <c r="Z28" i="6"/>
  <c r="CG21" i="14"/>
  <c r="CP21" i="14" s="1"/>
  <c r="DH29" i="14"/>
  <c r="AC28" i="6"/>
  <c r="CF21" i="14"/>
  <c r="CO21" i="14" s="1"/>
  <c r="CE21" i="14"/>
  <c r="CN21" i="14" s="1"/>
  <c r="T28" i="6"/>
  <c r="AL28" i="6"/>
  <c r="A68" i="6"/>
  <c r="BT35" i="14"/>
  <c r="DD43" i="14" s="1"/>
  <c r="CU34" i="14"/>
  <c r="S28" i="6"/>
  <c r="N28" i="6"/>
  <c r="M29" i="6" s="1"/>
  <c r="R28" i="6"/>
  <c r="AF28" i="6"/>
  <c r="AE29" i="6" s="1"/>
  <c r="AJ28" i="6"/>
  <c r="AK28" i="6"/>
  <c r="C42" i="6"/>
  <c r="AG41" i="6"/>
  <c r="BV22" i="14"/>
  <c r="DF30" i="14" s="1"/>
  <c r="AA28" i="6"/>
  <c r="AB28" i="6"/>
  <c r="BW22" i="14"/>
  <c r="W28" i="6"/>
  <c r="V29" i="6" s="1"/>
  <c r="BX22" i="14"/>
  <c r="DH30" i="14" s="1"/>
  <c r="AW31" i="6" l="1"/>
  <c r="BZ24" i="14"/>
  <c r="CI24" i="14" s="1"/>
  <c r="CR24" i="14" s="1"/>
  <c r="DJ31" i="14"/>
  <c r="BU28" i="6"/>
  <c r="CA27" i="6"/>
  <c r="DR43" i="47"/>
  <c r="BZ36" i="47"/>
  <c r="CL36" i="47" s="1"/>
  <c r="CX36" i="47" s="1"/>
  <c r="DK43" i="14"/>
  <c r="CJ35" i="14"/>
  <c r="CS35" i="14" s="1"/>
  <c r="BF42" i="6"/>
  <c r="CA36" i="14" s="1"/>
  <c r="DK44" i="14" s="1"/>
  <c r="AP42" i="6"/>
  <c r="BT31" i="6"/>
  <c r="BY25" i="14"/>
  <c r="BY26" i="47"/>
  <c r="CK26" i="47" s="1"/>
  <c r="CW26" i="47" s="1"/>
  <c r="AU31" i="6"/>
  <c r="AR31" i="6"/>
  <c r="AQ31" i="6"/>
  <c r="AO31" i="6"/>
  <c r="AN32" i="6" s="1"/>
  <c r="AT31" i="6"/>
  <c r="AS31" i="6"/>
  <c r="DN31" i="47"/>
  <c r="Z29" i="6"/>
  <c r="BW24" i="47"/>
  <c r="CY22" i="14"/>
  <c r="DD23" i="47"/>
  <c r="DB24" i="14"/>
  <c r="DF25" i="47"/>
  <c r="DQ33" i="47"/>
  <c r="BQ29" i="6"/>
  <c r="BW29" i="6" s="1"/>
  <c r="BV24" i="47"/>
  <c r="CX22" i="14"/>
  <c r="DC23" i="47"/>
  <c r="BS29" i="6"/>
  <c r="BY29" i="6" s="1"/>
  <c r="BX24" i="47"/>
  <c r="CJ24" i="47" s="1"/>
  <c r="CV24" i="47" s="1"/>
  <c r="CW22" i="14"/>
  <c r="DB23" i="47"/>
  <c r="BP26" i="6"/>
  <c r="BV26" i="6" s="1"/>
  <c r="BU21" i="47"/>
  <c r="CH24" i="14"/>
  <c r="CQ24" i="14" s="1"/>
  <c r="DI32" i="14"/>
  <c r="DP31" i="47"/>
  <c r="CZ24" i="14"/>
  <c r="DE25" i="47"/>
  <c r="DL96" i="47"/>
  <c r="CZ88" i="47"/>
  <c r="BT89" i="47"/>
  <c r="A87" i="46"/>
  <c r="I80" i="46"/>
  <c r="CD74" i="47" s="1"/>
  <c r="I84" i="46"/>
  <c r="CD78" i="47" s="1"/>
  <c r="BZ28" i="6"/>
  <c r="BX28" i="6"/>
  <c r="BR29" i="6"/>
  <c r="BG31" i="6"/>
  <c r="BJ31" i="6"/>
  <c r="BM31" i="6"/>
  <c r="BL31" i="6"/>
  <c r="BI31" i="6"/>
  <c r="BK31" i="6"/>
  <c r="K26" i="6"/>
  <c r="F26" i="6"/>
  <c r="E27" i="6" s="1"/>
  <c r="H26" i="6"/>
  <c r="BU20" i="14"/>
  <c r="I26" i="6"/>
  <c r="J26" i="6"/>
  <c r="G26" i="6"/>
  <c r="P29" i="6"/>
  <c r="Q29" i="6"/>
  <c r="AH29" i="6"/>
  <c r="AI29" i="6"/>
  <c r="CF22" i="14"/>
  <c r="CO22" i="14" s="1"/>
  <c r="DG30" i="14"/>
  <c r="AC29" i="6"/>
  <c r="Y29" i="6"/>
  <c r="CG22" i="14"/>
  <c r="CP22" i="14" s="1"/>
  <c r="CE22" i="14"/>
  <c r="CN22" i="14" s="1"/>
  <c r="T29" i="6"/>
  <c r="AL29" i="6"/>
  <c r="DD24" i="47" s="1"/>
  <c r="A69" i="6"/>
  <c r="BT36" i="14"/>
  <c r="DD44" i="14" s="1"/>
  <c r="CU35" i="14"/>
  <c r="AK29" i="6"/>
  <c r="AF29" i="6"/>
  <c r="AE30" i="6" s="1"/>
  <c r="AJ29" i="6"/>
  <c r="N29" i="6"/>
  <c r="M30" i="6" s="1"/>
  <c r="R29" i="6"/>
  <c r="S29" i="6"/>
  <c r="C43" i="6"/>
  <c r="AG42" i="6"/>
  <c r="BV23" i="14"/>
  <c r="DF31" i="14" s="1"/>
  <c r="BW23" i="14"/>
  <c r="DG31" i="14" s="1"/>
  <c r="AA29" i="6"/>
  <c r="AB29" i="6"/>
  <c r="W29" i="6"/>
  <c r="V30" i="6" s="1"/>
  <c r="BX23" i="14"/>
  <c r="DH31" i="14" s="1"/>
  <c r="DR44" i="47" l="1"/>
  <c r="BU29" i="6"/>
  <c r="CA28" i="6"/>
  <c r="DJ32" i="14"/>
  <c r="BZ25" i="14"/>
  <c r="CI25" i="14" s="1"/>
  <c r="CR25" i="14" s="1"/>
  <c r="AW32" i="6"/>
  <c r="BZ37" i="47"/>
  <c r="CL37" i="47" s="1"/>
  <c r="CX37" i="47" s="1"/>
  <c r="CJ36" i="14"/>
  <c r="CS36" i="14" s="1"/>
  <c r="BF43" i="6"/>
  <c r="BZ38" i="47" s="1"/>
  <c r="AP43" i="6"/>
  <c r="Z30" i="6"/>
  <c r="BW25" i="47"/>
  <c r="CI25" i="47" s="1"/>
  <c r="CU25" i="47" s="1"/>
  <c r="CZ25" i="14"/>
  <c r="DE26" i="47"/>
  <c r="CW23" i="14"/>
  <c r="DB24" i="47"/>
  <c r="CX23" i="14"/>
  <c r="DC24" i="47"/>
  <c r="BP27" i="6"/>
  <c r="BV27" i="6" s="1"/>
  <c r="BU22" i="47"/>
  <c r="CG22" i="47" s="1"/>
  <c r="CS22" i="47" s="1"/>
  <c r="CG99" i="47"/>
  <c r="DM29" i="47"/>
  <c r="CG94" i="47"/>
  <c r="BU94" i="47"/>
  <c r="CG21" i="47"/>
  <c r="CS21" i="47" s="1"/>
  <c r="DP32" i="47"/>
  <c r="DN32" i="47"/>
  <c r="CH24" i="47"/>
  <c r="CT24" i="47" s="1"/>
  <c r="BY26" i="14"/>
  <c r="BY27" i="47"/>
  <c r="AQ32" i="6"/>
  <c r="AU32" i="6"/>
  <c r="AR32" i="6"/>
  <c r="AO32" i="6"/>
  <c r="AN33" i="6" s="1"/>
  <c r="AT32" i="6"/>
  <c r="AS32" i="6"/>
  <c r="DQ34" i="47"/>
  <c r="CV20" i="14"/>
  <c r="DA21" i="47"/>
  <c r="DB25" i="14"/>
  <c r="DF26" i="47"/>
  <c r="CH25" i="14"/>
  <c r="CQ25" i="14" s="1"/>
  <c r="DI33" i="14"/>
  <c r="BQ30" i="6"/>
  <c r="BW30" i="6" s="1"/>
  <c r="BV25" i="47"/>
  <c r="CH25" i="47" s="1"/>
  <c r="CT25" i="47" s="1"/>
  <c r="BS30" i="6"/>
  <c r="BY30" i="6" s="1"/>
  <c r="BX25" i="47"/>
  <c r="DO32" i="47"/>
  <c r="CI24" i="47"/>
  <c r="CU24" i="47" s="1"/>
  <c r="BT32" i="6"/>
  <c r="DV86" i="47"/>
  <c r="CP79" i="47"/>
  <c r="DJ78" i="47"/>
  <c r="CP75" i="47"/>
  <c r="DV82" i="47"/>
  <c r="DJ74" i="47"/>
  <c r="BT90" i="47"/>
  <c r="DL97" i="47"/>
  <c r="CZ89" i="47"/>
  <c r="A88" i="46"/>
  <c r="G79" i="46"/>
  <c r="CC82" i="47" s="1"/>
  <c r="G81" i="46"/>
  <c r="CC84" i="47" s="1"/>
  <c r="I83" i="46"/>
  <c r="CD77" i="47" s="1"/>
  <c r="G83" i="46"/>
  <c r="CC86" i="47" s="1"/>
  <c r="I78" i="46"/>
  <c r="CD72" i="47" s="1"/>
  <c r="G80" i="46"/>
  <c r="CC83" i="47" s="1"/>
  <c r="G82" i="46"/>
  <c r="CC85" i="47" s="1"/>
  <c r="I82" i="46"/>
  <c r="CD76" i="47" s="1"/>
  <c r="I81" i="46"/>
  <c r="CD75" i="47" s="1"/>
  <c r="I79" i="46"/>
  <c r="CD73" i="47" s="1"/>
  <c r="G78" i="46"/>
  <c r="CC81" i="47" s="1"/>
  <c r="I85" i="46"/>
  <c r="CD79" i="47" s="1"/>
  <c r="G86" i="46"/>
  <c r="CC89" i="47" s="1"/>
  <c r="G84" i="46"/>
  <c r="CC87" i="47" s="1"/>
  <c r="I86" i="46"/>
  <c r="CD80" i="47" s="1"/>
  <c r="G85" i="46"/>
  <c r="CC88" i="47" s="1"/>
  <c r="BZ29" i="6"/>
  <c r="BR30" i="6"/>
  <c r="BX29" i="6"/>
  <c r="CY23" i="14"/>
  <c r="BL32" i="6"/>
  <c r="BI32" i="6"/>
  <c r="BM32" i="6"/>
  <c r="BG32" i="6"/>
  <c r="BJ32" i="6"/>
  <c r="BK32" i="6"/>
  <c r="CD20" i="14"/>
  <c r="CM20" i="14" s="1"/>
  <c r="CD101" i="14"/>
  <c r="C26" i="5" s="1"/>
  <c r="CD93" i="14"/>
  <c r="BU93" i="14"/>
  <c r="DE28" i="14"/>
  <c r="J27" i="6"/>
  <c r="K27" i="6"/>
  <c r="H27" i="6"/>
  <c r="BU21" i="14"/>
  <c r="I27" i="6"/>
  <c r="G27" i="6"/>
  <c r="F27" i="6"/>
  <c r="E28" i="6" s="1"/>
  <c r="P30" i="6"/>
  <c r="Q30" i="6"/>
  <c r="AH30" i="6"/>
  <c r="AI30" i="6"/>
  <c r="AC30" i="6"/>
  <c r="Y30" i="6"/>
  <c r="CE23" i="14"/>
  <c r="CN23" i="14" s="1"/>
  <c r="CF23" i="14"/>
  <c r="CO23" i="14" s="1"/>
  <c r="CG23" i="14"/>
  <c r="CP23" i="14" s="1"/>
  <c r="T30" i="6"/>
  <c r="AL30" i="6"/>
  <c r="A70" i="6"/>
  <c r="BT37" i="14"/>
  <c r="DD45" i="14" s="1"/>
  <c r="CU36" i="14"/>
  <c r="S30" i="6"/>
  <c r="N30" i="6"/>
  <c r="M31" i="6" s="1"/>
  <c r="R30" i="6"/>
  <c r="AF30" i="6"/>
  <c r="AE31" i="6" s="1"/>
  <c r="AJ30" i="6"/>
  <c r="AK30" i="6"/>
  <c r="C44" i="6"/>
  <c r="AG43" i="6"/>
  <c r="AA30" i="6"/>
  <c r="W30" i="6"/>
  <c r="V31" i="6" s="1"/>
  <c r="BW24" i="14"/>
  <c r="DG32" i="14" s="1"/>
  <c r="AB30" i="6"/>
  <c r="BV24" i="14"/>
  <c r="BX24" i="14"/>
  <c r="DH32" i="14" s="1"/>
  <c r="DR45" i="47" l="1"/>
  <c r="AW33" i="6"/>
  <c r="BZ26" i="14"/>
  <c r="CI26" i="14" s="1"/>
  <c r="CR26" i="14" s="1"/>
  <c r="DJ33" i="14"/>
  <c r="BU30" i="6"/>
  <c r="CA29" i="6"/>
  <c r="CA37" i="14"/>
  <c r="DK45" i="14" s="1"/>
  <c r="CL38" i="47"/>
  <c r="CX38" i="47" s="1"/>
  <c r="CJ37" i="14"/>
  <c r="CS37" i="14" s="1"/>
  <c r="BF44" i="6"/>
  <c r="CA38" i="14" s="1"/>
  <c r="AP44" i="6"/>
  <c r="BT33" i="6"/>
  <c r="CX24" i="14"/>
  <c r="DC25" i="47"/>
  <c r="DB26" i="14"/>
  <c r="DF27" i="47"/>
  <c r="BP28" i="6"/>
  <c r="BV28" i="6" s="1"/>
  <c r="BU23" i="47"/>
  <c r="CG23" i="47" s="1"/>
  <c r="CS23" i="47" s="1"/>
  <c r="DN33" i="47"/>
  <c r="BY27" i="14"/>
  <c r="BY28" i="47"/>
  <c r="CK28" i="47" s="1"/>
  <c r="CW28" i="47" s="1"/>
  <c r="AT33" i="6"/>
  <c r="AU33" i="6"/>
  <c r="AR33" i="6"/>
  <c r="AO33" i="6"/>
  <c r="AN34" i="6" s="1"/>
  <c r="AQ33" i="6"/>
  <c r="AS33" i="6"/>
  <c r="DQ35" i="47"/>
  <c r="Z31" i="6"/>
  <c r="BW26" i="47"/>
  <c r="CI26" i="47" s="1"/>
  <c r="CU26" i="47" s="1"/>
  <c r="BQ31" i="6"/>
  <c r="BW31" i="6" s="1"/>
  <c r="BV26" i="47"/>
  <c r="CY24" i="14"/>
  <c r="DD25" i="47"/>
  <c r="CV21" i="14"/>
  <c r="DA22" i="47"/>
  <c r="CK27" i="47"/>
  <c r="CW27" i="47" s="1"/>
  <c r="CH26" i="14"/>
  <c r="CQ26" i="14" s="1"/>
  <c r="DI34" i="14"/>
  <c r="DM30" i="47"/>
  <c r="DO33" i="47"/>
  <c r="BS31" i="6"/>
  <c r="BY31" i="6" s="1"/>
  <c r="BX26" i="47"/>
  <c r="CJ26" i="47" s="1"/>
  <c r="CV26" i="47" s="1"/>
  <c r="CW24" i="14"/>
  <c r="DB25" i="47"/>
  <c r="DP33" i="47"/>
  <c r="DR46" i="47"/>
  <c r="CZ26" i="14"/>
  <c r="DE27" i="47"/>
  <c r="CJ25" i="47"/>
  <c r="CV25" i="47" s="1"/>
  <c r="DJ76" i="47"/>
  <c r="CP77" i="47"/>
  <c r="DV84" i="47"/>
  <c r="DJ80" i="47"/>
  <c r="CP81" i="47"/>
  <c r="DV88" i="47"/>
  <c r="CO82" i="47"/>
  <c r="DI81" i="47"/>
  <c r="DU89" i="47"/>
  <c r="CO86" i="47"/>
  <c r="DU93" i="47"/>
  <c r="DI85" i="47"/>
  <c r="DV85" i="47"/>
  <c r="DJ77" i="47"/>
  <c r="CP78" i="47"/>
  <c r="CP80" i="47"/>
  <c r="DV87" i="47"/>
  <c r="DJ79" i="47"/>
  <c r="DU94" i="47"/>
  <c r="DI86" i="47"/>
  <c r="CO87" i="47"/>
  <c r="CO88" i="47"/>
  <c r="DI87" i="47"/>
  <c r="DU95" i="47"/>
  <c r="DJ73" i="47"/>
  <c r="CP74" i="47"/>
  <c r="DV81" i="47"/>
  <c r="CO84" i="47"/>
  <c r="DU91" i="47"/>
  <c r="DI83" i="47"/>
  <c r="DI84" i="47"/>
  <c r="DU92" i="47"/>
  <c r="CO85" i="47"/>
  <c r="CO89" i="47"/>
  <c r="DU96" i="47"/>
  <c r="DI88" i="47"/>
  <c r="DI89" i="47"/>
  <c r="CO90" i="47"/>
  <c r="DU97" i="47"/>
  <c r="DJ75" i="47"/>
  <c r="CP76" i="47"/>
  <c r="DV83" i="47"/>
  <c r="CP73" i="47"/>
  <c r="DV80" i="47"/>
  <c r="DJ72" i="47"/>
  <c r="CO83" i="47"/>
  <c r="DI82" i="47"/>
  <c r="DU90" i="47"/>
  <c r="BT91" i="47"/>
  <c r="DL98" i="47"/>
  <c r="CZ90" i="47"/>
  <c r="E87" i="46"/>
  <c r="CB81" i="47" s="1"/>
  <c r="E80" i="46"/>
  <c r="CB74" i="47" s="1"/>
  <c r="E81" i="46"/>
  <c r="CB75" i="47" s="1"/>
  <c r="E83" i="46"/>
  <c r="CB77" i="47" s="1"/>
  <c r="E79" i="46"/>
  <c r="CB73" i="47" s="1"/>
  <c r="E82" i="46"/>
  <c r="CB76" i="47" s="1"/>
  <c r="E85" i="46"/>
  <c r="CB79" i="47" s="1"/>
  <c r="E86" i="46"/>
  <c r="CB80" i="47" s="1"/>
  <c r="E84" i="46"/>
  <c r="CB78" i="47" s="1"/>
  <c r="E78" i="46"/>
  <c r="CB72" i="47" s="1"/>
  <c r="C87" i="46"/>
  <c r="CA81" i="47" s="1"/>
  <c r="C83" i="46"/>
  <c r="CA77" i="47" s="1"/>
  <c r="C80" i="46"/>
  <c r="CA74" i="47" s="1"/>
  <c r="C79" i="46"/>
  <c r="CA73" i="47" s="1"/>
  <c r="C82" i="46"/>
  <c r="CA76" i="47" s="1"/>
  <c r="C78" i="46"/>
  <c r="CA72" i="47" s="1"/>
  <c r="C85" i="46"/>
  <c r="CA79" i="47" s="1"/>
  <c r="C81" i="46"/>
  <c r="CA75" i="47" s="1"/>
  <c r="C86" i="46"/>
  <c r="CA80" i="47" s="1"/>
  <c r="C84" i="46"/>
  <c r="CA78" i="47" s="1"/>
  <c r="A89" i="46"/>
  <c r="BZ30" i="6"/>
  <c r="BR31" i="6"/>
  <c r="BX30" i="6"/>
  <c r="BI33" i="6"/>
  <c r="BL33" i="6"/>
  <c r="BG33" i="6"/>
  <c r="BJ33" i="6"/>
  <c r="BM33" i="6"/>
  <c r="BK33" i="6"/>
  <c r="CD21" i="14"/>
  <c r="CM21" i="14" s="1"/>
  <c r="H28" i="6"/>
  <c r="K28" i="6"/>
  <c r="F28" i="6"/>
  <c r="E29" i="6" s="1"/>
  <c r="I28" i="6"/>
  <c r="BU22" i="14"/>
  <c r="J28" i="6"/>
  <c r="G28" i="6"/>
  <c r="DE29" i="14"/>
  <c r="P31" i="6"/>
  <c r="Q31" i="6"/>
  <c r="AH31" i="6"/>
  <c r="AI31" i="6"/>
  <c r="CE24" i="14"/>
  <c r="CN24" i="14" s="1"/>
  <c r="DF32" i="14"/>
  <c r="AC31" i="6"/>
  <c r="Y31" i="6"/>
  <c r="CF24" i="14"/>
  <c r="CO24" i="14" s="1"/>
  <c r="CG24" i="14"/>
  <c r="CP24" i="14" s="1"/>
  <c r="T31" i="6"/>
  <c r="AL31" i="6"/>
  <c r="A71" i="6"/>
  <c r="BT38" i="14"/>
  <c r="DD46" i="14" s="1"/>
  <c r="CU37" i="14"/>
  <c r="AJ31" i="6"/>
  <c r="AK31" i="6"/>
  <c r="AF31" i="6"/>
  <c r="AE32" i="6" s="1"/>
  <c r="R31" i="6"/>
  <c r="S31" i="6"/>
  <c r="N31" i="6"/>
  <c r="M32" i="6" s="1"/>
  <c r="C45" i="6"/>
  <c r="AG44" i="6"/>
  <c r="BX25" i="14"/>
  <c r="BV25" i="14"/>
  <c r="W31" i="6"/>
  <c r="V32" i="6" s="1"/>
  <c r="BW27" i="47" s="1"/>
  <c r="AB31" i="6"/>
  <c r="AA31" i="6"/>
  <c r="BW25" i="14"/>
  <c r="DG33" i="14" s="1"/>
  <c r="BU31" i="6" l="1"/>
  <c r="CA30" i="6"/>
  <c r="DJ34" i="14"/>
  <c r="AW34" i="6"/>
  <c r="BZ27" i="14"/>
  <c r="BZ39" i="47"/>
  <c r="CL39" i="47" s="1"/>
  <c r="CX39" i="47" s="1"/>
  <c r="CJ38" i="14"/>
  <c r="CS38" i="14" s="1"/>
  <c r="DK46" i="14"/>
  <c r="BF45" i="6"/>
  <c r="BZ40" i="47" s="1"/>
  <c r="AP45" i="6"/>
  <c r="BT34" i="6"/>
  <c r="DO35" i="47"/>
  <c r="BQ32" i="6"/>
  <c r="BW32" i="6" s="1"/>
  <c r="BV27" i="47"/>
  <c r="CH27" i="47" s="1"/>
  <c r="CT27" i="47" s="1"/>
  <c r="DN34" i="47"/>
  <c r="BY28" i="14"/>
  <c r="BY29" i="47"/>
  <c r="AT34" i="6"/>
  <c r="AU34" i="6"/>
  <c r="AS34" i="6"/>
  <c r="AQ34" i="6"/>
  <c r="AR34" i="6"/>
  <c r="AO34" i="6"/>
  <c r="AN35" i="6" s="1"/>
  <c r="BT35" i="6" s="1"/>
  <c r="DQ36" i="47"/>
  <c r="CK29" i="47"/>
  <c r="CW29" i="47" s="1"/>
  <c r="DM31" i="47"/>
  <c r="CY25" i="14"/>
  <c r="DD26" i="47"/>
  <c r="CH27" i="14"/>
  <c r="CQ27" i="14" s="1"/>
  <c r="DI35" i="14"/>
  <c r="CW25" i="14"/>
  <c r="DB26" i="47"/>
  <c r="CX25" i="14"/>
  <c r="DC26" i="47"/>
  <c r="BP29" i="6"/>
  <c r="BV29" i="6" s="1"/>
  <c r="BU24" i="47"/>
  <c r="DP34" i="47"/>
  <c r="DO34" i="47"/>
  <c r="CI27" i="47"/>
  <c r="CU27" i="47" s="1"/>
  <c r="CZ27" i="14"/>
  <c r="DE28" i="47"/>
  <c r="CH26" i="47"/>
  <c r="CT26" i="47" s="1"/>
  <c r="DR47" i="47"/>
  <c r="BS32" i="6"/>
  <c r="BY32" i="6" s="1"/>
  <c r="BX27" i="47"/>
  <c r="CJ27" i="47" s="1"/>
  <c r="CV27" i="47" s="1"/>
  <c r="CV22" i="14"/>
  <c r="DA23" i="47"/>
  <c r="DB27" i="14"/>
  <c r="DF28" i="47"/>
  <c r="DG79" i="47"/>
  <c r="CM80" i="47"/>
  <c r="DS87" i="47"/>
  <c r="CN82" i="47"/>
  <c r="DH81" i="47"/>
  <c r="DT89" i="47"/>
  <c r="CM79" i="47"/>
  <c r="DS86" i="47"/>
  <c r="DG78" i="47"/>
  <c r="DG72" i="47"/>
  <c r="CM73" i="47"/>
  <c r="DS80" i="47"/>
  <c r="CM78" i="47"/>
  <c r="DS85" i="47"/>
  <c r="DG77" i="47"/>
  <c r="CN81" i="47"/>
  <c r="DT88" i="47"/>
  <c r="DH80" i="47"/>
  <c r="DT85" i="47"/>
  <c r="DH77" i="47"/>
  <c r="CN78" i="47"/>
  <c r="CN79" i="47"/>
  <c r="DT86" i="47"/>
  <c r="DH78" i="47"/>
  <c r="CM81" i="47"/>
  <c r="DG80" i="47"/>
  <c r="DS88" i="47"/>
  <c r="DS84" i="47"/>
  <c r="CM77" i="47"/>
  <c r="DG76" i="47"/>
  <c r="DG81" i="47"/>
  <c r="CM82" i="47"/>
  <c r="DS89" i="47"/>
  <c r="DT87" i="47"/>
  <c r="DH79" i="47"/>
  <c r="CN80" i="47"/>
  <c r="DH75" i="47"/>
  <c r="CN76" i="47"/>
  <c r="DT83" i="47"/>
  <c r="DG74" i="47"/>
  <c r="CM75" i="47"/>
  <c r="DS82" i="47"/>
  <c r="DH73" i="47"/>
  <c r="CN74" i="47"/>
  <c r="DT81" i="47"/>
  <c r="DG75" i="47"/>
  <c r="CM76" i="47"/>
  <c r="DS83" i="47"/>
  <c r="CM74" i="47"/>
  <c r="DG73" i="47"/>
  <c r="DS81" i="47"/>
  <c r="CN73" i="47"/>
  <c r="DT80" i="47"/>
  <c r="DH72" i="47"/>
  <c r="DT84" i="47"/>
  <c r="CN77" i="47"/>
  <c r="DH76" i="47"/>
  <c r="DH74" i="47"/>
  <c r="CN75" i="47"/>
  <c r="DT82" i="47"/>
  <c r="CZ91" i="47"/>
  <c r="DL99" i="47"/>
  <c r="A90" i="46"/>
  <c r="BZ31" i="6"/>
  <c r="BX31" i="6"/>
  <c r="BR32" i="6"/>
  <c r="BM34" i="6"/>
  <c r="BL34" i="6"/>
  <c r="BJ34" i="6"/>
  <c r="BG34" i="6"/>
  <c r="BK34" i="6"/>
  <c r="BI34" i="6"/>
  <c r="CD22" i="14"/>
  <c r="CM22" i="14" s="1"/>
  <c r="I29" i="6"/>
  <c r="H29" i="6"/>
  <c r="BU23" i="14"/>
  <c r="J29" i="6"/>
  <c r="F29" i="6"/>
  <c r="E30" i="6" s="1"/>
  <c r="K29" i="6"/>
  <c r="G29" i="6"/>
  <c r="DE30" i="14"/>
  <c r="P32" i="6"/>
  <c r="Q32" i="6"/>
  <c r="AH32" i="6"/>
  <c r="AI32" i="6"/>
  <c r="Y32" i="6"/>
  <c r="Z32" i="6"/>
  <c r="CG25" i="14"/>
  <c r="CP25" i="14" s="1"/>
  <c r="DH33" i="14"/>
  <c r="CE25" i="14"/>
  <c r="CN25" i="14" s="1"/>
  <c r="DF33" i="14"/>
  <c r="AC32" i="6"/>
  <c r="CF25" i="14"/>
  <c r="CO25" i="14" s="1"/>
  <c r="T32" i="6"/>
  <c r="AL32" i="6"/>
  <c r="A72" i="6"/>
  <c r="BT39" i="14"/>
  <c r="DD47" i="14" s="1"/>
  <c r="CU38" i="14"/>
  <c r="C46" i="6"/>
  <c r="AG45" i="6"/>
  <c r="S32" i="6"/>
  <c r="R32" i="6"/>
  <c r="N32" i="6"/>
  <c r="M33" i="6" s="1"/>
  <c r="AJ32" i="6"/>
  <c r="AK32" i="6"/>
  <c r="AF32" i="6"/>
  <c r="AE33" i="6" s="1"/>
  <c r="BW26" i="14"/>
  <c r="W32" i="6"/>
  <c r="V33" i="6" s="1"/>
  <c r="AA32" i="6"/>
  <c r="AB32" i="6"/>
  <c r="BX26" i="14"/>
  <c r="DH34" i="14" s="1"/>
  <c r="BV26" i="14"/>
  <c r="DF34" i="14" s="1"/>
  <c r="CL40" i="47" l="1"/>
  <c r="CX40" i="47" s="1"/>
  <c r="DJ35" i="14"/>
  <c r="AW35" i="6"/>
  <c r="BZ28" i="14"/>
  <c r="CI28" i="14" s="1"/>
  <c r="CR28" i="14" s="1"/>
  <c r="BU32" i="6"/>
  <c r="CA31" i="6"/>
  <c r="CI27" i="14"/>
  <c r="CR27" i="14" s="1"/>
  <c r="CA39" i="14"/>
  <c r="BF46" i="6"/>
  <c r="BZ41" i="47" s="1"/>
  <c r="CL41" i="47" s="1"/>
  <c r="AP46" i="6"/>
  <c r="DM32" i="47"/>
  <c r="DQ37" i="47"/>
  <c r="DN35" i="47"/>
  <c r="Z33" i="6"/>
  <c r="BW28" i="47"/>
  <c r="CX26" i="14"/>
  <c r="DC27" i="47"/>
  <c r="DR48" i="47"/>
  <c r="CH28" i="14"/>
  <c r="CQ28" i="14" s="1"/>
  <c r="DI36" i="14"/>
  <c r="CY26" i="14"/>
  <c r="DD27" i="47"/>
  <c r="CV23" i="14"/>
  <c r="DA24" i="47"/>
  <c r="DB28" i="14"/>
  <c r="DF29" i="47"/>
  <c r="BY29" i="14"/>
  <c r="BY30" i="47"/>
  <c r="CK30" i="47" s="1"/>
  <c r="CW30" i="47" s="1"/>
  <c r="AO35" i="6"/>
  <c r="AN36" i="6" s="1"/>
  <c r="BT36" i="6" s="1"/>
  <c r="AT35" i="6"/>
  <c r="AU35" i="6"/>
  <c r="AS35" i="6"/>
  <c r="AQ35" i="6"/>
  <c r="AR35" i="6"/>
  <c r="CZ28" i="14"/>
  <c r="DE29" i="47"/>
  <c r="BQ33" i="6"/>
  <c r="BW33" i="6" s="1"/>
  <c r="BV28" i="47"/>
  <c r="BS33" i="6"/>
  <c r="BY33" i="6" s="1"/>
  <c r="BX28" i="47"/>
  <c r="CJ28" i="47" s="1"/>
  <c r="CV28" i="47" s="1"/>
  <c r="CW26" i="14"/>
  <c r="DB27" i="47"/>
  <c r="BP30" i="6"/>
  <c r="BV30" i="6" s="1"/>
  <c r="BU25" i="47"/>
  <c r="DP35" i="47"/>
  <c r="CG24" i="47"/>
  <c r="CS24" i="47" s="1"/>
  <c r="A91" i="46"/>
  <c r="BZ32" i="6"/>
  <c r="BX32" i="6"/>
  <c r="BR33" i="6"/>
  <c r="BJ35" i="6"/>
  <c r="BI35" i="6"/>
  <c r="BL35" i="6"/>
  <c r="BM35" i="6"/>
  <c r="BK35" i="6"/>
  <c r="BG35" i="6"/>
  <c r="DE31" i="14"/>
  <c r="CD23" i="14"/>
  <c r="CM23" i="14" s="1"/>
  <c r="K30" i="6"/>
  <c r="H30" i="6"/>
  <c r="F30" i="6"/>
  <c r="BU24" i="14"/>
  <c r="CD24" i="14" s="1"/>
  <c r="J30" i="6"/>
  <c r="G30" i="6"/>
  <c r="E31" i="6"/>
  <c r="I30" i="6"/>
  <c r="P33" i="6"/>
  <c r="Q33" i="6"/>
  <c r="AH33" i="6"/>
  <c r="AI33" i="6"/>
  <c r="CF26" i="14"/>
  <c r="CO26" i="14" s="1"/>
  <c r="DG34" i="14"/>
  <c r="AC33" i="6"/>
  <c r="Y33" i="6"/>
  <c r="CG26" i="14"/>
  <c r="CP26" i="14" s="1"/>
  <c r="CE26" i="14"/>
  <c r="CN26" i="14" s="1"/>
  <c r="T33" i="6"/>
  <c r="AL33" i="6"/>
  <c r="A73" i="6"/>
  <c r="BT40" i="14"/>
  <c r="DD48" i="14" s="1"/>
  <c r="CU39" i="14"/>
  <c r="AK33" i="6"/>
  <c r="AF33" i="6"/>
  <c r="AE34" i="6" s="1"/>
  <c r="AJ33" i="6"/>
  <c r="N33" i="6"/>
  <c r="M34" i="6" s="1"/>
  <c r="R33" i="6"/>
  <c r="S33" i="6"/>
  <c r="C47" i="6"/>
  <c r="AG46" i="6"/>
  <c r="BV27" i="14"/>
  <c r="AA33" i="6"/>
  <c r="BW27" i="14"/>
  <c r="DG35" i="14" s="1"/>
  <c r="W33" i="6"/>
  <c r="V34" i="6" s="1"/>
  <c r="AB33" i="6"/>
  <c r="BX27" i="14"/>
  <c r="DH35" i="14" s="1"/>
  <c r="AW36" i="6" l="1"/>
  <c r="BZ29" i="14"/>
  <c r="BU33" i="6"/>
  <c r="CA32" i="6"/>
  <c r="DJ36" i="14"/>
  <c r="CI29" i="14"/>
  <c r="CR29" i="14" s="1"/>
  <c r="DK47" i="14"/>
  <c r="CJ39" i="14"/>
  <c r="CS39" i="14" s="1"/>
  <c r="CA40" i="14"/>
  <c r="CX41" i="47"/>
  <c r="BF47" i="6"/>
  <c r="CA41" i="14" s="1"/>
  <c r="AP47" i="6"/>
  <c r="Z34" i="6"/>
  <c r="BW29" i="47"/>
  <c r="CI29" i="47" s="1"/>
  <c r="CU29" i="47" s="1"/>
  <c r="BQ34" i="6"/>
  <c r="BW34" i="6" s="1"/>
  <c r="BV29" i="47"/>
  <c r="CH29" i="47" s="1"/>
  <c r="CT29" i="47" s="1"/>
  <c r="CW27" i="14"/>
  <c r="DB28" i="47"/>
  <c r="CX27" i="14"/>
  <c r="DC28" i="47"/>
  <c r="BP31" i="6"/>
  <c r="BV31" i="6" s="1"/>
  <c r="BU26" i="47"/>
  <c r="CG26" i="47" s="1"/>
  <c r="CS26" i="47" s="1"/>
  <c r="DN36" i="47"/>
  <c r="DO36" i="47"/>
  <c r="CI28" i="47"/>
  <c r="CU28" i="47" s="1"/>
  <c r="BY30" i="14"/>
  <c r="BY31" i="47"/>
  <c r="CK31" i="47" s="1"/>
  <c r="CW31" i="47" s="1"/>
  <c r="AQ36" i="6"/>
  <c r="AR36" i="6"/>
  <c r="AO36" i="6"/>
  <c r="AN37" i="6" s="1"/>
  <c r="BT37" i="6" s="1"/>
  <c r="AT36" i="6"/>
  <c r="AU36" i="6"/>
  <c r="AS36" i="6"/>
  <c r="BS34" i="6"/>
  <c r="BY34" i="6" s="1"/>
  <c r="BX29" i="47"/>
  <c r="CJ29" i="47" s="1"/>
  <c r="CV29" i="47" s="1"/>
  <c r="CV24" i="14"/>
  <c r="DA25" i="47"/>
  <c r="DM33" i="47"/>
  <c r="DP36" i="47"/>
  <c r="DQ38" i="47"/>
  <c r="CH28" i="47"/>
  <c r="CT28" i="47" s="1"/>
  <c r="CG25" i="47"/>
  <c r="CS25" i="47" s="1"/>
  <c r="CY27" i="14"/>
  <c r="DD28" i="47"/>
  <c r="DB29" i="14"/>
  <c r="DF30" i="47"/>
  <c r="CZ29" i="14"/>
  <c r="DE30" i="47"/>
  <c r="CH29" i="14"/>
  <c r="CQ29" i="14" s="1"/>
  <c r="DI37" i="14"/>
  <c r="DR49" i="47"/>
  <c r="CL100" i="47"/>
  <c r="CL95" i="47"/>
  <c r="BZ95" i="47"/>
  <c r="A92" i="46"/>
  <c r="BZ33" i="6"/>
  <c r="BR34" i="6"/>
  <c r="BX33" i="6"/>
  <c r="BK36" i="6"/>
  <c r="BG36" i="6"/>
  <c r="BL36" i="6"/>
  <c r="BI36" i="6"/>
  <c r="BJ36" i="6"/>
  <c r="BM36" i="6"/>
  <c r="CM24" i="14"/>
  <c r="DE32" i="14"/>
  <c r="G31" i="6"/>
  <c r="F31" i="6"/>
  <c r="E32" i="6" s="1"/>
  <c r="I31" i="6"/>
  <c r="H31" i="6"/>
  <c r="BU25" i="14"/>
  <c r="CD25" i="14" s="1"/>
  <c r="J31" i="6"/>
  <c r="K31" i="6"/>
  <c r="P34" i="6"/>
  <c r="Q34" i="6"/>
  <c r="AH34" i="6"/>
  <c r="AI34" i="6"/>
  <c r="CE27" i="14"/>
  <c r="CN27" i="14" s="1"/>
  <c r="DF35" i="14"/>
  <c r="Y34" i="6"/>
  <c r="CF27" i="14"/>
  <c r="CO27" i="14" s="1"/>
  <c r="CG27" i="14"/>
  <c r="CP27" i="14" s="1"/>
  <c r="T34" i="6"/>
  <c r="AL34" i="6"/>
  <c r="A74" i="6"/>
  <c r="AC34" i="6"/>
  <c r="BT41" i="14"/>
  <c r="DD49" i="14" s="1"/>
  <c r="CU40" i="14"/>
  <c r="S34" i="6"/>
  <c r="N34" i="6"/>
  <c r="M35" i="6" s="1"/>
  <c r="R34" i="6"/>
  <c r="AF34" i="6"/>
  <c r="AE35" i="6" s="1"/>
  <c r="AJ34" i="6"/>
  <c r="AK34" i="6"/>
  <c r="C48" i="6"/>
  <c r="AG47" i="6"/>
  <c r="BX28" i="14"/>
  <c r="AA34" i="6"/>
  <c r="BW28" i="14"/>
  <c r="DG36" i="14" s="1"/>
  <c r="W34" i="6"/>
  <c r="V35" i="6" s="1"/>
  <c r="AB34" i="6"/>
  <c r="BV28" i="14"/>
  <c r="DF36" i="14" s="1"/>
  <c r="DJ37" i="14" l="1"/>
  <c r="BU34" i="6"/>
  <c r="CA33" i="6"/>
  <c r="AW37" i="6"/>
  <c r="BZ30" i="14"/>
  <c r="CJ102" i="14"/>
  <c r="CJ40" i="14"/>
  <c r="CA94" i="14"/>
  <c r="CJ94" i="14"/>
  <c r="DK48" i="14"/>
  <c r="BZ42" i="47"/>
  <c r="CL42" i="47" s="1"/>
  <c r="CX42" i="47" s="1"/>
  <c r="DK49" i="14"/>
  <c r="CJ41" i="14"/>
  <c r="CS41" i="14" s="1"/>
  <c r="BF48" i="6"/>
  <c r="CA42" i="14" s="1"/>
  <c r="DK50" i="14" s="1"/>
  <c r="AP48" i="6"/>
  <c r="CW28" i="14"/>
  <c r="DB29" i="47"/>
  <c r="BQ35" i="6"/>
  <c r="BW35" i="6" s="1"/>
  <c r="BV30" i="47"/>
  <c r="CH30" i="47" s="1"/>
  <c r="CT30" i="47" s="1"/>
  <c r="CX28" i="14"/>
  <c r="DC29" i="47"/>
  <c r="CH30" i="14"/>
  <c r="CQ30" i="14" s="1"/>
  <c r="DI38" i="14"/>
  <c r="DM34" i="47"/>
  <c r="DO37" i="47"/>
  <c r="CZ30" i="14"/>
  <c r="DE31" i="47"/>
  <c r="CV25" i="14"/>
  <c r="DA26" i="47"/>
  <c r="Z35" i="6"/>
  <c r="BW30" i="47"/>
  <c r="BS35" i="6"/>
  <c r="BY35" i="6" s="1"/>
  <c r="BX30" i="47"/>
  <c r="CJ30" i="47" s="1"/>
  <c r="CV30" i="47" s="1"/>
  <c r="CY28" i="14"/>
  <c r="DD29" i="47"/>
  <c r="BP32" i="6"/>
  <c r="BV32" i="6" s="1"/>
  <c r="BU27" i="47"/>
  <c r="CG27" i="47" s="1"/>
  <c r="CS27" i="47" s="1"/>
  <c r="DB30" i="14"/>
  <c r="DF31" i="47"/>
  <c r="DP37" i="47"/>
  <c r="DN37" i="47"/>
  <c r="BY31" i="14"/>
  <c r="BY32" i="47"/>
  <c r="CK32" i="47" s="1"/>
  <c r="AT37" i="6"/>
  <c r="AU37" i="6"/>
  <c r="AS37" i="6"/>
  <c r="AQ37" i="6"/>
  <c r="AR37" i="6"/>
  <c r="AO37" i="6"/>
  <c r="AN38" i="6" s="1"/>
  <c r="DQ39" i="47"/>
  <c r="A93" i="46"/>
  <c r="BZ34" i="6"/>
  <c r="BR35" i="6"/>
  <c r="BX34" i="6"/>
  <c r="BM37" i="6"/>
  <c r="BJ37" i="6"/>
  <c r="BL37" i="6"/>
  <c r="BI37" i="6"/>
  <c r="BK37" i="6"/>
  <c r="BG37" i="6"/>
  <c r="CM25" i="14"/>
  <c r="DE33" i="14"/>
  <c r="I32" i="6"/>
  <c r="BU26" i="14"/>
  <c r="CD26" i="14" s="1"/>
  <c r="K32" i="6"/>
  <c r="G32" i="6"/>
  <c r="H32" i="6"/>
  <c r="J32" i="6"/>
  <c r="F32" i="6"/>
  <c r="E33" i="6" s="1"/>
  <c r="P35" i="6"/>
  <c r="Q35" i="6"/>
  <c r="AH35" i="6"/>
  <c r="AI35" i="6"/>
  <c r="CG28" i="14"/>
  <c r="CP28" i="14" s="1"/>
  <c r="DH36" i="14"/>
  <c r="Y35" i="6"/>
  <c r="CE28" i="14"/>
  <c r="CN28" i="14" s="1"/>
  <c r="CF28" i="14"/>
  <c r="CO28" i="14" s="1"/>
  <c r="T35" i="6"/>
  <c r="AL35" i="6"/>
  <c r="A75" i="6"/>
  <c r="AC35" i="6"/>
  <c r="BT42" i="14"/>
  <c r="DD50" i="14" s="1"/>
  <c r="CU41" i="14"/>
  <c r="C49" i="6"/>
  <c r="AG48" i="6"/>
  <c r="AF35" i="6"/>
  <c r="AE36" i="6" s="1"/>
  <c r="AJ35" i="6"/>
  <c r="AK35" i="6"/>
  <c r="N35" i="6"/>
  <c r="M36" i="6" s="1"/>
  <c r="R35" i="6"/>
  <c r="S35" i="6"/>
  <c r="AA35" i="6"/>
  <c r="AB35" i="6"/>
  <c r="BW29" i="14"/>
  <c r="W35" i="6"/>
  <c r="V36" i="6" s="1"/>
  <c r="BX29" i="14"/>
  <c r="DH37" i="14" s="1"/>
  <c r="BV29" i="14"/>
  <c r="DF37" i="14" s="1"/>
  <c r="DR50" i="47" l="1"/>
  <c r="DJ38" i="14"/>
  <c r="CI30" i="14"/>
  <c r="CR30" i="14" s="1"/>
  <c r="BU35" i="6"/>
  <c r="CA34" i="6"/>
  <c r="BZ31" i="14"/>
  <c r="AW38" i="6"/>
  <c r="CJ98" i="14"/>
  <c r="CS40" i="14"/>
  <c r="CJ42" i="14"/>
  <c r="CS42" i="14" s="1"/>
  <c r="BZ43" i="47"/>
  <c r="CL43" i="47" s="1"/>
  <c r="CX43" i="47" s="1"/>
  <c r="BF49" i="6"/>
  <c r="BZ44" i="47" s="1"/>
  <c r="AP49" i="6"/>
  <c r="Z36" i="6"/>
  <c r="BW31" i="47"/>
  <c r="CI31" i="47" s="1"/>
  <c r="CU31" i="47" s="1"/>
  <c r="CY29" i="14"/>
  <c r="DD30" i="47"/>
  <c r="CH31" i="14"/>
  <c r="DI39" i="14"/>
  <c r="BS36" i="6"/>
  <c r="BY36" i="6" s="1"/>
  <c r="BX31" i="47"/>
  <c r="CJ31" i="47" s="1"/>
  <c r="CV31" i="47" s="1"/>
  <c r="CW29" i="14"/>
  <c r="DB30" i="47"/>
  <c r="DB31" i="14"/>
  <c r="DF32" i="47"/>
  <c r="BY32" i="14"/>
  <c r="BY33" i="47"/>
  <c r="CK33" i="47" s="1"/>
  <c r="CW33" i="47" s="1"/>
  <c r="AU38" i="6"/>
  <c r="AQ38" i="6"/>
  <c r="AR38" i="6"/>
  <c r="AT38" i="6"/>
  <c r="AS38" i="6"/>
  <c r="AO38" i="6"/>
  <c r="AN39" i="6" s="1"/>
  <c r="CZ31" i="14"/>
  <c r="DE32" i="47"/>
  <c r="DO38" i="47"/>
  <c r="CI30" i="47"/>
  <c r="CU30" i="47" s="1"/>
  <c r="DN38" i="47"/>
  <c r="BQ36" i="6"/>
  <c r="BW36" i="6" s="1"/>
  <c r="BV31" i="47"/>
  <c r="CX29" i="14"/>
  <c r="DC30" i="47"/>
  <c r="BP33" i="6"/>
  <c r="BV33" i="6" s="1"/>
  <c r="BU28" i="47"/>
  <c r="CG28" i="47" s="1"/>
  <c r="CS28" i="47" s="1"/>
  <c r="CV26" i="14"/>
  <c r="DA27" i="47"/>
  <c r="CW32" i="47"/>
  <c r="DQ40" i="47"/>
  <c r="DM35" i="47"/>
  <c r="DP38" i="47"/>
  <c r="BT38" i="6"/>
  <c r="A94" i="46"/>
  <c r="BZ35" i="6"/>
  <c r="BX35" i="6"/>
  <c r="BR36" i="6"/>
  <c r="BK38" i="6"/>
  <c r="BM38" i="6"/>
  <c r="BI38" i="6"/>
  <c r="BL38" i="6"/>
  <c r="BJ38" i="6"/>
  <c r="BG38" i="6"/>
  <c r="CM26" i="14"/>
  <c r="DE34" i="14"/>
  <c r="F33" i="6"/>
  <c r="E34" i="6" s="1"/>
  <c r="G33" i="6"/>
  <c r="K33" i="6"/>
  <c r="H33" i="6"/>
  <c r="BU27" i="14"/>
  <c r="CD27" i="14" s="1"/>
  <c r="J33" i="6"/>
  <c r="I33" i="6"/>
  <c r="P36" i="6"/>
  <c r="Q36" i="6"/>
  <c r="AH36" i="6"/>
  <c r="AI36" i="6"/>
  <c r="CF29" i="14"/>
  <c r="CO29" i="14" s="1"/>
  <c r="DG37" i="14"/>
  <c r="Y36" i="6"/>
  <c r="CG29" i="14"/>
  <c r="CP29" i="14" s="1"/>
  <c r="CE29" i="14"/>
  <c r="CN29" i="14" s="1"/>
  <c r="T36" i="6"/>
  <c r="AC36" i="6"/>
  <c r="AL36" i="6"/>
  <c r="A76" i="6"/>
  <c r="BT43" i="14"/>
  <c r="DD51" i="14" s="1"/>
  <c r="CU42" i="14"/>
  <c r="C50" i="6"/>
  <c r="AG49" i="6"/>
  <c r="R36" i="6"/>
  <c r="S36" i="6"/>
  <c r="N36" i="6"/>
  <c r="M37" i="6" s="1"/>
  <c r="AF36" i="6"/>
  <c r="AE37" i="6" s="1"/>
  <c r="AJ36" i="6"/>
  <c r="AK36" i="6"/>
  <c r="BV30" i="14"/>
  <c r="DF38" i="14" s="1"/>
  <c r="BX30" i="14"/>
  <c r="DH38" i="14" s="1"/>
  <c r="W36" i="6"/>
  <c r="V37" i="6" s="1"/>
  <c r="AA36" i="6"/>
  <c r="BW30" i="14"/>
  <c r="DG38" i="14" s="1"/>
  <c r="AB36" i="6"/>
  <c r="CA43" i="14" l="1"/>
  <c r="DK51" i="14" s="1"/>
  <c r="BU36" i="6"/>
  <c r="CA35" i="6"/>
  <c r="AW39" i="6"/>
  <c r="BZ32" i="14"/>
  <c r="DJ40" i="14" s="1"/>
  <c r="DJ39" i="14"/>
  <c r="CI31" i="14"/>
  <c r="CR31" i="14" s="1"/>
  <c r="DR51" i="47"/>
  <c r="CL44" i="47"/>
  <c r="CX44" i="47" s="1"/>
  <c r="CJ43" i="14"/>
  <c r="CS43" i="14" s="1"/>
  <c r="BF50" i="6"/>
  <c r="CA44" i="14" s="1"/>
  <c r="AP50" i="6"/>
  <c r="BT39" i="6"/>
  <c r="BQ37" i="6"/>
  <c r="BW37" i="6" s="1"/>
  <c r="BV32" i="47"/>
  <c r="CH32" i="47" s="1"/>
  <c r="CV27" i="14"/>
  <c r="DA28" i="47"/>
  <c r="BY33" i="14"/>
  <c r="BY34" i="47"/>
  <c r="CK34" i="47" s="1"/>
  <c r="AQ39" i="6"/>
  <c r="AR39" i="6"/>
  <c r="AO39" i="6"/>
  <c r="AN40" i="6" s="1"/>
  <c r="AT39" i="6"/>
  <c r="AU39" i="6"/>
  <c r="AS39" i="6"/>
  <c r="DP39" i="47"/>
  <c r="CY30" i="14"/>
  <c r="DD31" i="47"/>
  <c r="CX30" i="14"/>
  <c r="DC31" i="47"/>
  <c r="DB32" i="14"/>
  <c r="DF33" i="47"/>
  <c r="DR52" i="47"/>
  <c r="DN39" i="47"/>
  <c r="CH31" i="47"/>
  <c r="CT31" i="47" s="1"/>
  <c r="CZ32" i="14"/>
  <c r="DE33" i="47"/>
  <c r="Z37" i="6"/>
  <c r="BW32" i="47"/>
  <c r="CI32" i="47" s="1"/>
  <c r="CW30" i="14"/>
  <c r="DB31" i="47"/>
  <c r="BP34" i="6"/>
  <c r="BV34" i="6" s="1"/>
  <c r="BU29" i="47"/>
  <c r="CG29" i="47" s="1"/>
  <c r="CS29" i="47" s="1"/>
  <c r="DQ41" i="47"/>
  <c r="DO39" i="47"/>
  <c r="BS37" i="6"/>
  <c r="BY37" i="6" s="1"/>
  <c r="BX32" i="47"/>
  <c r="CJ32" i="47" s="1"/>
  <c r="DM36" i="47"/>
  <c r="CH32" i="14"/>
  <c r="CQ32" i="14" s="1"/>
  <c r="DI40" i="14"/>
  <c r="CQ31" i="14"/>
  <c r="A95" i="46"/>
  <c r="BZ36" i="6"/>
  <c r="BX36" i="6"/>
  <c r="BR37" i="6"/>
  <c r="BG39" i="6"/>
  <c r="BK39" i="6"/>
  <c r="BJ39" i="6"/>
  <c r="BL39" i="6"/>
  <c r="BI39" i="6"/>
  <c r="BM39" i="6"/>
  <c r="CM27" i="14"/>
  <c r="DE35" i="14"/>
  <c r="G34" i="6"/>
  <c r="F34" i="6"/>
  <c r="E35" i="6" s="1"/>
  <c r="I34" i="6"/>
  <c r="J34" i="6"/>
  <c r="K34" i="6"/>
  <c r="H34" i="6"/>
  <c r="BU28" i="14"/>
  <c r="CD28" i="14" s="1"/>
  <c r="P37" i="6"/>
  <c r="Q37" i="6"/>
  <c r="AH37" i="6"/>
  <c r="AI37" i="6"/>
  <c r="Y37" i="6"/>
  <c r="CF30" i="14"/>
  <c r="CO30" i="14" s="1"/>
  <c r="CG30" i="14"/>
  <c r="CP30" i="14" s="1"/>
  <c r="CE30" i="14"/>
  <c r="CN30" i="14" s="1"/>
  <c r="T37" i="6"/>
  <c r="AL37" i="6"/>
  <c r="A77" i="6"/>
  <c r="AC37" i="6"/>
  <c r="BT44" i="14"/>
  <c r="DD52" i="14" s="1"/>
  <c r="CU43" i="14"/>
  <c r="S37" i="6"/>
  <c r="N37" i="6"/>
  <c r="M38" i="6" s="1"/>
  <c r="R37" i="6"/>
  <c r="AF37" i="6"/>
  <c r="AE38" i="6" s="1"/>
  <c r="AJ37" i="6"/>
  <c r="AK37" i="6"/>
  <c r="C51" i="6"/>
  <c r="AG50" i="6"/>
  <c r="AB37" i="6"/>
  <c r="BW31" i="14"/>
  <c r="DG39" i="14" s="1"/>
  <c r="W37" i="6"/>
  <c r="V38" i="6" s="1"/>
  <c r="AA37" i="6"/>
  <c r="BX31" i="14"/>
  <c r="DH39" i="14" s="1"/>
  <c r="BV31" i="14"/>
  <c r="DF39" i="14" s="1"/>
  <c r="BZ33" i="14" l="1"/>
  <c r="AW40" i="6"/>
  <c r="CI32" i="14"/>
  <c r="CR32" i="14" s="1"/>
  <c r="BU37" i="6"/>
  <c r="CA36" i="6"/>
  <c r="DK52" i="14"/>
  <c r="CJ44" i="14"/>
  <c r="CS44" i="14" s="1"/>
  <c r="BZ45" i="47"/>
  <c r="CL45" i="47" s="1"/>
  <c r="CX45" i="47" s="1"/>
  <c r="BF51" i="6"/>
  <c r="CA45" i="14" s="1"/>
  <c r="AP51" i="6"/>
  <c r="CV32" i="47"/>
  <c r="BQ38" i="6"/>
  <c r="BW38" i="6" s="1"/>
  <c r="BV33" i="47"/>
  <c r="CH33" i="47" s="1"/>
  <c r="CT33" i="47" s="1"/>
  <c r="CX31" i="14"/>
  <c r="DC32" i="47"/>
  <c r="CU32" i="47"/>
  <c r="DM37" i="47"/>
  <c r="DO40" i="47"/>
  <c r="CZ33" i="14"/>
  <c r="DE34" i="47"/>
  <c r="BP35" i="6"/>
  <c r="BV35" i="6" s="1"/>
  <c r="BU30" i="47"/>
  <c r="DB33" i="14"/>
  <c r="DF34" i="47"/>
  <c r="CT32" i="47"/>
  <c r="DQ42" i="47"/>
  <c r="Z38" i="6"/>
  <c r="BW33" i="47"/>
  <c r="BS38" i="6"/>
  <c r="BY38" i="6" s="1"/>
  <c r="BX33" i="47"/>
  <c r="CJ33" i="47" s="1"/>
  <c r="CV33" i="47" s="1"/>
  <c r="CY31" i="14"/>
  <c r="DD32" i="47"/>
  <c r="CV28" i="14"/>
  <c r="DA29" i="47"/>
  <c r="DP40" i="47"/>
  <c r="CW34" i="47"/>
  <c r="BY34" i="14"/>
  <c r="BY35" i="47"/>
  <c r="CK35" i="47" s="1"/>
  <c r="CW35" i="47" s="1"/>
  <c r="AO40" i="6"/>
  <c r="AN41" i="6" s="1"/>
  <c r="AT40" i="6"/>
  <c r="AU40" i="6"/>
  <c r="AS40" i="6"/>
  <c r="AQ40" i="6"/>
  <c r="AR40" i="6"/>
  <c r="CH33" i="14"/>
  <c r="DI41" i="14"/>
  <c r="DN40" i="47"/>
  <c r="CW31" i="14"/>
  <c r="DB32" i="47"/>
  <c r="BT40" i="6"/>
  <c r="A96" i="46"/>
  <c r="BZ37" i="6"/>
  <c r="BR38" i="6"/>
  <c r="BX37" i="6"/>
  <c r="BK40" i="6"/>
  <c r="BG40" i="6"/>
  <c r="BI40" i="6"/>
  <c r="BJ40" i="6"/>
  <c r="BL40" i="6"/>
  <c r="BM40" i="6"/>
  <c r="CM28" i="14"/>
  <c r="I35" i="6"/>
  <c r="J35" i="6"/>
  <c r="G35" i="6"/>
  <c r="K35" i="6"/>
  <c r="H35" i="6"/>
  <c r="F35" i="6"/>
  <c r="E36" i="6" s="1"/>
  <c r="BU29" i="14"/>
  <c r="CD29" i="14" s="1"/>
  <c r="DE36" i="14"/>
  <c r="P38" i="6"/>
  <c r="Q38" i="6"/>
  <c r="AH38" i="6"/>
  <c r="AI38" i="6"/>
  <c r="Y38" i="6"/>
  <c r="CF31" i="14"/>
  <c r="CO31" i="14" s="1"/>
  <c r="CE31" i="14"/>
  <c r="CN31" i="14" s="1"/>
  <c r="CG31" i="14"/>
  <c r="CP31" i="14" s="1"/>
  <c r="AC38" i="6"/>
  <c r="AL38" i="6"/>
  <c r="T38" i="6"/>
  <c r="A78" i="6"/>
  <c r="BT45" i="14"/>
  <c r="DD53" i="14" s="1"/>
  <c r="CU44" i="14"/>
  <c r="C52" i="6"/>
  <c r="AG51" i="6"/>
  <c r="AF38" i="6"/>
  <c r="AE39" i="6" s="1"/>
  <c r="AJ38" i="6"/>
  <c r="AK38" i="6"/>
  <c r="N38" i="6"/>
  <c r="M39" i="6" s="1"/>
  <c r="R38" i="6"/>
  <c r="S38" i="6"/>
  <c r="BX32" i="14"/>
  <c r="W38" i="6"/>
  <c r="V39" i="6" s="1"/>
  <c r="BW32" i="14"/>
  <c r="DG40" i="14" s="1"/>
  <c r="AA38" i="6"/>
  <c r="AB38" i="6"/>
  <c r="BV32" i="14"/>
  <c r="DF40" i="14" s="1"/>
  <c r="BZ34" i="14" l="1"/>
  <c r="DJ42" i="14" s="1"/>
  <c r="AW41" i="6"/>
  <c r="BU38" i="6"/>
  <c r="CA37" i="6"/>
  <c r="CI33" i="14"/>
  <c r="CR33" i="14" s="1"/>
  <c r="DJ41" i="14"/>
  <c r="DR53" i="47"/>
  <c r="DK53" i="14"/>
  <c r="CJ45" i="14"/>
  <c r="CS45" i="14" s="1"/>
  <c r="BZ46" i="47"/>
  <c r="CL46" i="47" s="1"/>
  <c r="CX46" i="47" s="1"/>
  <c r="BF52" i="6"/>
  <c r="CA46" i="14" s="1"/>
  <c r="CJ46" i="14" s="1"/>
  <c r="CS46" i="14" s="1"/>
  <c r="AP52" i="6"/>
  <c r="BT41" i="6"/>
  <c r="Z39" i="6"/>
  <c r="BW34" i="47"/>
  <c r="CI34" i="47" s="1"/>
  <c r="CU34" i="47" s="1"/>
  <c r="CW32" i="14"/>
  <c r="DB33" i="47"/>
  <c r="DB34" i="14"/>
  <c r="DF35" i="47"/>
  <c r="DQ43" i="47"/>
  <c r="DO41" i="47"/>
  <c r="DM38" i="47"/>
  <c r="CI33" i="47"/>
  <c r="DN41" i="47"/>
  <c r="CY32" i="14"/>
  <c r="DD33" i="47"/>
  <c r="BP36" i="6"/>
  <c r="BV36" i="6" s="1"/>
  <c r="BU31" i="47"/>
  <c r="CQ33" i="14"/>
  <c r="CZ34" i="14"/>
  <c r="DE35" i="47"/>
  <c r="CH34" i="14"/>
  <c r="CQ34" i="14" s="1"/>
  <c r="DI42" i="14"/>
  <c r="BS39" i="6"/>
  <c r="BY39" i="6" s="1"/>
  <c r="BX34" i="47"/>
  <c r="CJ34" i="47" s="1"/>
  <c r="CV34" i="47" s="1"/>
  <c r="CX32" i="14"/>
  <c r="DC33" i="47"/>
  <c r="DP41" i="47"/>
  <c r="CG30" i="47"/>
  <c r="CS30" i="47" s="1"/>
  <c r="BQ39" i="6"/>
  <c r="BW39" i="6" s="1"/>
  <c r="BV34" i="47"/>
  <c r="CH34" i="47" s="1"/>
  <c r="CV29" i="14"/>
  <c r="DA30" i="47"/>
  <c r="BY35" i="14"/>
  <c r="BY36" i="47"/>
  <c r="CK36" i="47" s="1"/>
  <c r="AU41" i="6"/>
  <c r="AS41" i="6"/>
  <c r="AQ41" i="6"/>
  <c r="AR41" i="6"/>
  <c r="AO41" i="6"/>
  <c r="AN42" i="6" s="1"/>
  <c r="AT41" i="6"/>
  <c r="A97" i="46"/>
  <c r="I96" i="46"/>
  <c r="CD90" i="47" s="1"/>
  <c r="G96" i="46"/>
  <c r="I94" i="46"/>
  <c r="CD88" i="47" s="1"/>
  <c r="I92" i="46"/>
  <c r="CD86" i="47" s="1"/>
  <c r="G90" i="46"/>
  <c r="G88" i="46"/>
  <c r="CC91" i="47" s="1"/>
  <c r="G89" i="46"/>
  <c r="G93" i="46"/>
  <c r="I95" i="46"/>
  <c r="CD89" i="47" s="1"/>
  <c r="G92" i="46"/>
  <c r="I91" i="46"/>
  <c r="CD85" i="47" s="1"/>
  <c r="G95" i="46"/>
  <c r="I93" i="46"/>
  <c r="CD87" i="47" s="1"/>
  <c r="I90" i="46"/>
  <c r="CD84" i="47" s="1"/>
  <c r="BZ38" i="6"/>
  <c r="BR39" i="6"/>
  <c r="BX38" i="6"/>
  <c r="BM41" i="6"/>
  <c r="BJ41" i="6"/>
  <c r="BG41" i="6"/>
  <c r="BI41" i="6"/>
  <c r="BL41" i="6"/>
  <c r="BK41" i="6"/>
  <c r="CM29" i="14"/>
  <c r="BU30" i="14"/>
  <c r="CD30" i="14" s="1"/>
  <c r="J36" i="6"/>
  <c r="F36" i="6"/>
  <c r="E37" i="6" s="1"/>
  <c r="K36" i="6"/>
  <c r="H36" i="6"/>
  <c r="G36" i="6"/>
  <c r="I36" i="6"/>
  <c r="DE37" i="14"/>
  <c r="P39" i="6"/>
  <c r="Q39" i="6"/>
  <c r="AH39" i="6"/>
  <c r="AI39" i="6"/>
  <c r="CG32" i="14"/>
  <c r="CP32" i="14" s="1"/>
  <c r="DH40" i="14"/>
  <c r="Y39" i="6"/>
  <c r="CE32" i="14"/>
  <c r="CN32" i="14" s="1"/>
  <c r="CF32" i="14"/>
  <c r="CO32" i="14" s="1"/>
  <c r="AC39" i="6"/>
  <c r="T39" i="6"/>
  <c r="AL39" i="6"/>
  <c r="A79" i="6"/>
  <c r="BT46" i="14"/>
  <c r="DD54" i="14" s="1"/>
  <c r="CU45" i="14"/>
  <c r="N39" i="6"/>
  <c r="M40" i="6" s="1"/>
  <c r="R39" i="6"/>
  <c r="S39" i="6"/>
  <c r="AF39" i="6"/>
  <c r="AE40" i="6" s="1"/>
  <c r="AJ39" i="6"/>
  <c r="AK39" i="6"/>
  <c r="C53" i="6"/>
  <c r="AG52" i="6"/>
  <c r="BV33" i="14"/>
  <c r="BX33" i="14"/>
  <c r="BW33" i="14"/>
  <c r="DG41" i="14" s="1"/>
  <c r="W39" i="6"/>
  <c r="V40" i="6" s="1"/>
  <c r="AB39" i="6"/>
  <c r="AA39" i="6"/>
  <c r="CI34" i="14" l="1"/>
  <c r="CR34" i="14" s="1"/>
  <c r="BU39" i="6"/>
  <c r="CA38" i="6"/>
  <c r="AW42" i="6"/>
  <c r="BZ35" i="14"/>
  <c r="DR54" i="47"/>
  <c r="CL47" i="47"/>
  <c r="CX47" i="47" s="1"/>
  <c r="BZ47" i="47"/>
  <c r="DR55" i="47" s="1"/>
  <c r="BF53" i="6"/>
  <c r="CA47" i="14" s="1"/>
  <c r="DK55" i="14" s="1"/>
  <c r="AP53" i="6"/>
  <c r="BT42" i="6"/>
  <c r="CT34" i="47"/>
  <c r="DK54" i="14"/>
  <c r="CW36" i="47"/>
  <c r="BQ40" i="6"/>
  <c r="BW40" i="6" s="1"/>
  <c r="BV35" i="47"/>
  <c r="CH35" i="47" s="1"/>
  <c r="CT35" i="47" s="1"/>
  <c r="Z40" i="6"/>
  <c r="BW35" i="47"/>
  <c r="CI35" i="47" s="1"/>
  <c r="CU35" i="47" s="1"/>
  <c r="BS40" i="6"/>
  <c r="BY40" i="6" s="1"/>
  <c r="BX35" i="47"/>
  <c r="CJ35" i="47" s="1"/>
  <c r="CW33" i="14"/>
  <c r="DB34" i="47"/>
  <c r="BP37" i="6"/>
  <c r="BV37" i="6" s="1"/>
  <c r="BU32" i="47"/>
  <c r="CG32" i="47" s="1"/>
  <c r="CS32" i="47" s="1"/>
  <c r="DP42" i="47"/>
  <c r="CX33" i="14"/>
  <c r="DC34" i="47"/>
  <c r="DB35" i="14"/>
  <c r="DF36" i="47"/>
  <c r="BY36" i="14"/>
  <c r="BY37" i="47"/>
  <c r="CK37" i="47" s="1"/>
  <c r="AQ42" i="6"/>
  <c r="AR42" i="6"/>
  <c r="AO42" i="6"/>
  <c r="AN43" i="6" s="1"/>
  <c r="AT42" i="6"/>
  <c r="AU42" i="6"/>
  <c r="AS42" i="6"/>
  <c r="CZ35" i="14"/>
  <c r="DE36" i="47"/>
  <c r="DM39" i="47"/>
  <c r="CG31" i="47"/>
  <c r="CS31" i="47" s="1"/>
  <c r="DQ44" i="47"/>
  <c r="DO42" i="47"/>
  <c r="CY33" i="14"/>
  <c r="DD34" i="47"/>
  <c r="CV30" i="14"/>
  <c r="DA31" i="47"/>
  <c r="CH35" i="14"/>
  <c r="DI43" i="14"/>
  <c r="DN42" i="47"/>
  <c r="CU33" i="47"/>
  <c r="CP86" i="47"/>
  <c r="DV93" i="47"/>
  <c r="DJ85" i="47"/>
  <c r="DJ84" i="47"/>
  <c r="CP85" i="47"/>
  <c r="DV92" i="47"/>
  <c r="DU99" i="47"/>
  <c r="DI91" i="47"/>
  <c r="DJ87" i="47"/>
  <c r="CP88" i="47"/>
  <c r="DV95" i="47"/>
  <c r="DJ89" i="47"/>
  <c r="CP90" i="47"/>
  <c r="DV97" i="47"/>
  <c r="CP91" i="47"/>
  <c r="DJ90" i="47"/>
  <c r="DV98" i="47"/>
  <c r="CP89" i="47"/>
  <c r="DV96" i="47"/>
  <c r="DJ88" i="47"/>
  <c r="DV94" i="47"/>
  <c r="DJ86" i="47"/>
  <c r="CP87" i="47"/>
  <c r="E90" i="46"/>
  <c r="CB84" i="47" s="1"/>
  <c r="I89" i="46"/>
  <c r="CD83" i="47" s="1"/>
  <c r="G94" i="46"/>
  <c r="G98" i="46" s="1"/>
  <c r="T5" i="47" s="1"/>
  <c r="I88" i="46"/>
  <c r="G91" i="46"/>
  <c r="G99" i="46" s="1"/>
  <c r="BZ39" i="6"/>
  <c r="BX39" i="6"/>
  <c r="BR40" i="6"/>
  <c r="CJ47" i="14"/>
  <c r="CS47" i="14" s="1"/>
  <c r="BI42" i="6"/>
  <c r="BM42" i="6"/>
  <c r="BL42" i="6"/>
  <c r="BK42" i="6"/>
  <c r="BG42" i="6"/>
  <c r="BJ42" i="6"/>
  <c r="DE38" i="14"/>
  <c r="CM30" i="14"/>
  <c r="G37" i="6"/>
  <c r="I37" i="6"/>
  <c r="K37" i="6"/>
  <c r="J37" i="6"/>
  <c r="H37" i="6"/>
  <c r="BU31" i="14"/>
  <c r="CD31" i="14" s="1"/>
  <c r="F37" i="6"/>
  <c r="E38" i="6" s="1"/>
  <c r="P40" i="6"/>
  <c r="Q40" i="6"/>
  <c r="AH40" i="6"/>
  <c r="AI40" i="6"/>
  <c r="CE33" i="14"/>
  <c r="CN33" i="14" s="1"/>
  <c r="DF41" i="14"/>
  <c r="CG33" i="14"/>
  <c r="CP33" i="14" s="1"/>
  <c r="DH41" i="14"/>
  <c r="Y40" i="6"/>
  <c r="CF33" i="14"/>
  <c r="CO33" i="14" s="1"/>
  <c r="AC40" i="6"/>
  <c r="T40" i="6"/>
  <c r="AL40" i="6"/>
  <c r="A80" i="6"/>
  <c r="BT47" i="14"/>
  <c r="DD55" i="14" s="1"/>
  <c r="CU46" i="14"/>
  <c r="N40" i="6"/>
  <c r="M41" i="6" s="1"/>
  <c r="S40" i="6"/>
  <c r="R40" i="6"/>
  <c r="C54" i="6"/>
  <c r="AG53" i="6"/>
  <c r="AK40" i="6"/>
  <c r="AF40" i="6"/>
  <c r="AE41" i="6" s="1"/>
  <c r="AJ40" i="6"/>
  <c r="BX34" i="14"/>
  <c r="DH42" i="14" s="1"/>
  <c r="AB40" i="6"/>
  <c r="AA40" i="6"/>
  <c r="W40" i="6"/>
  <c r="V41" i="6" s="1"/>
  <c r="BW34" i="14"/>
  <c r="BV34" i="14"/>
  <c r="DF42" i="14" s="1"/>
  <c r="AW43" i="6" l="1"/>
  <c r="BZ36" i="14"/>
  <c r="CI35" i="14"/>
  <c r="CR35" i="14" s="1"/>
  <c r="DJ43" i="14"/>
  <c r="CI36" i="14"/>
  <c r="CR36" i="14" s="1"/>
  <c r="BU40" i="6"/>
  <c r="CA39" i="6"/>
  <c r="BZ48" i="47"/>
  <c r="DR56" i="47" s="1"/>
  <c r="CL48" i="47"/>
  <c r="CX48" i="47" s="1"/>
  <c r="BF54" i="6"/>
  <c r="CA48" i="14" s="1"/>
  <c r="DK56" i="14" s="1"/>
  <c r="AP54" i="6"/>
  <c r="CW37" i="47"/>
  <c r="BS41" i="6"/>
  <c r="BY41" i="6" s="1"/>
  <c r="BX36" i="47"/>
  <c r="CX34" i="14"/>
  <c r="DC35" i="47"/>
  <c r="DB36" i="14"/>
  <c r="DF37" i="47"/>
  <c r="BY37" i="14"/>
  <c r="BY38" i="47"/>
  <c r="CK38" i="47" s="1"/>
  <c r="CW38" i="47" s="1"/>
  <c r="AU43" i="6"/>
  <c r="AS43" i="6"/>
  <c r="AQ43" i="6"/>
  <c r="AR43" i="6"/>
  <c r="AO43" i="6"/>
  <c r="AN44" i="6" s="1"/>
  <c r="AT43" i="6"/>
  <c r="CH36" i="14"/>
  <c r="CQ36" i="14" s="1"/>
  <c r="DI44" i="14"/>
  <c r="CV35" i="47"/>
  <c r="DO43" i="47"/>
  <c r="Z41" i="6"/>
  <c r="BW36" i="47"/>
  <c r="CI36" i="47" s="1"/>
  <c r="CU36" i="47" s="1"/>
  <c r="BQ41" i="6"/>
  <c r="BW41" i="6" s="1"/>
  <c r="BV36" i="47"/>
  <c r="CH36" i="47" s="1"/>
  <c r="CT36" i="47" s="1"/>
  <c r="CY34" i="14"/>
  <c r="DD35" i="47"/>
  <c r="CZ36" i="14"/>
  <c r="DE37" i="47"/>
  <c r="CW34" i="14"/>
  <c r="DB35" i="47"/>
  <c r="BP38" i="6"/>
  <c r="BV38" i="6" s="1"/>
  <c r="BU33" i="47"/>
  <c r="CG33" i="47" s="1"/>
  <c r="CS33" i="47" s="1"/>
  <c r="CV31" i="14"/>
  <c r="DA32" i="47"/>
  <c r="CQ35" i="14"/>
  <c r="DQ45" i="47"/>
  <c r="DM40" i="47"/>
  <c r="DP43" i="47"/>
  <c r="CJ36" i="47"/>
  <c r="CV36" i="47" s="1"/>
  <c r="DN43" i="47"/>
  <c r="BT43" i="6"/>
  <c r="DV91" i="47"/>
  <c r="DJ83" i="47"/>
  <c r="CP84" i="47"/>
  <c r="I99" i="46"/>
  <c r="CD82" i="47"/>
  <c r="DH84" i="47"/>
  <c r="CN85" i="47"/>
  <c r="DT92" i="47"/>
  <c r="C97" i="46"/>
  <c r="CA91" i="47" s="1"/>
  <c r="C89" i="46"/>
  <c r="CA83" i="47" s="1"/>
  <c r="C93" i="46"/>
  <c r="CA87" i="47" s="1"/>
  <c r="C94" i="46"/>
  <c r="CA88" i="47" s="1"/>
  <c r="C95" i="46"/>
  <c r="CA89" i="47" s="1"/>
  <c r="C91" i="46"/>
  <c r="CA85" i="47" s="1"/>
  <c r="C96" i="46"/>
  <c r="CA90" i="47" s="1"/>
  <c r="C88" i="46"/>
  <c r="CA82" i="47" s="1"/>
  <c r="C90" i="46"/>
  <c r="CA84" i="47" s="1"/>
  <c r="C92" i="46"/>
  <c r="CA86" i="47" s="1"/>
  <c r="I98" i="46"/>
  <c r="U5" i="47" s="1"/>
  <c r="E97" i="46"/>
  <c r="CB91" i="47" s="1"/>
  <c r="E88" i="46"/>
  <c r="CB82" i="47" s="1"/>
  <c r="E94" i="46"/>
  <c r="CB88" i="47" s="1"/>
  <c r="E91" i="46"/>
  <c r="CB85" i="47" s="1"/>
  <c r="E92" i="46"/>
  <c r="CB86" i="47" s="1"/>
  <c r="E93" i="46"/>
  <c r="CB87" i="47" s="1"/>
  <c r="E89" i="46"/>
  <c r="CB83" i="47" s="1"/>
  <c r="E95" i="46"/>
  <c r="CB89" i="47" s="1"/>
  <c r="E96" i="46"/>
  <c r="CB90" i="47" s="1"/>
  <c r="BZ40" i="6"/>
  <c r="BX40" i="6"/>
  <c r="BR41" i="6"/>
  <c r="CJ48" i="14"/>
  <c r="CS48" i="14" s="1"/>
  <c r="BJ43" i="6"/>
  <c r="BK43" i="6"/>
  <c r="BL43" i="6"/>
  <c r="BI43" i="6"/>
  <c r="BG43" i="6"/>
  <c r="BM43" i="6"/>
  <c r="G38" i="6"/>
  <c r="F38" i="6"/>
  <c r="E39" i="6" s="1"/>
  <c r="H38" i="6"/>
  <c r="BU32" i="14"/>
  <c r="CD32" i="14" s="1"/>
  <c r="I38" i="6"/>
  <c r="J38" i="6"/>
  <c r="K38" i="6"/>
  <c r="CM31" i="14"/>
  <c r="DE39" i="14"/>
  <c r="P41" i="6"/>
  <c r="Q41" i="6"/>
  <c r="AH41" i="6"/>
  <c r="AI41" i="6"/>
  <c r="CF34" i="14"/>
  <c r="CO34" i="14" s="1"/>
  <c r="DG42" i="14"/>
  <c r="Y41" i="6"/>
  <c r="CG34" i="14"/>
  <c r="CP34" i="14" s="1"/>
  <c r="CE34" i="14"/>
  <c r="CN34" i="14" s="1"/>
  <c r="AC41" i="6"/>
  <c r="AL41" i="6"/>
  <c r="T41" i="6"/>
  <c r="A81" i="6"/>
  <c r="BT48" i="14"/>
  <c r="DD56" i="14" s="1"/>
  <c r="CU47" i="14"/>
  <c r="C55" i="6"/>
  <c r="AG54" i="6"/>
  <c r="S41" i="6"/>
  <c r="N41" i="6"/>
  <c r="M42" i="6" s="1"/>
  <c r="R41" i="6"/>
  <c r="AF41" i="6"/>
  <c r="AE42" i="6" s="1"/>
  <c r="AJ41" i="6"/>
  <c r="AK41" i="6"/>
  <c r="BX35" i="14"/>
  <c r="DH43" i="14" s="1"/>
  <c r="AB41" i="6"/>
  <c r="BW35" i="14"/>
  <c r="DG43" i="14" s="1"/>
  <c r="AA41" i="6"/>
  <c r="W41" i="6"/>
  <c r="V42" i="6" s="1"/>
  <c r="BV35" i="14"/>
  <c r="BZ49" i="47" l="1"/>
  <c r="CL50" i="47" s="1"/>
  <c r="CX50" i="47" s="1"/>
  <c r="BU41" i="6"/>
  <c r="CA40" i="6"/>
  <c r="DJ44" i="14"/>
  <c r="CI37" i="14"/>
  <c r="CR37" i="14" s="1"/>
  <c r="AW44" i="6"/>
  <c r="BZ37" i="14"/>
  <c r="DJ45" i="14" s="1"/>
  <c r="CL49" i="47"/>
  <c r="CX49" i="47" s="1"/>
  <c r="BF55" i="6"/>
  <c r="BZ50" i="47" s="1"/>
  <c r="AP55" i="6"/>
  <c r="BT44" i="6"/>
  <c r="BP39" i="6"/>
  <c r="BV39" i="6" s="1"/>
  <c r="BU34" i="47"/>
  <c r="CG34" i="47" s="1"/>
  <c r="CS34" i="47" s="1"/>
  <c r="DN44" i="47"/>
  <c r="DP44" i="47"/>
  <c r="CW35" i="14"/>
  <c r="DB36" i="47"/>
  <c r="DM41" i="47"/>
  <c r="DR57" i="47"/>
  <c r="BY38" i="14"/>
  <c r="BY39" i="47"/>
  <c r="CK39" i="47" s="1"/>
  <c r="CW39" i="47" s="1"/>
  <c r="AU44" i="6"/>
  <c r="AS44" i="6"/>
  <c r="AQ44" i="6"/>
  <c r="AR44" i="6"/>
  <c r="AO44" i="6"/>
  <c r="AN45" i="6" s="1"/>
  <c r="AT44" i="6"/>
  <c r="CZ37" i="14"/>
  <c r="DE38" i="47"/>
  <c r="Z42" i="6"/>
  <c r="BW37" i="47"/>
  <c r="CI37" i="47" s="1"/>
  <c r="BQ42" i="6"/>
  <c r="BW42" i="6" s="1"/>
  <c r="BV37" i="47"/>
  <c r="CH37" i="47" s="1"/>
  <c r="CT37" i="47" s="1"/>
  <c r="CY35" i="14"/>
  <c r="DD36" i="47"/>
  <c r="DB37" i="14"/>
  <c r="DF38" i="47"/>
  <c r="DO44" i="47"/>
  <c r="DQ46" i="47"/>
  <c r="BS42" i="6"/>
  <c r="BY42" i="6" s="1"/>
  <c r="BX37" i="47"/>
  <c r="CJ37" i="47" s="1"/>
  <c r="CX35" i="14"/>
  <c r="DC36" i="47"/>
  <c r="CV32" i="14"/>
  <c r="DA33" i="47"/>
  <c r="CH37" i="14"/>
  <c r="DI45" i="14"/>
  <c r="DH90" i="47"/>
  <c r="CN91" i="47"/>
  <c r="DT98" i="47"/>
  <c r="CM83" i="47"/>
  <c r="DS90" i="47"/>
  <c r="DG82" i="47"/>
  <c r="DG88" i="47"/>
  <c r="DS96" i="47"/>
  <c r="CM89" i="47"/>
  <c r="CN90" i="47"/>
  <c r="DT97" i="47"/>
  <c r="DH89" i="47"/>
  <c r="CN86" i="47"/>
  <c r="DT93" i="47"/>
  <c r="DH85" i="47"/>
  <c r="DS98" i="47"/>
  <c r="DG90" i="47"/>
  <c r="CM91" i="47"/>
  <c r="DS95" i="47"/>
  <c r="CM88" i="47"/>
  <c r="DG87" i="47"/>
  <c r="DH86" i="47"/>
  <c r="CN87" i="47"/>
  <c r="DT94" i="47"/>
  <c r="DT99" i="47"/>
  <c r="DH91" i="47"/>
  <c r="CN84" i="47"/>
  <c r="DT91" i="47"/>
  <c r="DH83" i="47"/>
  <c r="CN89" i="47"/>
  <c r="DT96" i="47"/>
  <c r="DH88" i="47"/>
  <c r="CM87" i="47"/>
  <c r="DG86" i="47"/>
  <c r="DS94" i="47"/>
  <c r="CM86" i="47"/>
  <c r="DG85" i="47"/>
  <c r="DS93" i="47"/>
  <c r="DG83" i="47"/>
  <c r="CM84" i="47"/>
  <c r="DS91" i="47"/>
  <c r="CN88" i="47"/>
  <c r="DT95" i="47"/>
  <c r="DH87" i="47"/>
  <c r="DH82" i="47"/>
  <c r="CN83" i="47"/>
  <c r="DT90" i="47"/>
  <c r="CM85" i="47"/>
  <c r="DS92" i="47"/>
  <c r="DG84" i="47"/>
  <c r="DG89" i="47"/>
  <c r="CM90" i="47"/>
  <c r="DS97" i="47"/>
  <c r="DS99" i="47"/>
  <c r="DG91" i="47"/>
  <c r="CP83" i="47"/>
  <c r="DV90" i="47"/>
  <c r="DJ82" i="47"/>
  <c r="E99" i="46"/>
  <c r="E98" i="46"/>
  <c r="S5" i="47" s="1"/>
  <c r="C99" i="46"/>
  <c r="C98" i="46"/>
  <c r="R5" i="47" s="1"/>
  <c r="BZ41" i="6"/>
  <c r="BR42" i="6"/>
  <c r="BX41" i="6"/>
  <c r="CJ49" i="14"/>
  <c r="CS49" i="14" s="1"/>
  <c r="BJ44" i="6"/>
  <c r="BG44" i="6"/>
  <c r="BL44" i="6"/>
  <c r="BI44" i="6"/>
  <c r="BM44" i="6"/>
  <c r="BK44" i="6"/>
  <c r="CM32" i="14"/>
  <c r="DE40" i="14"/>
  <c r="J39" i="6"/>
  <c r="I39" i="6"/>
  <c r="H39" i="6"/>
  <c r="BU33" i="14"/>
  <c r="CD33" i="14" s="1"/>
  <c r="F39" i="6"/>
  <c r="E40" i="6" s="1"/>
  <c r="K39" i="6"/>
  <c r="G39" i="6"/>
  <c r="P42" i="6"/>
  <c r="Q42" i="6"/>
  <c r="AH42" i="6"/>
  <c r="AI42" i="6"/>
  <c r="CE35" i="14"/>
  <c r="CN35" i="14" s="1"/>
  <c r="DF43" i="14"/>
  <c r="Y42" i="6"/>
  <c r="CG35" i="14"/>
  <c r="CP35" i="14" s="1"/>
  <c r="CF35" i="14"/>
  <c r="CO35" i="14" s="1"/>
  <c r="AC42" i="6"/>
  <c r="T42" i="6"/>
  <c r="AL42" i="6"/>
  <c r="A82" i="6"/>
  <c r="BT49" i="14"/>
  <c r="DD57" i="14" s="1"/>
  <c r="CU48" i="14"/>
  <c r="AF42" i="6"/>
  <c r="AE43" i="6" s="1"/>
  <c r="AJ42" i="6"/>
  <c r="AK42" i="6"/>
  <c r="S42" i="6"/>
  <c r="N42" i="6"/>
  <c r="M43" i="6" s="1"/>
  <c r="R42" i="6"/>
  <c r="C56" i="6"/>
  <c r="AG55" i="6"/>
  <c r="BX36" i="14"/>
  <c r="DH44" i="14" s="1"/>
  <c r="BV36" i="14"/>
  <c r="DF44" i="14" s="1"/>
  <c r="BW36" i="14"/>
  <c r="AA42" i="6"/>
  <c r="W42" i="6"/>
  <c r="V43" i="6" s="1"/>
  <c r="AB42" i="6"/>
  <c r="AW45" i="6" l="1"/>
  <c r="BZ38" i="14"/>
  <c r="BU42" i="6"/>
  <c r="CA41" i="6"/>
  <c r="CA49" i="14"/>
  <c r="DK57" i="14" s="1"/>
  <c r="CV37" i="47"/>
  <c r="BF56" i="6"/>
  <c r="CA50" i="14" s="1"/>
  <c r="DK58" i="14" s="1"/>
  <c r="AP56" i="6"/>
  <c r="Z43" i="6"/>
  <c r="BW38" i="47"/>
  <c r="CI38" i="47" s="1"/>
  <c r="CU38" i="47" s="1"/>
  <c r="BQ43" i="6"/>
  <c r="BW43" i="6" s="1"/>
  <c r="BV38" i="47"/>
  <c r="CH38" i="47" s="1"/>
  <c r="CT38" i="47" s="1"/>
  <c r="BS43" i="6"/>
  <c r="BY43" i="6" s="1"/>
  <c r="BX38" i="47"/>
  <c r="CJ38" i="47" s="1"/>
  <c r="CV38" i="47" s="1"/>
  <c r="CY36" i="14"/>
  <c r="DD37" i="47"/>
  <c r="DO45" i="47"/>
  <c r="CH38" i="14"/>
  <c r="CQ38" i="14" s="1"/>
  <c r="DI46" i="14"/>
  <c r="CW36" i="14"/>
  <c r="DB37" i="47"/>
  <c r="CV33" i="14"/>
  <c r="DA34" i="47"/>
  <c r="CU37" i="47"/>
  <c r="BY39" i="14"/>
  <c r="BY40" i="47"/>
  <c r="CK40" i="47" s="1"/>
  <c r="CW40" i="47" s="1"/>
  <c r="AT45" i="6"/>
  <c r="AU45" i="6"/>
  <c r="AS45" i="6"/>
  <c r="AQ45" i="6"/>
  <c r="AR45" i="6"/>
  <c r="AO45" i="6"/>
  <c r="AN46" i="6" s="1"/>
  <c r="BT45" i="6"/>
  <c r="CX36" i="14"/>
  <c r="DC37" i="47"/>
  <c r="BP40" i="6"/>
  <c r="BV40" i="6" s="1"/>
  <c r="BU35" i="47"/>
  <c r="DB38" i="14"/>
  <c r="DF39" i="47"/>
  <c r="CQ37" i="14"/>
  <c r="DN45" i="47"/>
  <c r="CZ38" i="14"/>
  <c r="DE39" i="47"/>
  <c r="DM42" i="47"/>
  <c r="CG35" i="47"/>
  <c r="CS35" i="47" s="1"/>
  <c r="DP45" i="47"/>
  <c r="DQ47" i="47"/>
  <c r="CL51" i="47"/>
  <c r="CX51" i="47" s="1"/>
  <c r="DR58" i="47"/>
  <c r="BZ42" i="6"/>
  <c r="BR43" i="6"/>
  <c r="BX42" i="6"/>
  <c r="CJ50" i="14"/>
  <c r="CS50" i="14" s="1"/>
  <c r="BM45" i="6"/>
  <c r="BG45" i="6"/>
  <c r="BI45" i="6"/>
  <c r="BK45" i="6"/>
  <c r="BL45" i="6"/>
  <c r="BJ45" i="6"/>
  <c r="CM33" i="14"/>
  <c r="J40" i="6"/>
  <c r="I40" i="6"/>
  <c r="H40" i="6"/>
  <c r="BU34" i="14"/>
  <c r="CD34" i="14" s="1"/>
  <c r="G40" i="6"/>
  <c r="F40" i="6"/>
  <c r="E41" i="6" s="1"/>
  <c r="K40" i="6"/>
  <c r="DE41" i="14"/>
  <c r="P43" i="6"/>
  <c r="Q43" i="6"/>
  <c r="AH43" i="6"/>
  <c r="AI43" i="6"/>
  <c r="CF36" i="14"/>
  <c r="CO36" i="14" s="1"/>
  <c r="DG44" i="14"/>
  <c r="Y43" i="6"/>
  <c r="CE36" i="14"/>
  <c r="CN36" i="14" s="1"/>
  <c r="CG36" i="14"/>
  <c r="CP36" i="14" s="1"/>
  <c r="AC43" i="6"/>
  <c r="T43" i="6"/>
  <c r="AL43" i="6"/>
  <c r="A83" i="6"/>
  <c r="BT50" i="14"/>
  <c r="DD58" i="14" s="1"/>
  <c r="CU49" i="14"/>
  <c r="C57" i="6"/>
  <c r="AG56" i="6"/>
  <c r="AF43" i="6"/>
  <c r="AE44" i="6" s="1"/>
  <c r="AJ43" i="6"/>
  <c r="AK43" i="6"/>
  <c r="S43" i="6"/>
  <c r="N43" i="6"/>
  <c r="M44" i="6" s="1"/>
  <c r="R43" i="6"/>
  <c r="BV37" i="14"/>
  <c r="BX37" i="14"/>
  <c r="DH45" i="14" s="1"/>
  <c r="AB43" i="6"/>
  <c r="W43" i="6"/>
  <c r="V44" i="6" s="1"/>
  <c r="BW37" i="14"/>
  <c r="DG45" i="14" s="1"/>
  <c r="AA43" i="6"/>
  <c r="CI38" i="14" l="1"/>
  <c r="CR38" i="14" s="1"/>
  <c r="DJ46" i="14"/>
  <c r="BU43" i="6"/>
  <c r="CA42" i="6"/>
  <c r="AW46" i="6"/>
  <c r="BZ39" i="14"/>
  <c r="BZ51" i="47"/>
  <c r="DR59" i="47" s="1"/>
  <c r="BF57" i="6"/>
  <c r="CA51" i="14" s="1"/>
  <c r="DK59" i="14" s="1"/>
  <c r="AP57" i="6"/>
  <c r="Z44" i="6"/>
  <c r="BW39" i="47"/>
  <c r="CI39" i="47" s="1"/>
  <c r="CU39" i="47" s="1"/>
  <c r="CW37" i="14"/>
  <c r="DB38" i="47"/>
  <c r="CV34" i="14"/>
  <c r="DA35" i="47"/>
  <c r="BT46" i="6"/>
  <c r="DQ48" i="47"/>
  <c r="DN46" i="47"/>
  <c r="BQ44" i="6"/>
  <c r="BW44" i="6" s="1"/>
  <c r="BV39" i="47"/>
  <c r="CH39" i="47" s="1"/>
  <c r="CT39" i="47" s="1"/>
  <c r="BP41" i="6"/>
  <c r="BV41" i="6" s="1"/>
  <c r="BU36" i="47"/>
  <c r="CG36" i="47" s="1"/>
  <c r="CS36" i="47" s="1"/>
  <c r="BY40" i="14"/>
  <c r="BY41" i="47"/>
  <c r="CK41" i="47" s="1"/>
  <c r="AU46" i="6"/>
  <c r="AS46" i="6"/>
  <c r="AQ46" i="6"/>
  <c r="AR46" i="6"/>
  <c r="AO46" i="6"/>
  <c r="AN47" i="6" s="1"/>
  <c r="AT46" i="6"/>
  <c r="CH39" i="14"/>
  <c r="CQ39" i="14" s="1"/>
  <c r="DI47" i="14"/>
  <c r="CH40" i="14"/>
  <c r="CQ40" i="14" s="1"/>
  <c r="BS44" i="6"/>
  <c r="BY44" i="6" s="1"/>
  <c r="BX39" i="47"/>
  <c r="CJ39" i="47" s="1"/>
  <c r="CV39" i="47" s="1"/>
  <c r="CX37" i="14"/>
  <c r="DC38" i="47"/>
  <c r="DB39" i="14"/>
  <c r="DF40" i="47"/>
  <c r="DM43" i="47"/>
  <c r="CZ39" i="14"/>
  <c r="DE40" i="47"/>
  <c r="DP46" i="47"/>
  <c r="DO46" i="47"/>
  <c r="CY37" i="14"/>
  <c r="DD38" i="47"/>
  <c r="BZ43" i="6"/>
  <c r="BX43" i="6"/>
  <c r="BR44" i="6"/>
  <c r="CJ51" i="14"/>
  <c r="CS51" i="14" s="1"/>
  <c r="BG46" i="6"/>
  <c r="BI46" i="6"/>
  <c r="BM46" i="6"/>
  <c r="BJ46" i="6"/>
  <c r="BL46" i="6"/>
  <c r="BK46" i="6"/>
  <c r="CM34" i="14"/>
  <c r="DE42" i="14"/>
  <c r="K41" i="6"/>
  <c r="I41" i="6"/>
  <c r="BU35" i="14"/>
  <c r="CD35" i="14" s="1"/>
  <c r="J41" i="6"/>
  <c r="H41" i="6"/>
  <c r="G41" i="6"/>
  <c r="F41" i="6"/>
  <c r="E42" i="6" s="1"/>
  <c r="P44" i="6"/>
  <c r="Q44" i="6"/>
  <c r="AH44" i="6"/>
  <c r="AI44" i="6"/>
  <c r="CE37" i="14"/>
  <c r="CN37" i="14" s="1"/>
  <c r="DF45" i="14"/>
  <c r="Y44" i="6"/>
  <c r="CG37" i="14"/>
  <c r="CP37" i="14" s="1"/>
  <c r="CF37" i="14"/>
  <c r="CO37" i="14" s="1"/>
  <c r="AC44" i="6"/>
  <c r="AL44" i="6"/>
  <c r="T44" i="6"/>
  <c r="A84" i="6"/>
  <c r="BT51" i="14"/>
  <c r="DD59" i="14" s="1"/>
  <c r="CU50" i="14"/>
  <c r="AF44" i="6"/>
  <c r="AE45" i="6" s="1"/>
  <c r="AJ44" i="6"/>
  <c r="AK44" i="6"/>
  <c r="N44" i="6"/>
  <c r="M45" i="6" s="1"/>
  <c r="S44" i="6"/>
  <c r="R44" i="6"/>
  <c r="C58" i="6"/>
  <c r="AG57" i="6"/>
  <c r="BX38" i="14"/>
  <c r="AA44" i="6"/>
  <c r="AB44" i="6"/>
  <c r="W44" i="6"/>
  <c r="V45" i="6" s="1"/>
  <c r="BW38" i="14"/>
  <c r="DG46" i="14" s="1"/>
  <c r="BV38" i="14"/>
  <c r="DF46" i="14" s="1"/>
  <c r="CL52" i="47" l="1"/>
  <c r="CX52" i="47" s="1"/>
  <c r="BZ52" i="47"/>
  <c r="BU44" i="6"/>
  <c r="CA43" i="6"/>
  <c r="CI39" i="14"/>
  <c r="CR39" i="14" s="1"/>
  <c r="DJ47" i="14"/>
  <c r="CI40" i="14"/>
  <c r="AW47" i="6"/>
  <c r="BZ40" i="14"/>
  <c r="BF58" i="6"/>
  <c r="CA52" i="14" s="1"/>
  <c r="DK60" i="14" s="1"/>
  <c r="AP58" i="6"/>
  <c r="CH98" i="14"/>
  <c r="DP47" i="47"/>
  <c r="CH94" i="14"/>
  <c r="CH102" i="14"/>
  <c r="DI48" i="14"/>
  <c r="BY94" i="14"/>
  <c r="BS45" i="6"/>
  <c r="BY45" i="6" s="1"/>
  <c r="BX40" i="47"/>
  <c r="CJ40" i="47" s="1"/>
  <c r="CV40" i="47" s="1"/>
  <c r="BP42" i="6"/>
  <c r="BV42" i="6" s="1"/>
  <c r="BU37" i="47"/>
  <c r="DB40" i="14"/>
  <c r="DF41" i="47"/>
  <c r="DM44" i="47"/>
  <c r="BT47" i="6"/>
  <c r="CW38" i="14"/>
  <c r="DB39" i="47"/>
  <c r="Z45" i="6"/>
  <c r="BW40" i="47"/>
  <c r="CI40" i="47" s="1"/>
  <c r="CU40" i="47" s="1"/>
  <c r="BQ45" i="6"/>
  <c r="BW45" i="6" s="1"/>
  <c r="BV40" i="47"/>
  <c r="CH40" i="47" s="1"/>
  <c r="CT40" i="47" s="1"/>
  <c r="CY38" i="14"/>
  <c r="DD39" i="47"/>
  <c r="DR60" i="47"/>
  <c r="CL53" i="47"/>
  <c r="CX53" i="47" s="1"/>
  <c r="BY41" i="14"/>
  <c r="BY42" i="47"/>
  <c r="CK42" i="47" s="1"/>
  <c r="CW42" i="47" s="1"/>
  <c r="AU47" i="6"/>
  <c r="AS47" i="6"/>
  <c r="AQ47" i="6"/>
  <c r="AR47" i="6"/>
  <c r="AO47" i="6"/>
  <c r="AN48" i="6" s="1"/>
  <c r="AT47" i="6"/>
  <c r="CZ40" i="14"/>
  <c r="DE41" i="47"/>
  <c r="DO47" i="47"/>
  <c r="CX38" i="14"/>
  <c r="DC39" i="47"/>
  <c r="CV35" i="14"/>
  <c r="DA36" i="47"/>
  <c r="DQ49" i="47"/>
  <c r="CK100" i="47"/>
  <c r="CK95" i="47"/>
  <c r="BY95" i="47"/>
  <c r="DN47" i="47"/>
  <c r="CW41" i="47"/>
  <c r="BZ44" i="6"/>
  <c r="BX44" i="6"/>
  <c r="BR45" i="6"/>
  <c r="CJ52" i="14"/>
  <c r="CS52" i="14" s="1"/>
  <c r="BM47" i="6"/>
  <c r="BK47" i="6"/>
  <c r="BJ47" i="6"/>
  <c r="BG47" i="6"/>
  <c r="BI47" i="6"/>
  <c r="BL47" i="6"/>
  <c r="CM35" i="14"/>
  <c r="J42" i="6"/>
  <c r="F42" i="6"/>
  <c r="E43" i="6" s="1"/>
  <c r="BU36" i="14"/>
  <c r="CD36" i="14" s="1"/>
  <c r="K42" i="6"/>
  <c r="H42" i="6"/>
  <c r="G42" i="6"/>
  <c r="I42" i="6"/>
  <c r="DE43" i="14"/>
  <c r="P45" i="6"/>
  <c r="Q45" i="6"/>
  <c r="AH45" i="6"/>
  <c r="AI45" i="6"/>
  <c r="CG38" i="14"/>
  <c r="CP38" i="14" s="1"/>
  <c r="DH46" i="14"/>
  <c r="Y45" i="6"/>
  <c r="CF38" i="14"/>
  <c r="CO38" i="14" s="1"/>
  <c r="CE38" i="14"/>
  <c r="CN38" i="14" s="1"/>
  <c r="AC45" i="6"/>
  <c r="T45" i="6"/>
  <c r="AL45" i="6"/>
  <c r="A85" i="6"/>
  <c r="BT52" i="14"/>
  <c r="DD60" i="14" s="1"/>
  <c r="CU51" i="14"/>
  <c r="S45" i="6"/>
  <c r="R45" i="6"/>
  <c r="N45" i="6"/>
  <c r="M46" i="6" s="1"/>
  <c r="AF45" i="6"/>
  <c r="AE46" i="6" s="1"/>
  <c r="AJ45" i="6"/>
  <c r="AK45" i="6"/>
  <c r="C59" i="6"/>
  <c r="AG58" i="6"/>
  <c r="BX39" i="14"/>
  <c r="BV39" i="14"/>
  <c r="BW39" i="14"/>
  <c r="DG47" i="14" s="1"/>
  <c r="AA45" i="6"/>
  <c r="W45" i="6"/>
  <c r="V46" i="6" s="1"/>
  <c r="AB45" i="6"/>
  <c r="BZ41" i="14" l="1"/>
  <c r="AW48" i="6"/>
  <c r="CI94" i="14"/>
  <c r="DJ48" i="14"/>
  <c r="CI102" i="14"/>
  <c r="BZ94" i="14"/>
  <c r="CI98" i="14"/>
  <c r="CR40" i="14"/>
  <c r="BU45" i="6"/>
  <c r="CA44" i="6"/>
  <c r="BZ53" i="47"/>
  <c r="DR61" i="47" s="1"/>
  <c r="BF59" i="6"/>
  <c r="BZ54" i="47" s="1"/>
  <c r="AP59" i="6"/>
  <c r="BY42" i="14"/>
  <c r="BY43" i="47"/>
  <c r="CK43" i="47" s="1"/>
  <c r="CW43" i="47" s="1"/>
  <c r="AU48" i="6"/>
  <c r="AS48" i="6"/>
  <c r="AQ48" i="6"/>
  <c r="AR48" i="6"/>
  <c r="AO48" i="6"/>
  <c r="AN49" i="6" s="1"/>
  <c r="AT48" i="6"/>
  <c r="CZ41" i="14"/>
  <c r="DE42" i="47"/>
  <c r="DP48" i="47"/>
  <c r="Z46" i="6"/>
  <c r="BW41" i="47"/>
  <c r="CI41" i="47" s="1"/>
  <c r="CY39" i="14"/>
  <c r="DD40" i="47"/>
  <c r="CV36" i="14"/>
  <c r="DA37" i="47"/>
  <c r="CL54" i="47"/>
  <c r="CX54" i="47" s="1"/>
  <c r="DQ50" i="47"/>
  <c r="DO48" i="47"/>
  <c r="BT48" i="6"/>
  <c r="BS46" i="6"/>
  <c r="BY46" i="6" s="1"/>
  <c r="BX41" i="47"/>
  <c r="CJ41" i="47" s="1"/>
  <c r="CW39" i="14"/>
  <c r="DB40" i="47"/>
  <c r="CH41" i="14"/>
  <c r="CQ41" i="14" s="1"/>
  <c r="DI49" i="14"/>
  <c r="DM45" i="47"/>
  <c r="BQ46" i="6"/>
  <c r="BW46" i="6" s="1"/>
  <c r="BV41" i="47"/>
  <c r="CX39" i="14"/>
  <c r="DC40" i="47"/>
  <c r="BP43" i="6"/>
  <c r="BV43" i="6" s="1"/>
  <c r="BU38" i="47"/>
  <c r="DB41" i="14"/>
  <c r="DF42" i="47"/>
  <c r="DN48" i="47"/>
  <c r="CH41" i="47"/>
  <c r="CT41" i="47" s="1"/>
  <c r="CG37" i="47"/>
  <c r="CS37" i="47" s="1"/>
  <c r="BZ45" i="6"/>
  <c r="BR46" i="6"/>
  <c r="BX45" i="6"/>
  <c r="CJ53" i="14"/>
  <c r="CS53" i="14" s="1"/>
  <c r="BJ48" i="6"/>
  <c r="BL48" i="6"/>
  <c r="BK48" i="6"/>
  <c r="BI48" i="6"/>
  <c r="BM48" i="6"/>
  <c r="BG48" i="6"/>
  <c r="CM36" i="14"/>
  <c r="DE44" i="14"/>
  <c r="I43" i="6"/>
  <c r="H43" i="6"/>
  <c r="F43" i="6"/>
  <c r="E44" i="6" s="1"/>
  <c r="K43" i="6"/>
  <c r="BU37" i="14"/>
  <c r="CD37" i="14" s="1"/>
  <c r="G43" i="6"/>
  <c r="J43" i="6"/>
  <c r="P46" i="6"/>
  <c r="Q46" i="6"/>
  <c r="AH46" i="6"/>
  <c r="AI46" i="6"/>
  <c r="CE39" i="14"/>
  <c r="CN39" i="14" s="1"/>
  <c r="DF47" i="14"/>
  <c r="CG39" i="14"/>
  <c r="CP39" i="14" s="1"/>
  <c r="DH47" i="14"/>
  <c r="Y46" i="6"/>
  <c r="CF39" i="14"/>
  <c r="CO39" i="14" s="1"/>
  <c r="AC46" i="6"/>
  <c r="AL46" i="6"/>
  <c r="T46" i="6"/>
  <c r="A86" i="6"/>
  <c r="BT53" i="14"/>
  <c r="DD61" i="14" s="1"/>
  <c r="CU52" i="14"/>
  <c r="AK46" i="6"/>
  <c r="AF46" i="6"/>
  <c r="AE47" i="6" s="1"/>
  <c r="BX40" i="14"/>
  <c r="AJ46" i="6"/>
  <c r="N46" i="6"/>
  <c r="M47" i="6" s="1"/>
  <c r="S46" i="6"/>
  <c r="R46" i="6"/>
  <c r="BV40" i="14"/>
  <c r="C60" i="6"/>
  <c r="AG59" i="6"/>
  <c r="BW40" i="14"/>
  <c r="AB46" i="6"/>
  <c r="W46" i="6"/>
  <c r="V47" i="6" s="1"/>
  <c r="AA46" i="6"/>
  <c r="AW49" i="6" l="1"/>
  <c r="BZ42" i="14"/>
  <c r="BU46" i="6"/>
  <c r="CA45" i="6"/>
  <c r="CI41" i="14"/>
  <c r="CR41" i="14" s="1"/>
  <c r="DJ49" i="14"/>
  <c r="CV41" i="47"/>
  <c r="CA53" i="14"/>
  <c r="DK61" i="14" s="1"/>
  <c r="BF60" i="6"/>
  <c r="BZ55" i="47" s="1"/>
  <c r="AP60" i="6"/>
  <c r="CX40" i="14"/>
  <c r="DC41" i="47"/>
  <c r="CU41" i="47"/>
  <c r="BS47" i="6"/>
  <c r="BY47" i="6" s="1"/>
  <c r="BX42" i="47"/>
  <c r="CJ42" i="47" s="1"/>
  <c r="CV42" i="47" s="1"/>
  <c r="DB42" i="14"/>
  <c r="DF43" i="47"/>
  <c r="DR62" i="47"/>
  <c r="CL55" i="47"/>
  <c r="CX55" i="47" s="1"/>
  <c r="CJ95" i="47"/>
  <c r="DP49" i="47"/>
  <c r="CJ100" i="47"/>
  <c r="BX95" i="47"/>
  <c r="BY43" i="14"/>
  <c r="BY44" i="47"/>
  <c r="AT49" i="6"/>
  <c r="AU49" i="6"/>
  <c r="AS49" i="6"/>
  <c r="AQ49" i="6"/>
  <c r="AR49" i="6"/>
  <c r="AO49" i="6"/>
  <c r="AN50" i="6" s="1"/>
  <c r="CZ42" i="14"/>
  <c r="DE43" i="47"/>
  <c r="CV37" i="14"/>
  <c r="DA38" i="47"/>
  <c r="CI100" i="47"/>
  <c r="CI95" i="47"/>
  <c r="DO49" i="47"/>
  <c r="BW95" i="47"/>
  <c r="CK44" i="47"/>
  <c r="CW44" i="47" s="1"/>
  <c r="DQ51" i="47"/>
  <c r="Z47" i="6"/>
  <c r="BW42" i="47"/>
  <c r="CI42" i="47" s="1"/>
  <c r="CU42" i="47" s="1"/>
  <c r="BQ47" i="6"/>
  <c r="BW47" i="6" s="1"/>
  <c r="BV42" i="47"/>
  <c r="CH42" i="47" s="1"/>
  <c r="CT42" i="47" s="1"/>
  <c r="CW40" i="14"/>
  <c r="DB41" i="47"/>
  <c r="CY40" i="14"/>
  <c r="DD41" i="47"/>
  <c r="BP44" i="6"/>
  <c r="BV44" i="6" s="1"/>
  <c r="BU39" i="47"/>
  <c r="DM46" i="47"/>
  <c r="DN49" i="47"/>
  <c r="CH100" i="47"/>
  <c r="CH95" i="47"/>
  <c r="BV95" i="47"/>
  <c r="CG38" i="47"/>
  <c r="CS38" i="47" s="1"/>
  <c r="BT49" i="6"/>
  <c r="CH42" i="14"/>
  <c r="CQ42" i="14" s="1"/>
  <c r="DI50" i="14"/>
  <c r="BZ46" i="6"/>
  <c r="BR47" i="6"/>
  <c r="BX46" i="6"/>
  <c r="BK49" i="6"/>
  <c r="BI49" i="6"/>
  <c r="BJ49" i="6"/>
  <c r="BG49" i="6"/>
  <c r="BM49" i="6"/>
  <c r="BL49" i="6"/>
  <c r="CM37" i="14"/>
  <c r="DE45" i="14"/>
  <c r="K44" i="6"/>
  <c r="G44" i="6"/>
  <c r="H44" i="6"/>
  <c r="BU38" i="14"/>
  <c r="CD38" i="14" s="1"/>
  <c r="F44" i="6"/>
  <c r="E45" i="6" s="1"/>
  <c r="I44" i="6"/>
  <c r="J44" i="6"/>
  <c r="CE102" i="14"/>
  <c r="CE94" i="14"/>
  <c r="CF102" i="14"/>
  <c r="CF94" i="14"/>
  <c r="CG102" i="14"/>
  <c r="CG94" i="14"/>
  <c r="P47" i="6"/>
  <c r="Q47" i="6"/>
  <c r="AH47" i="6"/>
  <c r="AI47" i="6"/>
  <c r="BV94" i="14"/>
  <c r="BX94" i="14"/>
  <c r="BW94" i="14"/>
  <c r="DF48" i="14"/>
  <c r="DH48" i="14"/>
  <c r="DG48" i="14"/>
  <c r="Y47" i="6"/>
  <c r="CE40" i="14"/>
  <c r="CN40" i="14" s="1"/>
  <c r="CG40" i="14"/>
  <c r="CP40" i="14" s="1"/>
  <c r="CF40" i="14"/>
  <c r="CO40" i="14" s="1"/>
  <c r="AC47" i="6"/>
  <c r="T47" i="6"/>
  <c r="AL47" i="6"/>
  <c r="A87" i="6"/>
  <c r="BT54" i="14"/>
  <c r="DD62" i="14" s="1"/>
  <c r="CU53" i="14"/>
  <c r="C61" i="6"/>
  <c r="AG60" i="6"/>
  <c r="R47" i="6"/>
  <c r="S47" i="6"/>
  <c r="N47" i="6"/>
  <c r="M48" i="6" s="1"/>
  <c r="BV41" i="14"/>
  <c r="DF49" i="14" s="1"/>
  <c r="BX41" i="14"/>
  <c r="DH49" i="14" s="1"/>
  <c r="AJ47" i="6"/>
  <c r="AF47" i="6"/>
  <c r="AE48" i="6" s="1"/>
  <c r="AK47" i="6"/>
  <c r="BW41" i="14"/>
  <c r="DG49" i="14" s="1"/>
  <c r="W47" i="6"/>
  <c r="V48" i="6" s="1"/>
  <c r="AA47" i="6"/>
  <c r="AB47" i="6"/>
  <c r="BU47" i="6" l="1"/>
  <c r="CA46" i="6"/>
  <c r="CI42" i="14"/>
  <c r="CR42" i="14" s="1"/>
  <c r="DJ50" i="14"/>
  <c r="AW50" i="6"/>
  <c r="BZ43" i="14"/>
  <c r="CJ54" i="14"/>
  <c r="CS54" i="14" s="1"/>
  <c r="CA54" i="14"/>
  <c r="DK62" i="14" s="1"/>
  <c r="BF61" i="6"/>
  <c r="BZ56" i="47" s="1"/>
  <c r="AP61" i="6"/>
  <c r="BY44" i="14"/>
  <c r="BY45" i="47"/>
  <c r="CK45" i="47" s="1"/>
  <c r="CW45" i="47" s="1"/>
  <c r="AO50" i="6"/>
  <c r="AN51" i="6" s="1"/>
  <c r="AT50" i="6"/>
  <c r="AU50" i="6"/>
  <c r="AS50" i="6"/>
  <c r="AQ50" i="6"/>
  <c r="AR50" i="6"/>
  <c r="BS48" i="6"/>
  <c r="BY48" i="6" s="1"/>
  <c r="BX43" i="47"/>
  <c r="CJ43" i="47" s="1"/>
  <c r="CV43" i="47" s="1"/>
  <c r="CY41" i="14"/>
  <c r="DD42" i="47"/>
  <c r="BT50" i="6"/>
  <c r="CL56" i="47"/>
  <c r="CX56" i="47" s="1"/>
  <c r="DR63" i="47"/>
  <c r="CH43" i="14"/>
  <c r="CQ43" i="14" s="1"/>
  <c r="DI51" i="14"/>
  <c r="Z48" i="6"/>
  <c r="BW43" i="47"/>
  <c r="BP45" i="6"/>
  <c r="BV45" i="6" s="1"/>
  <c r="BU40" i="47"/>
  <c r="CV38" i="14"/>
  <c r="DA39" i="47"/>
  <c r="DB43" i="14"/>
  <c r="DF44" i="47"/>
  <c r="DM47" i="47"/>
  <c r="CI43" i="47"/>
  <c r="CU43" i="47" s="1"/>
  <c r="DO50" i="47"/>
  <c r="CZ43" i="14"/>
  <c r="DE44" i="47"/>
  <c r="BQ48" i="6"/>
  <c r="BW48" i="6" s="1"/>
  <c r="BV43" i="47"/>
  <c r="CH43" i="47" s="1"/>
  <c r="CT43" i="47" s="1"/>
  <c r="CW41" i="14"/>
  <c r="DB42" i="47"/>
  <c r="CX41" i="14"/>
  <c r="DC42" i="47"/>
  <c r="DP50" i="47"/>
  <c r="CG39" i="47"/>
  <c r="CS39" i="47" s="1"/>
  <c r="DN50" i="47"/>
  <c r="DQ52" i="47"/>
  <c r="BZ47" i="6"/>
  <c r="BX47" i="6"/>
  <c r="BR48" i="6"/>
  <c r="BG50" i="6"/>
  <c r="BI50" i="6"/>
  <c r="BK50" i="6"/>
  <c r="BM50" i="6"/>
  <c r="BL50" i="6"/>
  <c r="BJ50" i="6"/>
  <c r="CM38" i="14"/>
  <c r="CF98" i="14"/>
  <c r="CG98" i="14"/>
  <c r="CE98" i="14"/>
  <c r="G45" i="6"/>
  <c r="H45" i="6"/>
  <c r="I45" i="6"/>
  <c r="F45" i="6"/>
  <c r="E46" i="6" s="1"/>
  <c r="BU39" i="14"/>
  <c r="CD39" i="14" s="1"/>
  <c r="K45" i="6"/>
  <c r="J45" i="6"/>
  <c r="DE46" i="14"/>
  <c r="P48" i="6"/>
  <c r="Q48" i="6"/>
  <c r="AH48" i="6"/>
  <c r="AI48" i="6"/>
  <c r="Y48" i="6"/>
  <c r="CG41" i="14"/>
  <c r="CP41" i="14" s="1"/>
  <c r="CF41" i="14"/>
  <c r="CO41" i="14" s="1"/>
  <c r="CE41" i="14"/>
  <c r="CN41" i="14" s="1"/>
  <c r="AC48" i="6"/>
  <c r="T48" i="6"/>
  <c r="AL48" i="6"/>
  <c r="A88" i="6"/>
  <c r="BT55" i="14"/>
  <c r="DD63" i="14" s="1"/>
  <c r="CU54" i="14"/>
  <c r="C62" i="6"/>
  <c r="AG61" i="6"/>
  <c r="N48" i="6"/>
  <c r="M49" i="6" s="1"/>
  <c r="R48" i="6"/>
  <c r="BV42" i="14"/>
  <c r="S48" i="6"/>
  <c r="BX42" i="14"/>
  <c r="DH50" i="14" s="1"/>
  <c r="AJ48" i="6"/>
  <c r="AF48" i="6"/>
  <c r="AE49" i="6" s="1"/>
  <c r="AK48" i="6"/>
  <c r="BW42" i="14"/>
  <c r="DG50" i="14" s="1"/>
  <c r="W48" i="6"/>
  <c r="V49" i="6" s="1"/>
  <c r="AB48" i="6"/>
  <c r="AA48" i="6"/>
  <c r="CI43" i="14" l="1"/>
  <c r="CR43" i="14" s="1"/>
  <c r="DJ51" i="14"/>
  <c r="CI44" i="14"/>
  <c r="CR44" i="14" s="1"/>
  <c r="AW51" i="6"/>
  <c r="BZ44" i="14"/>
  <c r="BU48" i="6"/>
  <c r="CA47" i="6"/>
  <c r="CA55" i="14"/>
  <c r="CJ55" i="14" s="1"/>
  <c r="CS55" i="14" s="1"/>
  <c r="BF62" i="6"/>
  <c r="BZ57" i="47" s="1"/>
  <c r="AP62" i="6"/>
  <c r="BT51" i="6"/>
  <c r="BQ49" i="6"/>
  <c r="BW49" i="6" s="1"/>
  <c r="BV44" i="47"/>
  <c r="CH44" i="47" s="1"/>
  <c r="CT44" i="47" s="1"/>
  <c r="CX42" i="14"/>
  <c r="DC43" i="47"/>
  <c r="DR64" i="47"/>
  <c r="CL57" i="47"/>
  <c r="CX57" i="47" s="1"/>
  <c r="BP46" i="6"/>
  <c r="BV46" i="6" s="1"/>
  <c r="BU41" i="47"/>
  <c r="CG41" i="47" s="1"/>
  <c r="CS41" i="47" s="1"/>
  <c r="DN51" i="47"/>
  <c r="DM48" i="47"/>
  <c r="BY45" i="14"/>
  <c r="BY46" i="47"/>
  <c r="CK46" i="47" s="1"/>
  <c r="CW46" i="47" s="1"/>
  <c r="AQ51" i="6"/>
  <c r="AR51" i="6"/>
  <c r="AO51" i="6"/>
  <c r="AN52" i="6" s="1"/>
  <c r="AT51" i="6"/>
  <c r="AU51" i="6"/>
  <c r="AS51" i="6"/>
  <c r="CY42" i="14"/>
  <c r="DD43" i="47"/>
  <c r="DP51" i="47"/>
  <c r="DQ53" i="47"/>
  <c r="BS49" i="6"/>
  <c r="BY49" i="6" s="1"/>
  <c r="BX44" i="47"/>
  <c r="CJ44" i="47" s="1"/>
  <c r="CV44" i="47" s="1"/>
  <c r="Z49" i="6"/>
  <c r="BW44" i="47"/>
  <c r="CI44" i="47" s="1"/>
  <c r="CU44" i="47" s="1"/>
  <c r="CW42" i="14"/>
  <c r="DB43" i="47"/>
  <c r="CV39" i="14"/>
  <c r="DA40" i="47"/>
  <c r="DB44" i="14"/>
  <c r="DF45" i="47"/>
  <c r="CG40" i="47"/>
  <c r="CS40" i="47" s="1"/>
  <c r="DO51" i="47"/>
  <c r="CZ44" i="14"/>
  <c r="DE45" i="47"/>
  <c r="CH44" i="14"/>
  <c r="CQ44" i="14" s="1"/>
  <c r="DI52" i="14"/>
  <c r="BZ48" i="6"/>
  <c r="BX48" i="6"/>
  <c r="BR49" i="6"/>
  <c r="BL51" i="6"/>
  <c r="BM51" i="6"/>
  <c r="BJ51" i="6"/>
  <c r="BG51" i="6"/>
  <c r="BI51" i="6"/>
  <c r="BK51" i="6"/>
  <c r="CM39" i="14"/>
  <c r="J46" i="6"/>
  <c r="H46" i="6"/>
  <c r="BU40" i="14"/>
  <c r="CD40" i="14" s="1"/>
  <c r="I46" i="6"/>
  <c r="G46" i="6"/>
  <c r="K46" i="6"/>
  <c r="F46" i="6"/>
  <c r="E47" i="6" s="1"/>
  <c r="DE47" i="14"/>
  <c r="P49" i="6"/>
  <c r="Q49" i="6"/>
  <c r="AH49" i="6"/>
  <c r="AI49" i="6"/>
  <c r="CE42" i="14"/>
  <c r="CN42" i="14" s="1"/>
  <c r="DF50" i="14"/>
  <c r="Y49" i="6"/>
  <c r="CF42" i="14"/>
  <c r="CO42" i="14" s="1"/>
  <c r="CG42" i="14"/>
  <c r="CP42" i="14" s="1"/>
  <c r="AC49" i="6"/>
  <c r="T49" i="6"/>
  <c r="AL49" i="6"/>
  <c r="A89" i="6"/>
  <c r="BT56" i="14"/>
  <c r="DD64" i="14" s="1"/>
  <c r="CU55" i="14"/>
  <c r="AF49" i="6"/>
  <c r="AE50" i="6" s="1"/>
  <c r="AK49" i="6"/>
  <c r="AJ49" i="6"/>
  <c r="BX43" i="14"/>
  <c r="BV43" i="14"/>
  <c r="S49" i="6"/>
  <c r="N49" i="6"/>
  <c r="M50" i="6" s="1"/>
  <c r="R49" i="6"/>
  <c r="C63" i="6"/>
  <c r="AG62" i="6"/>
  <c r="BW43" i="14"/>
  <c r="DG51" i="14" s="1"/>
  <c r="AB49" i="6"/>
  <c r="AA49" i="6"/>
  <c r="W49" i="6"/>
  <c r="V50" i="6" s="1"/>
  <c r="CA56" i="14" l="1"/>
  <c r="DK64" i="14" s="1"/>
  <c r="CJ56" i="14"/>
  <c r="CS56" i="14" s="1"/>
  <c r="DK63" i="14"/>
  <c r="BU49" i="6"/>
  <c r="CA48" i="6"/>
  <c r="AW52" i="6"/>
  <c r="BZ45" i="14"/>
  <c r="DJ52" i="14"/>
  <c r="CI45" i="14"/>
  <c r="CR45" i="14" s="1"/>
  <c r="BF63" i="6"/>
  <c r="BZ58" i="47" s="1"/>
  <c r="AP63" i="6"/>
  <c r="CW43" i="14"/>
  <c r="DB44" i="47"/>
  <c r="BP47" i="6"/>
  <c r="BV47" i="6" s="1"/>
  <c r="BU42" i="47"/>
  <c r="CG42" i="47" s="1"/>
  <c r="CS42" i="47" s="1"/>
  <c r="DB45" i="14"/>
  <c r="DF46" i="47"/>
  <c r="CZ45" i="14"/>
  <c r="DE46" i="47"/>
  <c r="CG95" i="47"/>
  <c r="DM49" i="47"/>
  <c r="CG100" i="47"/>
  <c r="BU95" i="47"/>
  <c r="BQ50" i="6"/>
  <c r="BW50" i="6" s="1"/>
  <c r="BV45" i="47"/>
  <c r="CH45" i="47" s="1"/>
  <c r="CT45" i="47" s="1"/>
  <c r="CX43" i="14"/>
  <c r="DC44" i="47"/>
  <c r="CV40" i="14"/>
  <c r="DA41" i="47"/>
  <c r="DP52" i="47"/>
  <c r="CL58" i="47"/>
  <c r="CX58" i="47" s="1"/>
  <c r="DR65" i="47"/>
  <c r="DQ54" i="47"/>
  <c r="Z50" i="6"/>
  <c r="BW45" i="47"/>
  <c r="CI45" i="47" s="1"/>
  <c r="CU45" i="47" s="1"/>
  <c r="BY46" i="14"/>
  <c r="BY47" i="47"/>
  <c r="CK47" i="47" s="1"/>
  <c r="CW47" i="47" s="1"/>
  <c r="AU52" i="6"/>
  <c r="AS52" i="6"/>
  <c r="AQ52" i="6"/>
  <c r="AR52" i="6"/>
  <c r="AO52" i="6"/>
  <c r="AN53" i="6" s="1"/>
  <c r="AT52" i="6"/>
  <c r="CH45" i="14"/>
  <c r="CQ45" i="14" s="1"/>
  <c r="DI53" i="14"/>
  <c r="DN52" i="47"/>
  <c r="BS50" i="6"/>
  <c r="BY50" i="6" s="1"/>
  <c r="BX45" i="47"/>
  <c r="CJ45" i="47" s="1"/>
  <c r="CV45" i="47" s="1"/>
  <c r="CY43" i="14"/>
  <c r="DD44" i="47"/>
  <c r="DO52" i="47"/>
  <c r="BT52" i="6"/>
  <c r="BZ49" i="6"/>
  <c r="BR50" i="6"/>
  <c r="BX49" i="6"/>
  <c r="BG52" i="6"/>
  <c r="BI52" i="6"/>
  <c r="BK52" i="6"/>
  <c r="BL52" i="6"/>
  <c r="BJ52" i="6"/>
  <c r="BM52" i="6"/>
  <c r="CM40" i="14"/>
  <c r="BU94" i="14"/>
  <c r="I47" i="6"/>
  <c r="J47" i="6"/>
  <c r="H47" i="6"/>
  <c r="G47" i="6"/>
  <c r="BU41" i="14"/>
  <c r="CD41" i="14" s="1"/>
  <c r="F47" i="6"/>
  <c r="E48" i="6" s="1"/>
  <c r="K47" i="6"/>
  <c r="CD102" i="14"/>
  <c r="DE48" i="14"/>
  <c r="CD94" i="14"/>
  <c r="P50" i="6"/>
  <c r="Q50" i="6"/>
  <c r="AH50" i="6"/>
  <c r="AI50" i="6"/>
  <c r="CE43" i="14"/>
  <c r="CN43" i="14" s="1"/>
  <c r="DF51" i="14"/>
  <c r="CG43" i="14"/>
  <c r="CP43" i="14" s="1"/>
  <c r="DH51" i="14"/>
  <c r="Y50" i="6"/>
  <c r="CF43" i="14"/>
  <c r="CO43" i="14" s="1"/>
  <c r="AC50" i="6"/>
  <c r="T50" i="6"/>
  <c r="AL50" i="6"/>
  <c r="A90" i="6"/>
  <c r="BT57" i="14"/>
  <c r="DD65" i="14" s="1"/>
  <c r="CU56" i="14"/>
  <c r="C64" i="6"/>
  <c r="AG63" i="6"/>
  <c r="N50" i="6"/>
  <c r="M51" i="6" s="1"/>
  <c r="S50" i="6"/>
  <c r="BV44" i="14"/>
  <c r="R50" i="6"/>
  <c r="AK50" i="6"/>
  <c r="AF50" i="6"/>
  <c r="AE51" i="6" s="1"/>
  <c r="AJ50" i="6"/>
  <c r="BX44" i="14"/>
  <c r="DH52" i="14" s="1"/>
  <c r="BW44" i="14"/>
  <c r="DG52" i="14" s="1"/>
  <c r="AA50" i="6"/>
  <c r="W50" i="6"/>
  <c r="V51" i="6" s="1"/>
  <c r="AB50" i="6"/>
  <c r="CJ57" i="14" l="1"/>
  <c r="CS57" i="14" s="1"/>
  <c r="CA57" i="14"/>
  <c r="DK65" i="14" s="1"/>
  <c r="BU50" i="6"/>
  <c r="CA49" i="6"/>
  <c r="DJ53" i="14"/>
  <c r="CI46" i="14"/>
  <c r="CR46" i="14" s="1"/>
  <c r="AW53" i="6"/>
  <c r="BZ46" i="14"/>
  <c r="BF64" i="6"/>
  <c r="CA58" i="14" s="1"/>
  <c r="DK66" i="14" s="1"/>
  <c r="AP64" i="6"/>
  <c r="BT53" i="6"/>
  <c r="BQ51" i="6"/>
  <c r="BW51" i="6" s="1"/>
  <c r="BV46" i="47"/>
  <c r="CH46" i="47" s="1"/>
  <c r="CT46" i="47" s="1"/>
  <c r="CX44" i="14"/>
  <c r="DC45" i="47"/>
  <c r="CH46" i="14"/>
  <c r="CQ46" i="14" s="1"/>
  <c r="DI54" i="14"/>
  <c r="DM50" i="47"/>
  <c r="CY44" i="14"/>
  <c r="DD45" i="47"/>
  <c r="CV41" i="14"/>
  <c r="DA42" i="47"/>
  <c r="DP53" i="47"/>
  <c r="DO53" i="47"/>
  <c r="DN53" i="47"/>
  <c r="BS51" i="6"/>
  <c r="BY51" i="6" s="1"/>
  <c r="BX46" i="47"/>
  <c r="CJ46" i="47" s="1"/>
  <c r="CV46" i="47" s="1"/>
  <c r="CW44" i="14"/>
  <c r="DB45" i="47"/>
  <c r="H48" i="6"/>
  <c r="BU43" i="47"/>
  <c r="CG43" i="47" s="1"/>
  <c r="CS43" i="47" s="1"/>
  <c r="DB46" i="14"/>
  <c r="DF47" i="47"/>
  <c r="BY47" i="14"/>
  <c r="BY48" i="47"/>
  <c r="CK48" i="47" s="1"/>
  <c r="CW48" i="47" s="1"/>
  <c r="AQ53" i="6"/>
  <c r="AR53" i="6"/>
  <c r="AO53" i="6"/>
  <c r="AN54" i="6" s="1"/>
  <c r="AT53" i="6"/>
  <c r="AU53" i="6"/>
  <c r="AS53" i="6"/>
  <c r="CZ46" i="14"/>
  <c r="DE47" i="47"/>
  <c r="Z51" i="6"/>
  <c r="BW46" i="47"/>
  <c r="CI46" i="47" s="1"/>
  <c r="CU46" i="47" s="1"/>
  <c r="DR66" i="47"/>
  <c r="CL59" i="47"/>
  <c r="CX59" i="47" s="1"/>
  <c r="DQ55" i="47"/>
  <c r="BZ50" i="6"/>
  <c r="BR51" i="6"/>
  <c r="BX50" i="6"/>
  <c r="BP48" i="6"/>
  <c r="CJ58" i="14"/>
  <c r="CS58" i="14" s="1"/>
  <c r="BJ53" i="6"/>
  <c r="BK53" i="6"/>
  <c r="BL53" i="6"/>
  <c r="BG53" i="6"/>
  <c r="BM53" i="6"/>
  <c r="BI53" i="6"/>
  <c r="CM41" i="14"/>
  <c r="J48" i="6"/>
  <c r="G48" i="6"/>
  <c r="F48" i="6"/>
  <c r="E49" i="6" s="1"/>
  <c r="K48" i="6"/>
  <c r="I48" i="6"/>
  <c r="BU42" i="14"/>
  <c r="CD42" i="14" s="1"/>
  <c r="DE49" i="14"/>
  <c r="P51" i="6"/>
  <c r="Q51" i="6"/>
  <c r="AH51" i="6"/>
  <c r="AI51" i="6"/>
  <c r="CE44" i="14"/>
  <c r="CN44" i="14" s="1"/>
  <c r="DF52" i="14"/>
  <c r="Y51" i="6"/>
  <c r="CG44" i="14"/>
  <c r="CP44" i="14" s="1"/>
  <c r="CF44" i="14"/>
  <c r="CO44" i="14" s="1"/>
  <c r="AC51" i="6"/>
  <c r="AL51" i="6"/>
  <c r="T51" i="6"/>
  <c r="A91" i="6"/>
  <c r="BT58" i="14"/>
  <c r="DD66" i="14" s="1"/>
  <c r="CU57" i="14"/>
  <c r="N51" i="6"/>
  <c r="M52" i="6" s="1"/>
  <c r="BV45" i="14"/>
  <c r="DF53" i="14" s="1"/>
  <c r="S51" i="6"/>
  <c r="R51" i="6"/>
  <c r="BX45" i="14"/>
  <c r="AK51" i="6"/>
  <c r="AJ51" i="6"/>
  <c r="AF51" i="6"/>
  <c r="AE52" i="6" s="1"/>
  <c r="C65" i="6"/>
  <c r="AG64" i="6"/>
  <c r="BW45" i="14"/>
  <c r="DG53" i="14" s="1"/>
  <c r="AB51" i="6"/>
  <c r="W51" i="6"/>
  <c r="V52" i="6" s="1"/>
  <c r="AA51" i="6"/>
  <c r="DJ54" i="14" l="1"/>
  <c r="CI47" i="14"/>
  <c r="CR47" i="14" s="1"/>
  <c r="BZ59" i="47"/>
  <c r="DR67" i="47" s="1"/>
  <c r="AW54" i="6"/>
  <c r="BZ47" i="14"/>
  <c r="BU51" i="6"/>
  <c r="CA50" i="6"/>
  <c r="BF65" i="6"/>
  <c r="CA59" i="14" s="1"/>
  <c r="DK67" i="14" s="1"/>
  <c r="AP65" i="6"/>
  <c r="Z52" i="6"/>
  <c r="BW47" i="47"/>
  <c r="CI47" i="47" s="1"/>
  <c r="CU47" i="47" s="1"/>
  <c r="CV42" i="14"/>
  <c r="DA43" i="47"/>
  <c r="CZ47" i="14"/>
  <c r="DE48" i="47"/>
  <c r="BQ52" i="6"/>
  <c r="BW52" i="6" s="1"/>
  <c r="BV47" i="47"/>
  <c r="CH47" i="47" s="1"/>
  <c r="CT47" i="47" s="1"/>
  <c r="CW45" i="14"/>
  <c r="DB46" i="47"/>
  <c r="BU43" i="14"/>
  <c r="DE51" i="14" s="1"/>
  <c r="BU44" i="47"/>
  <c r="CG44" i="47" s="1"/>
  <c r="CS44" i="47" s="1"/>
  <c r="DQ56" i="47"/>
  <c r="DM51" i="47"/>
  <c r="DP54" i="47"/>
  <c r="BS52" i="6"/>
  <c r="BY52" i="6" s="1"/>
  <c r="BX47" i="47"/>
  <c r="CJ47" i="47" s="1"/>
  <c r="CV47" i="47" s="1"/>
  <c r="CY45" i="14"/>
  <c r="DD46" i="47"/>
  <c r="DB47" i="14"/>
  <c r="DF48" i="47"/>
  <c r="BY48" i="14"/>
  <c r="BY49" i="47"/>
  <c r="CK49" i="47" s="1"/>
  <c r="CW49" i="47" s="1"/>
  <c r="AT54" i="6"/>
  <c r="AO54" i="6"/>
  <c r="AN55" i="6" s="1"/>
  <c r="AQ54" i="6"/>
  <c r="AR54" i="6"/>
  <c r="AS54" i="6"/>
  <c r="AU54" i="6"/>
  <c r="CH47" i="14"/>
  <c r="CQ47" i="14" s="1"/>
  <c r="DI55" i="14"/>
  <c r="DN54" i="47"/>
  <c r="CX45" i="14"/>
  <c r="DC46" i="47"/>
  <c r="DO54" i="47"/>
  <c r="BT54" i="6"/>
  <c r="BZ51" i="6"/>
  <c r="BX51" i="6"/>
  <c r="BR52" i="6"/>
  <c r="BV48" i="6"/>
  <c r="BP49" i="6"/>
  <c r="CJ59" i="14"/>
  <c r="CS59" i="14" s="1"/>
  <c r="BI54" i="6"/>
  <c r="BK54" i="6"/>
  <c r="BL54" i="6"/>
  <c r="BG54" i="6"/>
  <c r="BJ54" i="6"/>
  <c r="BM54" i="6"/>
  <c r="DE50" i="14"/>
  <c r="CD43" i="14"/>
  <c r="CM43" i="14" s="1"/>
  <c r="CM42" i="14"/>
  <c r="I49" i="6"/>
  <c r="F49" i="6"/>
  <c r="E50" i="6" s="1"/>
  <c r="BU45" i="47" s="1"/>
  <c r="J49" i="6"/>
  <c r="K49" i="6"/>
  <c r="G49" i="6"/>
  <c r="H49" i="6"/>
  <c r="P52" i="6"/>
  <c r="Q52" i="6"/>
  <c r="AH52" i="6"/>
  <c r="AI52" i="6"/>
  <c r="CG45" i="14"/>
  <c r="CP45" i="14" s="1"/>
  <c r="DH53" i="14"/>
  <c r="Y52" i="6"/>
  <c r="CE45" i="14"/>
  <c r="CN45" i="14" s="1"/>
  <c r="CF45" i="14"/>
  <c r="CO45" i="14" s="1"/>
  <c r="AC52" i="6"/>
  <c r="T52" i="6"/>
  <c r="AL52" i="6"/>
  <c r="A92" i="6"/>
  <c r="BT59" i="14"/>
  <c r="CU58" i="14"/>
  <c r="AJ52" i="6"/>
  <c r="AF52" i="6"/>
  <c r="AE53" i="6" s="1"/>
  <c r="AK52" i="6"/>
  <c r="BX46" i="14"/>
  <c r="DH54" i="14" s="1"/>
  <c r="C66" i="6"/>
  <c r="AG65" i="6"/>
  <c r="S52" i="6"/>
  <c r="BV46" i="14"/>
  <c r="R52" i="6"/>
  <c r="N52" i="6"/>
  <c r="M53" i="6" s="1"/>
  <c r="BW46" i="14"/>
  <c r="W52" i="6"/>
  <c r="V53" i="6" s="1"/>
  <c r="AA52" i="6"/>
  <c r="AB52" i="6"/>
  <c r="CL60" i="47" l="1"/>
  <c r="CX60" i="47" s="1"/>
  <c r="AW55" i="6"/>
  <c r="BZ48" i="14"/>
  <c r="BZ60" i="47"/>
  <c r="DR68" i="47" s="1"/>
  <c r="BU52" i="6"/>
  <c r="CA51" i="6"/>
  <c r="DJ55" i="14"/>
  <c r="CI48" i="14"/>
  <c r="CR48" i="14" s="1"/>
  <c r="BF66" i="6"/>
  <c r="CA60" i="14" s="1"/>
  <c r="DK68" i="14" s="1"/>
  <c r="AP66" i="6"/>
  <c r="CX46" i="14"/>
  <c r="DC47" i="47"/>
  <c r="CV43" i="14"/>
  <c r="DA44" i="47"/>
  <c r="DB48" i="14"/>
  <c r="DF49" i="47"/>
  <c r="DN55" i="47"/>
  <c r="BS53" i="6"/>
  <c r="BY53" i="6" s="1"/>
  <c r="BX48" i="47"/>
  <c r="CJ48" i="47" s="1"/>
  <c r="CV48" i="47" s="1"/>
  <c r="BY49" i="14"/>
  <c r="BY50" i="47"/>
  <c r="AS55" i="6"/>
  <c r="AU55" i="6"/>
  <c r="AO55" i="6"/>
  <c r="AN56" i="6" s="1"/>
  <c r="AR55" i="6"/>
  <c r="AT55" i="6"/>
  <c r="AQ55" i="6"/>
  <c r="CG45" i="47"/>
  <c r="CS45" i="47" s="1"/>
  <c r="DM52" i="47"/>
  <c r="BQ53" i="6"/>
  <c r="BW53" i="6" s="1"/>
  <c r="BV48" i="47"/>
  <c r="CH48" i="47" s="1"/>
  <c r="CT48" i="47" s="1"/>
  <c r="CY46" i="14"/>
  <c r="DD47" i="47"/>
  <c r="DM53" i="47"/>
  <c r="CK50" i="47"/>
  <c r="CW50" i="47" s="1"/>
  <c r="DQ57" i="47"/>
  <c r="DO55" i="47"/>
  <c r="CZ48" i="14"/>
  <c r="DE49" i="47"/>
  <c r="DP55" i="47"/>
  <c r="Z53" i="6"/>
  <c r="BW48" i="47"/>
  <c r="CI48" i="47" s="1"/>
  <c r="CU48" i="47" s="1"/>
  <c r="CW46" i="14"/>
  <c r="DB47" i="47"/>
  <c r="BT55" i="6"/>
  <c r="CH48" i="14"/>
  <c r="CQ48" i="14" s="1"/>
  <c r="DI56" i="14"/>
  <c r="BZ52" i="6"/>
  <c r="BX52" i="6"/>
  <c r="BR53" i="6"/>
  <c r="BP50" i="6"/>
  <c r="BV49" i="6"/>
  <c r="CJ60" i="14"/>
  <c r="CS60" i="14" s="1"/>
  <c r="BL55" i="6"/>
  <c r="BG55" i="6"/>
  <c r="BI55" i="6"/>
  <c r="BJ55" i="6"/>
  <c r="BK55" i="6"/>
  <c r="BM55" i="6"/>
  <c r="H50" i="6"/>
  <c r="BU44" i="14"/>
  <c r="I50" i="6"/>
  <c r="F50" i="6"/>
  <c r="E51" i="6" s="1"/>
  <c r="BU46" i="47" s="1"/>
  <c r="CG46" i="47" s="1"/>
  <c r="CS46" i="47" s="1"/>
  <c r="K50" i="6"/>
  <c r="J50" i="6"/>
  <c r="G50" i="6"/>
  <c r="P53" i="6"/>
  <c r="Q53" i="6"/>
  <c r="AH53" i="6"/>
  <c r="AI53" i="6"/>
  <c r="BT60" i="14"/>
  <c r="DD67" i="14"/>
  <c r="CE46" i="14"/>
  <c r="CN46" i="14" s="1"/>
  <c r="DF54" i="14"/>
  <c r="CF46" i="14"/>
  <c r="CO46" i="14" s="1"/>
  <c r="DG54" i="14"/>
  <c r="CG46" i="14"/>
  <c r="CP46" i="14" s="1"/>
  <c r="Y53" i="6"/>
  <c r="AC53" i="6"/>
  <c r="T53" i="6"/>
  <c r="AL53" i="6"/>
  <c r="A93" i="6"/>
  <c r="CU59" i="14"/>
  <c r="S53" i="6"/>
  <c r="N53" i="6"/>
  <c r="M54" i="6" s="1"/>
  <c r="BV47" i="14"/>
  <c r="DF55" i="14" s="1"/>
  <c r="R53" i="6"/>
  <c r="C67" i="6"/>
  <c r="AG66" i="6"/>
  <c r="AK53" i="6"/>
  <c r="AJ53" i="6"/>
  <c r="AF53" i="6"/>
  <c r="AE54" i="6" s="1"/>
  <c r="BX47" i="14"/>
  <c r="DH55" i="14" s="1"/>
  <c r="BW47" i="14"/>
  <c r="DG55" i="14" s="1"/>
  <c r="W53" i="6"/>
  <c r="V54" i="6" s="1"/>
  <c r="AB53" i="6"/>
  <c r="AA53" i="6"/>
  <c r="CL61" i="47" l="1"/>
  <c r="CX61" i="47" s="1"/>
  <c r="BZ61" i="47"/>
  <c r="CL62" i="47" s="1"/>
  <c r="CX62" i="47" s="1"/>
  <c r="BU53" i="6"/>
  <c r="CA52" i="6"/>
  <c r="DJ56" i="14"/>
  <c r="CI49" i="14"/>
  <c r="CR49" i="14" s="1"/>
  <c r="AW56" i="6"/>
  <c r="BZ49" i="14"/>
  <c r="BT56" i="6"/>
  <c r="BF67" i="6"/>
  <c r="BZ62" i="47" s="1"/>
  <c r="AP67" i="6"/>
  <c r="Z54" i="6"/>
  <c r="BW49" i="47"/>
  <c r="CI49" i="47" s="1"/>
  <c r="CU49" i="47" s="1"/>
  <c r="CX47" i="14"/>
  <c r="DC48" i="47"/>
  <c r="DM54" i="47"/>
  <c r="DB49" i="14"/>
  <c r="DF50" i="47"/>
  <c r="DO56" i="47"/>
  <c r="DR69" i="47"/>
  <c r="DQ58" i="47"/>
  <c r="BY50" i="14"/>
  <c r="BY51" i="47"/>
  <c r="CK51" i="47" s="1"/>
  <c r="CW51" i="47" s="1"/>
  <c r="AS56" i="6"/>
  <c r="AQ56" i="6"/>
  <c r="AO56" i="6"/>
  <c r="AN57" i="6" s="1"/>
  <c r="AR56" i="6"/>
  <c r="AT56" i="6"/>
  <c r="AU56" i="6"/>
  <c r="CH49" i="14"/>
  <c r="CQ49" i="14" s="1"/>
  <c r="DI57" i="14"/>
  <c r="BQ54" i="6"/>
  <c r="BW54" i="6" s="1"/>
  <c r="BV49" i="47"/>
  <c r="CH49" i="47" s="1"/>
  <c r="CT49" i="47" s="1"/>
  <c r="CY47" i="14"/>
  <c r="DD48" i="47"/>
  <c r="DN56" i="47"/>
  <c r="CZ49" i="14"/>
  <c r="DE50" i="47"/>
  <c r="DP56" i="47"/>
  <c r="BS54" i="6"/>
  <c r="BY54" i="6" s="1"/>
  <c r="BX49" i="47"/>
  <c r="CJ49" i="47" s="1"/>
  <c r="CV49" i="47" s="1"/>
  <c r="CA61" i="14"/>
  <c r="DK69" i="14" s="1"/>
  <c r="CW47" i="14"/>
  <c r="DB48" i="47"/>
  <c r="CV44" i="14"/>
  <c r="DA45" i="47"/>
  <c r="BZ53" i="6"/>
  <c r="BR54" i="6"/>
  <c r="BX53" i="6"/>
  <c r="BP51" i="6"/>
  <c r="BV50" i="6"/>
  <c r="CJ61" i="14"/>
  <c r="CS61" i="14" s="1"/>
  <c r="BL56" i="6"/>
  <c r="BG56" i="6"/>
  <c r="BI56" i="6"/>
  <c r="BM56" i="6"/>
  <c r="BK56" i="6"/>
  <c r="BJ56" i="6"/>
  <c r="CD44" i="14"/>
  <c r="CM44" i="14" s="1"/>
  <c r="DE52" i="14"/>
  <c r="G51" i="6"/>
  <c r="I51" i="6"/>
  <c r="BU45" i="14"/>
  <c r="CD45" i="14" s="1"/>
  <c r="F51" i="6"/>
  <c r="E52" i="6" s="1"/>
  <c r="BU47" i="47" s="1"/>
  <c r="CG47" i="47" s="1"/>
  <c r="CS47" i="47" s="1"/>
  <c r="K51" i="6"/>
  <c r="J51" i="6"/>
  <c r="H51" i="6"/>
  <c r="P54" i="6"/>
  <c r="Q54" i="6"/>
  <c r="AH54" i="6"/>
  <c r="AI54" i="6"/>
  <c r="CU60" i="14"/>
  <c r="DD68" i="14"/>
  <c r="BT61" i="14"/>
  <c r="CG47" i="14"/>
  <c r="CP47" i="14" s="1"/>
  <c r="CE47" i="14"/>
  <c r="CN47" i="14" s="1"/>
  <c r="Y54" i="6"/>
  <c r="CF47" i="14"/>
  <c r="CO47" i="14" s="1"/>
  <c r="AC54" i="6"/>
  <c r="T54" i="6"/>
  <c r="AL54" i="6"/>
  <c r="A94" i="6"/>
  <c r="AJ54" i="6"/>
  <c r="BX48" i="14"/>
  <c r="DH56" i="14" s="1"/>
  <c r="AK54" i="6"/>
  <c r="AF54" i="6"/>
  <c r="AE55" i="6" s="1"/>
  <c r="N54" i="6"/>
  <c r="M55" i="6" s="1"/>
  <c r="R54" i="6"/>
  <c r="BV48" i="14"/>
  <c r="DF56" i="14" s="1"/>
  <c r="S54" i="6"/>
  <c r="C68" i="6"/>
  <c r="AG67" i="6"/>
  <c r="BW48" i="14"/>
  <c r="DG56" i="14" s="1"/>
  <c r="AB54" i="6"/>
  <c r="W54" i="6"/>
  <c r="V55" i="6" s="1"/>
  <c r="AA54" i="6"/>
  <c r="DJ57" i="14" l="1"/>
  <c r="CI50" i="14"/>
  <c r="CR50" i="14" s="1"/>
  <c r="AW57" i="6"/>
  <c r="BZ50" i="14"/>
  <c r="BU54" i="6"/>
  <c r="CA53" i="6"/>
  <c r="BF68" i="6"/>
  <c r="BZ63" i="47" s="1"/>
  <c r="AP68" i="6"/>
  <c r="CW48" i="14"/>
  <c r="DB49" i="47"/>
  <c r="DM55" i="47"/>
  <c r="DB50" i="14"/>
  <c r="DF51" i="47"/>
  <c r="BY51" i="14"/>
  <c r="BY52" i="47"/>
  <c r="CK52" i="47" s="1"/>
  <c r="CW52" i="47" s="1"/>
  <c r="AT57" i="6"/>
  <c r="AQ57" i="6"/>
  <c r="AS57" i="6"/>
  <c r="AU57" i="6"/>
  <c r="AO57" i="6"/>
  <c r="AN58" i="6" s="1"/>
  <c r="AR57" i="6"/>
  <c r="CH50" i="14"/>
  <c r="CQ50" i="14" s="1"/>
  <c r="DI58" i="14"/>
  <c r="BQ55" i="6"/>
  <c r="BW55" i="6" s="1"/>
  <c r="BV50" i="47"/>
  <c r="CH50" i="47" s="1"/>
  <c r="CT50" i="47" s="1"/>
  <c r="CX48" i="14"/>
  <c r="DC49" i="47"/>
  <c r="DR70" i="47"/>
  <c r="CL63" i="47"/>
  <c r="CX63" i="47" s="1"/>
  <c r="DN57" i="47"/>
  <c r="CZ50" i="14"/>
  <c r="DE51" i="47"/>
  <c r="BT57" i="6"/>
  <c r="Z55" i="6"/>
  <c r="BW50" i="47"/>
  <c r="CI50" i="47"/>
  <c r="CU50" i="47" s="1"/>
  <c r="DO57" i="47"/>
  <c r="BS55" i="6"/>
  <c r="BY55" i="6" s="1"/>
  <c r="BX50" i="47"/>
  <c r="CJ50" i="47" s="1"/>
  <c r="CV50" i="47" s="1"/>
  <c r="CY48" i="14"/>
  <c r="DD49" i="47"/>
  <c r="CV45" i="14"/>
  <c r="DA46" i="47"/>
  <c r="DP57" i="47"/>
  <c r="DQ59" i="47"/>
  <c r="BZ54" i="6"/>
  <c r="BR55" i="6"/>
  <c r="BX54" i="6"/>
  <c r="BV51" i="6"/>
  <c r="BP52" i="6"/>
  <c r="CJ62" i="14"/>
  <c r="CS62" i="14" s="1"/>
  <c r="BM57" i="6"/>
  <c r="BJ57" i="6"/>
  <c r="BL57" i="6"/>
  <c r="BK57" i="6"/>
  <c r="BI57" i="6"/>
  <c r="BG57" i="6"/>
  <c r="CM45" i="14"/>
  <c r="K52" i="6"/>
  <c r="F52" i="6"/>
  <c r="E53" i="6" s="1"/>
  <c r="BU48" i="47" s="1"/>
  <c r="CG48" i="47" s="1"/>
  <c r="CS48" i="47" s="1"/>
  <c r="BU46" i="14"/>
  <c r="CD46" i="14" s="1"/>
  <c r="I52" i="6"/>
  <c r="H52" i="6"/>
  <c r="G52" i="6"/>
  <c r="J52" i="6"/>
  <c r="DE53" i="14"/>
  <c r="P55" i="6"/>
  <c r="Q55" i="6"/>
  <c r="AH55" i="6"/>
  <c r="AI55" i="6"/>
  <c r="BT62" i="14"/>
  <c r="DD69" i="14"/>
  <c r="CU61" i="14"/>
  <c r="CG48" i="14"/>
  <c r="CP48" i="14" s="1"/>
  <c r="CE48" i="14"/>
  <c r="CN48" i="14" s="1"/>
  <c r="Y55" i="6"/>
  <c r="CF48" i="14"/>
  <c r="CO48" i="14" s="1"/>
  <c r="AC55" i="6"/>
  <c r="T55" i="6"/>
  <c r="AL55" i="6"/>
  <c r="A95" i="6"/>
  <c r="S55" i="6"/>
  <c r="BV49" i="14"/>
  <c r="N55" i="6"/>
  <c r="M56" i="6" s="1"/>
  <c r="R55" i="6"/>
  <c r="C69" i="6"/>
  <c r="AG68" i="6"/>
  <c r="AJ55" i="6"/>
  <c r="AK55" i="6"/>
  <c r="BX49" i="14"/>
  <c r="DH57" i="14" s="1"/>
  <c r="AF55" i="6"/>
  <c r="AE56" i="6" s="1"/>
  <c r="BW49" i="14"/>
  <c r="DG57" i="14" s="1"/>
  <c r="AA55" i="6"/>
  <c r="AB55" i="6"/>
  <c r="W55" i="6"/>
  <c r="V56" i="6" s="1"/>
  <c r="DJ58" i="14" l="1"/>
  <c r="CI51" i="14"/>
  <c r="CR51" i="14" s="1"/>
  <c r="AW58" i="6"/>
  <c r="BZ51" i="14"/>
  <c r="BU55" i="6"/>
  <c r="CA54" i="6"/>
  <c r="CA62" i="14"/>
  <c r="DK70" i="14" s="1"/>
  <c r="BF69" i="6"/>
  <c r="CA63" i="14" s="1"/>
  <c r="DK71" i="14" s="1"/>
  <c r="AP69" i="6"/>
  <c r="BT58" i="6"/>
  <c r="Z56" i="6"/>
  <c r="BW51" i="47"/>
  <c r="BS56" i="6"/>
  <c r="BY56" i="6" s="1"/>
  <c r="BX51" i="47"/>
  <c r="CJ51" i="47" s="1"/>
  <c r="CV51" i="47" s="1"/>
  <c r="CW49" i="14"/>
  <c r="DB50" i="47"/>
  <c r="CV46" i="14"/>
  <c r="DA47" i="47"/>
  <c r="CZ51" i="14"/>
  <c r="DE52" i="47"/>
  <c r="DQ60" i="47"/>
  <c r="CX49" i="14"/>
  <c r="DC50" i="47"/>
  <c r="DP58" i="47"/>
  <c r="CH51" i="14"/>
  <c r="CQ51" i="14" s="1"/>
  <c r="DI59" i="14"/>
  <c r="DN58" i="47"/>
  <c r="BQ56" i="6"/>
  <c r="BW56" i="6" s="1"/>
  <c r="BV51" i="47"/>
  <c r="CH51" i="47" s="1"/>
  <c r="CT51" i="47" s="1"/>
  <c r="CY49" i="14"/>
  <c r="DD50" i="47"/>
  <c r="DM56" i="47"/>
  <c r="DB51" i="14"/>
  <c r="DF52" i="47"/>
  <c r="DR71" i="47"/>
  <c r="CL64" i="47"/>
  <c r="CX64" i="47" s="1"/>
  <c r="CI51" i="47"/>
  <c r="CU51" i="47" s="1"/>
  <c r="DO58" i="47"/>
  <c r="BY52" i="14"/>
  <c r="BY53" i="47"/>
  <c r="CK53" i="47" s="1"/>
  <c r="CW53" i="47" s="1"/>
  <c r="AR58" i="6"/>
  <c r="AT58" i="6"/>
  <c r="AQ58" i="6"/>
  <c r="AS58" i="6"/>
  <c r="AU58" i="6"/>
  <c r="AO58" i="6"/>
  <c r="AN59" i="6" s="1"/>
  <c r="BZ55" i="6"/>
  <c r="BX55" i="6"/>
  <c r="BR56" i="6"/>
  <c r="BV52" i="6"/>
  <c r="BP53" i="6"/>
  <c r="BM58" i="6"/>
  <c r="BL58" i="6"/>
  <c r="BI58" i="6"/>
  <c r="BG58" i="6"/>
  <c r="BJ58" i="6"/>
  <c r="BK58" i="6"/>
  <c r="CM46" i="14"/>
  <c r="I53" i="6"/>
  <c r="J53" i="6"/>
  <c r="G53" i="6"/>
  <c r="BU47" i="14"/>
  <c r="CD47" i="14" s="1"/>
  <c r="K53" i="6"/>
  <c r="H53" i="6"/>
  <c r="F53" i="6"/>
  <c r="E54" i="6" s="1"/>
  <c r="BU49" i="47" s="1"/>
  <c r="CG49" i="47" s="1"/>
  <c r="CS49" i="47" s="1"/>
  <c r="DE54" i="14"/>
  <c r="P56" i="6"/>
  <c r="Q56" i="6"/>
  <c r="AH56" i="6"/>
  <c r="AI56" i="6"/>
  <c r="CU62" i="14"/>
  <c r="BT63" i="14"/>
  <c r="DD70" i="14"/>
  <c r="CE49" i="14"/>
  <c r="CN49" i="14" s="1"/>
  <c r="DF57" i="14"/>
  <c r="CG49" i="14"/>
  <c r="CP49" i="14" s="1"/>
  <c r="Y56" i="6"/>
  <c r="CF49" i="14"/>
  <c r="CO49" i="14" s="1"/>
  <c r="AC56" i="6"/>
  <c r="AL56" i="6"/>
  <c r="T56" i="6"/>
  <c r="A96" i="6"/>
  <c r="BV50" i="14"/>
  <c r="DF58" i="14" s="1"/>
  <c r="R56" i="6"/>
  <c r="S56" i="6"/>
  <c r="N56" i="6"/>
  <c r="M57" i="6" s="1"/>
  <c r="AJ56" i="6"/>
  <c r="AF56" i="6"/>
  <c r="AE57" i="6" s="1"/>
  <c r="BX50" i="14"/>
  <c r="DH58" i="14" s="1"/>
  <c r="AK56" i="6"/>
  <c r="C70" i="6"/>
  <c r="AG69" i="6"/>
  <c r="BW50" i="14"/>
  <c r="DG58" i="14" s="1"/>
  <c r="AA56" i="6"/>
  <c r="AB56" i="6"/>
  <c r="W56" i="6"/>
  <c r="V57" i="6" s="1"/>
  <c r="CI52" i="14" l="1"/>
  <c r="CR52" i="14" s="1"/>
  <c r="DJ59" i="14"/>
  <c r="AW59" i="6"/>
  <c r="BZ52" i="14"/>
  <c r="BU56" i="6"/>
  <c r="CA55" i="6"/>
  <c r="BZ64" i="47"/>
  <c r="DR72" i="47" s="1"/>
  <c r="CJ63" i="14"/>
  <c r="CS63" i="14" s="1"/>
  <c r="BF70" i="6"/>
  <c r="CA64" i="14" s="1"/>
  <c r="DK72" i="14" s="1"/>
  <c r="AP70" i="6"/>
  <c r="CX50" i="14"/>
  <c r="DC51" i="47"/>
  <c r="CV47" i="14"/>
  <c r="DA48" i="47"/>
  <c r="CH52" i="14"/>
  <c r="CQ52" i="14" s="1"/>
  <c r="DI60" i="14"/>
  <c r="DP59" i="47"/>
  <c r="BQ57" i="6"/>
  <c r="BW57" i="6" s="1"/>
  <c r="BV52" i="47"/>
  <c r="CH52" i="47" s="1"/>
  <c r="CT52" i="47" s="1"/>
  <c r="BY53" i="14"/>
  <c r="BY54" i="47"/>
  <c r="AT59" i="6"/>
  <c r="AQ59" i="6"/>
  <c r="AS59" i="6"/>
  <c r="AU59" i="6"/>
  <c r="AO59" i="6"/>
  <c r="AN60" i="6" s="1"/>
  <c r="AR59" i="6"/>
  <c r="BT59" i="6"/>
  <c r="CW50" i="14"/>
  <c r="DB51" i="47"/>
  <c r="DM57" i="47"/>
  <c r="CZ52" i="14"/>
  <c r="DE53" i="47"/>
  <c r="DO59" i="47"/>
  <c r="CI52" i="47"/>
  <c r="CU52" i="47" s="1"/>
  <c r="Z57" i="6"/>
  <c r="BW52" i="47"/>
  <c r="BS57" i="6"/>
  <c r="BY57" i="6" s="1"/>
  <c r="BX52" i="47"/>
  <c r="CJ52" i="47" s="1"/>
  <c r="CV52" i="47" s="1"/>
  <c r="CY50" i="14"/>
  <c r="DD51" i="47"/>
  <c r="DB52" i="14"/>
  <c r="DF53" i="47"/>
  <c r="DQ61" i="47"/>
  <c r="CK54" i="47"/>
  <c r="CW54" i="47" s="1"/>
  <c r="DN59" i="47"/>
  <c r="BZ56" i="6"/>
  <c r="BX56" i="6"/>
  <c r="BR57" i="6"/>
  <c r="BP54" i="6"/>
  <c r="BV53" i="6"/>
  <c r="CJ64" i="14"/>
  <c r="CS64" i="14" s="1"/>
  <c r="BM59" i="6"/>
  <c r="BI59" i="6"/>
  <c r="BJ59" i="6"/>
  <c r="BL59" i="6"/>
  <c r="BG59" i="6"/>
  <c r="BK59" i="6"/>
  <c r="CM47" i="14"/>
  <c r="G54" i="6"/>
  <c r="H54" i="6"/>
  <c r="F54" i="6"/>
  <c r="E55" i="6" s="1"/>
  <c r="BU50" i="47" s="1"/>
  <c r="CG50" i="47" s="1"/>
  <c r="CS50" i="47" s="1"/>
  <c r="J54" i="6"/>
  <c r="K54" i="6"/>
  <c r="BU48" i="14"/>
  <c r="CD48" i="14" s="1"/>
  <c r="I54" i="6"/>
  <c r="DE55" i="14"/>
  <c r="P57" i="6"/>
  <c r="Q57" i="6"/>
  <c r="AH57" i="6"/>
  <c r="AI57" i="6"/>
  <c r="BT64" i="14"/>
  <c r="CU63" i="14"/>
  <c r="DD71" i="14"/>
  <c r="CG50" i="14"/>
  <c r="CP50" i="14" s="1"/>
  <c r="CE50" i="14"/>
  <c r="CN50" i="14" s="1"/>
  <c r="Y57" i="6"/>
  <c r="CF50" i="14"/>
  <c r="CO50" i="14" s="1"/>
  <c r="AC57" i="6"/>
  <c r="AL57" i="6"/>
  <c r="T57" i="6"/>
  <c r="N57" i="6"/>
  <c r="M58" i="6" s="1"/>
  <c r="BV51" i="14"/>
  <c r="DF59" i="14" s="1"/>
  <c r="S57" i="6"/>
  <c r="R57" i="6"/>
  <c r="AF57" i="6"/>
  <c r="AE58" i="6" s="1"/>
  <c r="AJ57" i="6"/>
  <c r="AK57" i="6"/>
  <c r="BX51" i="14"/>
  <c r="DH59" i="14" s="1"/>
  <c r="C71" i="6"/>
  <c r="AG70" i="6"/>
  <c r="BW51" i="14"/>
  <c r="DG59" i="14" s="1"/>
  <c r="W57" i="6"/>
  <c r="V58" i="6" s="1"/>
  <c r="AB57" i="6"/>
  <c r="AA57" i="6"/>
  <c r="CL65" i="47" l="1"/>
  <c r="CX65" i="47" s="1"/>
  <c r="AW60" i="6"/>
  <c r="BZ53" i="14"/>
  <c r="CI53" i="14"/>
  <c r="CR53" i="14" s="1"/>
  <c r="DJ60" i="14"/>
  <c r="BU57" i="6"/>
  <c r="CA56" i="6"/>
  <c r="BZ65" i="47"/>
  <c r="CL66" i="47" s="1"/>
  <c r="CX66" i="47" s="1"/>
  <c r="BF71" i="6"/>
  <c r="CA65" i="14" s="1"/>
  <c r="CJ65" i="14" s="1"/>
  <c r="CS65" i="14" s="1"/>
  <c r="AP71" i="6"/>
  <c r="BS58" i="6"/>
  <c r="BY58" i="6" s="1"/>
  <c r="BX53" i="47"/>
  <c r="CJ53" i="47" s="1"/>
  <c r="CV53" i="47" s="1"/>
  <c r="CY51" i="14"/>
  <c r="DD52" i="47"/>
  <c r="CV48" i="14"/>
  <c r="DA49" i="47"/>
  <c r="DN60" i="47"/>
  <c r="CX51" i="14"/>
  <c r="DC52" i="47"/>
  <c r="DP60" i="47"/>
  <c r="BY54" i="14"/>
  <c r="BY55" i="47"/>
  <c r="CK55" i="47" s="1"/>
  <c r="CW55" i="47" s="1"/>
  <c r="AO60" i="6"/>
  <c r="AN61" i="6" s="1"/>
  <c r="AR60" i="6"/>
  <c r="AT60" i="6"/>
  <c r="AU60" i="6"/>
  <c r="AS60" i="6"/>
  <c r="AQ60" i="6"/>
  <c r="BQ58" i="6"/>
  <c r="BW58" i="6" s="1"/>
  <c r="BV53" i="47"/>
  <c r="CH53" i="47" s="1"/>
  <c r="CT53" i="47" s="1"/>
  <c r="DM58" i="47"/>
  <c r="CZ53" i="14"/>
  <c r="DE54" i="47"/>
  <c r="DQ62" i="47"/>
  <c r="Z58" i="6"/>
  <c r="BW53" i="47"/>
  <c r="CW51" i="14"/>
  <c r="DB52" i="47"/>
  <c r="DB53" i="14"/>
  <c r="DF54" i="47"/>
  <c r="DO60" i="47"/>
  <c r="CI53" i="47"/>
  <c r="CU53" i="47" s="1"/>
  <c r="BT60" i="6"/>
  <c r="CH53" i="14"/>
  <c r="CQ53" i="14" s="1"/>
  <c r="DI61" i="14"/>
  <c r="BZ57" i="6"/>
  <c r="BR58" i="6"/>
  <c r="BX57" i="6"/>
  <c r="BP55" i="6"/>
  <c r="BV54" i="6"/>
  <c r="BG60" i="6"/>
  <c r="BM60" i="6"/>
  <c r="BI60" i="6"/>
  <c r="BJ60" i="6"/>
  <c r="BK60" i="6"/>
  <c r="BL60" i="6"/>
  <c r="CM48" i="14"/>
  <c r="DE56" i="14"/>
  <c r="K55" i="6"/>
  <c r="H55" i="6"/>
  <c r="G55" i="6"/>
  <c r="F55" i="6"/>
  <c r="E56" i="6" s="1"/>
  <c r="BU51" i="47" s="1"/>
  <c r="CG51" i="47" s="1"/>
  <c r="CS51" i="47" s="1"/>
  <c r="J55" i="6"/>
  <c r="BU49" i="14"/>
  <c r="CD49" i="14" s="1"/>
  <c r="I55" i="6"/>
  <c r="P58" i="6"/>
  <c r="Q58" i="6"/>
  <c r="AH58" i="6"/>
  <c r="AI58" i="6"/>
  <c r="CU64" i="14"/>
  <c r="DD72" i="14"/>
  <c r="BT65" i="14"/>
  <c r="CG51" i="14"/>
  <c r="CP51" i="14" s="1"/>
  <c r="CF51" i="14"/>
  <c r="CO51" i="14" s="1"/>
  <c r="CE51" i="14"/>
  <c r="CN51" i="14" s="1"/>
  <c r="Y58" i="6"/>
  <c r="AC58" i="6"/>
  <c r="T58" i="6"/>
  <c r="AL58" i="6"/>
  <c r="C72" i="6"/>
  <c r="AG71" i="6"/>
  <c r="AF58" i="6"/>
  <c r="AE59" i="6" s="1"/>
  <c r="AK58" i="6"/>
  <c r="BX52" i="14"/>
  <c r="DH60" i="14" s="1"/>
  <c r="AJ58" i="6"/>
  <c r="BV52" i="14"/>
  <c r="DF60" i="14" s="1"/>
  <c r="R58" i="6"/>
  <c r="N58" i="6"/>
  <c r="M59" i="6" s="1"/>
  <c r="S58" i="6"/>
  <c r="BW52" i="14"/>
  <c r="DG60" i="14" s="1"/>
  <c r="AB58" i="6"/>
  <c r="W58" i="6"/>
  <c r="V59" i="6" s="1"/>
  <c r="AA58" i="6"/>
  <c r="DR73" i="47" l="1"/>
  <c r="BZ66" i="47"/>
  <c r="CI54" i="14"/>
  <c r="CR54" i="14" s="1"/>
  <c r="DJ61" i="14"/>
  <c r="BU58" i="6"/>
  <c r="CA57" i="6"/>
  <c r="AW61" i="6"/>
  <c r="BZ54" i="14"/>
  <c r="BF72" i="6"/>
  <c r="CA66" i="14" s="1"/>
  <c r="DK74" i="14" s="1"/>
  <c r="AP72" i="6"/>
  <c r="DK73" i="14"/>
  <c r="BT61" i="6"/>
  <c r="Z59" i="6"/>
  <c r="BW54" i="47"/>
  <c r="CY52" i="14"/>
  <c r="DD53" i="47"/>
  <c r="CV49" i="14"/>
  <c r="DA50" i="47"/>
  <c r="DN61" i="47"/>
  <c r="BS59" i="6"/>
  <c r="BY59" i="6" s="1"/>
  <c r="BX54" i="47"/>
  <c r="DM59" i="47"/>
  <c r="BY55" i="14"/>
  <c r="BY56" i="47"/>
  <c r="AS61" i="6"/>
  <c r="AU61" i="6"/>
  <c r="AO61" i="6"/>
  <c r="AN62" i="6" s="1"/>
  <c r="AR61" i="6"/>
  <c r="AT61" i="6"/>
  <c r="AQ61" i="6"/>
  <c r="BQ59" i="6"/>
  <c r="BW59" i="6" s="1"/>
  <c r="BV54" i="47"/>
  <c r="CH54" i="47" s="1"/>
  <c r="CT54" i="47" s="1"/>
  <c r="CW52" i="14"/>
  <c r="DB53" i="47"/>
  <c r="CX52" i="14"/>
  <c r="DC53" i="47"/>
  <c r="DO61" i="47"/>
  <c r="CI54" i="47"/>
  <c r="CU54" i="47" s="1"/>
  <c r="CL67" i="47"/>
  <c r="CX67" i="47" s="1"/>
  <c r="DR74" i="47"/>
  <c r="CZ54" i="14"/>
  <c r="DE55" i="47"/>
  <c r="DQ63" i="47"/>
  <c r="CK56" i="47"/>
  <c r="CW56" i="47" s="1"/>
  <c r="CJ54" i="47"/>
  <c r="CV54" i="47" s="1"/>
  <c r="DP61" i="47"/>
  <c r="DB54" i="14"/>
  <c r="DF55" i="47"/>
  <c r="CH54" i="14"/>
  <c r="CQ54" i="14" s="1"/>
  <c r="DI62" i="14"/>
  <c r="BZ58" i="6"/>
  <c r="BR59" i="6"/>
  <c r="BX58" i="6"/>
  <c r="BV55" i="6"/>
  <c r="BP56" i="6"/>
  <c r="CJ66" i="14"/>
  <c r="CS66" i="14" s="1"/>
  <c r="BJ61" i="6"/>
  <c r="BL61" i="6"/>
  <c r="BK61" i="6"/>
  <c r="BI61" i="6"/>
  <c r="BM61" i="6"/>
  <c r="BG61" i="6"/>
  <c r="CM49" i="14"/>
  <c r="DE57" i="14"/>
  <c r="J56" i="6"/>
  <c r="K56" i="6"/>
  <c r="I56" i="6"/>
  <c r="BU50" i="14"/>
  <c r="CD50" i="14" s="1"/>
  <c r="F56" i="6"/>
  <c r="E57" i="6" s="1"/>
  <c r="BU52" i="47" s="1"/>
  <c r="CG52" i="47" s="1"/>
  <c r="CS52" i="47" s="1"/>
  <c r="G56" i="6"/>
  <c r="H56" i="6"/>
  <c r="P59" i="6"/>
  <c r="Q59" i="6"/>
  <c r="AH59" i="6"/>
  <c r="AI59" i="6"/>
  <c r="BT66" i="14"/>
  <c r="DD73" i="14"/>
  <c r="CU65" i="14"/>
  <c r="CG52" i="14"/>
  <c r="CP52" i="14" s="1"/>
  <c r="CE52" i="14"/>
  <c r="CN52" i="14" s="1"/>
  <c r="CF52" i="14"/>
  <c r="CO52" i="14" s="1"/>
  <c r="Y59" i="6"/>
  <c r="AC59" i="6"/>
  <c r="AL59" i="6"/>
  <c r="T59" i="6"/>
  <c r="S59" i="6"/>
  <c r="R59" i="6"/>
  <c r="N59" i="6"/>
  <c r="M60" i="6" s="1"/>
  <c r="BV53" i="14"/>
  <c r="DF61" i="14" s="1"/>
  <c r="BX53" i="14"/>
  <c r="DH61" i="14" s="1"/>
  <c r="AF59" i="6"/>
  <c r="AE60" i="6" s="1"/>
  <c r="AK59" i="6"/>
  <c r="AJ59" i="6"/>
  <c r="C73" i="6"/>
  <c r="AG72" i="6"/>
  <c r="BW53" i="14"/>
  <c r="DG61" i="14" s="1"/>
  <c r="W59" i="6"/>
  <c r="V60" i="6" s="1"/>
  <c r="AA59" i="6"/>
  <c r="AB59" i="6"/>
  <c r="BU59" i="6" l="1"/>
  <c r="CA58" i="6"/>
  <c r="CI55" i="14"/>
  <c r="CR55" i="14" s="1"/>
  <c r="DJ62" i="14"/>
  <c r="AW62" i="6"/>
  <c r="BZ55" i="14"/>
  <c r="BZ67" i="47"/>
  <c r="DR75" i="47" s="1"/>
  <c r="BT62" i="6"/>
  <c r="BF73" i="6"/>
  <c r="CA67" i="14" s="1"/>
  <c r="CJ67" i="14" s="1"/>
  <c r="CS67" i="14" s="1"/>
  <c r="AP73" i="6"/>
  <c r="Z60" i="6"/>
  <c r="BW55" i="47"/>
  <c r="CY53" i="14"/>
  <c r="DD54" i="47"/>
  <c r="CZ55" i="14"/>
  <c r="DE56" i="47"/>
  <c r="BQ60" i="6"/>
  <c r="BW60" i="6" s="1"/>
  <c r="BV55" i="47"/>
  <c r="CH55" i="47" s="1"/>
  <c r="CT55" i="47" s="1"/>
  <c r="BS60" i="6"/>
  <c r="BY60" i="6" s="1"/>
  <c r="BX55" i="47"/>
  <c r="CX53" i="14"/>
  <c r="DC54" i="47"/>
  <c r="CV50" i="14"/>
  <c r="DA51" i="47"/>
  <c r="DN62" i="47"/>
  <c r="DQ64" i="47"/>
  <c r="DP62" i="47"/>
  <c r="CJ55" i="47"/>
  <c r="CV55" i="47" s="1"/>
  <c r="CI55" i="47"/>
  <c r="CU55" i="47" s="1"/>
  <c r="DO62" i="47"/>
  <c r="CW53" i="14"/>
  <c r="DB54" i="47"/>
  <c r="DM60" i="47"/>
  <c r="DB55" i="14"/>
  <c r="DF56" i="47"/>
  <c r="BY56" i="14"/>
  <c r="BY57" i="47"/>
  <c r="CK57" i="47" s="1"/>
  <c r="CW57" i="47" s="1"/>
  <c r="AT62" i="6"/>
  <c r="AQ62" i="6"/>
  <c r="AS62" i="6"/>
  <c r="AU62" i="6"/>
  <c r="AO62" i="6"/>
  <c r="AN63" i="6" s="1"/>
  <c r="AR62" i="6"/>
  <c r="CH55" i="14"/>
  <c r="CQ55" i="14" s="1"/>
  <c r="DI63" i="14"/>
  <c r="BZ59" i="6"/>
  <c r="BX59" i="6"/>
  <c r="BR60" i="6"/>
  <c r="BV56" i="6"/>
  <c r="BP57" i="6"/>
  <c r="BL62" i="6"/>
  <c r="BJ62" i="6"/>
  <c r="BI62" i="6"/>
  <c r="BG62" i="6"/>
  <c r="BK62" i="6"/>
  <c r="BM62" i="6"/>
  <c r="CM50" i="14"/>
  <c r="K57" i="6"/>
  <c r="BU51" i="14"/>
  <c r="CD51" i="14" s="1"/>
  <c r="H57" i="6"/>
  <c r="I57" i="6"/>
  <c r="J57" i="6"/>
  <c r="G57" i="6"/>
  <c r="F57" i="6"/>
  <c r="E58" i="6" s="1"/>
  <c r="BU53" i="47" s="1"/>
  <c r="CG53" i="47" s="1"/>
  <c r="CS53" i="47" s="1"/>
  <c r="DE58" i="14"/>
  <c r="P60" i="6"/>
  <c r="Q60" i="6"/>
  <c r="AH60" i="6"/>
  <c r="AI60" i="6"/>
  <c r="BT67" i="14"/>
  <c r="DD74" i="14"/>
  <c r="CU66" i="14"/>
  <c r="CG53" i="14"/>
  <c r="CP53" i="14" s="1"/>
  <c r="CE53" i="14"/>
  <c r="CN53" i="14" s="1"/>
  <c r="CF53" i="14"/>
  <c r="CO53" i="14" s="1"/>
  <c r="Y60" i="6"/>
  <c r="AC60" i="6"/>
  <c r="T60" i="6"/>
  <c r="AL60" i="6"/>
  <c r="AF60" i="6"/>
  <c r="AE61" i="6" s="1"/>
  <c r="AK60" i="6"/>
  <c r="AJ60" i="6"/>
  <c r="BX54" i="14"/>
  <c r="DH62" i="14" s="1"/>
  <c r="BV54" i="14"/>
  <c r="DF62" i="14" s="1"/>
  <c r="N60" i="6"/>
  <c r="M61" i="6" s="1"/>
  <c r="S60" i="6"/>
  <c r="R60" i="6"/>
  <c r="C74" i="6"/>
  <c r="AG73" i="6"/>
  <c r="BW54" i="14"/>
  <c r="DG62" i="14" s="1"/>
  <c r="AA60" i="6"/>
  <c r="AB60" i="6"/>
  <c r="W60" i="6"/>
  <c r="V61" i="6" s="1"/>
  <c r="CI56" i="14" l="1"/>
  <c r="CR56" i="14" s="1"/>
  <c r="DJ63" i="14"/>
  <c r="AW63" i="6"/>
  <c r="BZ56" i="14"/>
  <c r="BU60" i="6"/>
  <c r="CA59" i="6"/>
  <c r="CL68" i="47"/>
  <c r="CX68" i="47" s="1"/>
  <c r="BZ68" i="47"/>
  <c r="CL69" i="47" s="1"/>
  <c r="CX69" i="47" s="1"/>
  <c r="BF74" i="6"/>
  <c r="CA68" i="14" s="1"/>
  <c r="DK76" i="14" s="1"/>
  <c r="AP74" i="6"/>
  <c r="DK75" i="14"/>
  <c r="CY54" i="14"/>
  <c r="DD55" i="47"/>
  <c r="BY57" i="14"/>
  <c r="BY58" i="47"/>
  <c r="CK58" i="47" s="1"/>
  <c r="CW58" i="47" s="1"/>
  <c r="AO63" i="6"/>
  <c r="AN64" i="6" s="1"/>
  <c r="AR63" i="6"/>
  <c r="AT63" i="6"/>
  <c r="AQ63" i="6"/>
  <c r="AS63" i="6"/>
  <c r="AU63" i="6"/>
  <c r="DN63" i="47"/>
  <c r="CW54" i="14"/>
  <c r="DB55" i="47"/>
  <c r="CV51" i="14"/>
  <c r="DA52" i="47"/>
  <c r="CZ56" i="14"/>
  <c r="DE57" i="47"/>
  <c r="DQ65" i="47"/>
  <c r="Z61" i="6"/>
  <c r="BW56" i="47"/>
  <c r="BQ61" i="6"/>
  <c r="BW61" i="6" s="1"/>
  <c r="BV56" i="47"/>
  <c r="CH56" i="47" s="1"/>
  <c r="CT56" i="47" s="1"/>
  <c r="CX54" i="14"/>
  <c r="DC55" i="47"/>
  <c r="CH56" i="14"/>
  <c r="CQ56" i="14" s="1"/>
  <c r="DI64" i="14"/>
  <c r="DP63" i="47"/>
  <c r="CI56" i="47"/>
  <c r="CU56" i="47" s="1"/>
  <c r="DO63" i="47"/>
  <c r="BS61" i="6"/>
  <c r="BY61" i="6" s="1"/>
  <c r="BX56" i="47"/>
  <c r="CJ56" i="47" s="1"/>
  <c r="CV56" i="47" s="1"/>
  <c r="DM61" i="47"/>
  <c r="DB56" i="14"/>
  <c r="DF57" i="47"/>
  <c r="BT63" i="6"/>
  <c r="BZ60" i="6"/>
  <c r="BX60" i="6"/>
  <c r="BR61" i="6"/>
  <c r="BP58" i="6"/>
  <c r="BV57" i="6"/>
  <c r="CJ68" i="14"/>
  <c r="CS68" i="14" s="1"/>
  <c r="BJ63" i="6"/>
  <c r="BK63" i="6"/>
  <c r="BI63" i="6"/>
  <c r="BM63" i="6"/>
  <c r="BL63" i="6"/>
  <c r="BG63" i="6"/>
  <c r="CM51" i="14"/>
  <c r="I58" i="6"/>
  <c r="G58" i="6"/>
  <c r="J58" i="6"/>
  <c r="K58" i="6"/>
  <c r="F58" i="6"/>
  <c r="E59" i="6" s="1"/>
  <c r="BU54" i="47" s="1"/>
  <c r="CG54" i="47" s="1"/>
  <c r="CS54" i="47" s="1"/>
  <c r="H58" i="6"/>
  <c r="BU52" i="14"/>
  <c r="CD52" i="14" s="1"/>
  <c r="DE59" i="14"/>
  <c r="P61" i="6"/>
  <c r="Q61" i="6"/>
  <c r="AH61" i="6"/>
  <c r="AI61" i="6"/>
  <c r="BT68" i="14"/>
  <c r="CU67" i="14"/>
  <c r="DD75" i="14"/>
  <c r="CG54" i="14"/>
  <c r="CP54" i="14" s="1"/>
  <c r="CE54" i="14"/>
  <c r="CN54" i="14" s="1"/>
  <c r="CF54" i="14"/>
  <c r="CO54" i="14" s="1"/>
  <c r="Y61" i="6"/>
  <c r="AC61" i="6"/>
  <c r="AL61" i="6"/>
  <c r="T61" i="6"/>
  <c r="BV55" i="14"/>
  <c r="DF63" i="14" s="1"/>
  <c r="S61" i="6"/>
  <c r="N61" i="6"/>
  <c r="M62" i="6" s="1"/>
  <c r="R61" i="6"/>
  <c r="C75" i="6"/>
  <c r="AG74" i="6"/>
  <c r="AK61" i="6"/>
  <c r="AJ61" i="6"/>
  <c r="AF61" i="6"/>
  <c r="AE62" i="6" s="1"/>
  <c r="BX55" i="14"/>
  <c r="DH63" i="14" s="1"/>
  <c r="BW55" i="14"/>
  <c r="DG63" i="14" s="1"/>
  <c r="AA61" i="6"/>
  <c r="W61" i="6"/>
  <c r="V62" i="6" s="1"/>
  <c r="AB61" i="6"/>
  <c r="CI57" i="14" l="1"/>
  <c r="CR57" i="14" s="1"/>
  <c r="DJ64" i="14"/>
  <c r="AW64" i="6"/>
  <c r="BZ57" i="14"/>
  <c r="DR76" i="47"/>
  <c r="BU61" i="6"/>
  <c r="CA60" i="6"/>
  <c r="BZ69" i="47"/>
  <c r="CL70" i="47" s="1"/>
  <c r="CX70" i="47" s="1"/>
  <c r="BF75" i="6"/>
  <c r="BZ70" i="47" s="1"/>
  <c r="AP75" i="6"/>
  <c r="BT64" i="6"/>
  <c r="BQ62" i="6"/>
  <c r="BW62" i="6" s="1"/>
  <c r="BV57" i="47"/>
  <c r="CH57" i="47" s="1"/>
  <c r="CT57" i="47" s="1"/>
  <c r="CY55" i="14"/>
  <c r="DD56" i="47"/>
  <c r="DM62" i="47"/>
  <c r="CG55" i="47"/>
  <c r="CS55" i="47" s="1"/>
  <c r="DB57" i="14"/>
  <c r="DF58" i="47"/>
  <c r="DO64" i="47"/>
  <c r="CI57" i="47"/>
  <c r="CU57" i="47" s="1"/>
  <c r="DQ66" i="47"/>
  <c r="CX55" i="14"/>
  <c r="DC56" i="47"/>
  <c r="CV52" i="14"/>
  <c r="DA53" i="47"/>
  <c r="CH57" i="14"/>
  <c r="CQ57" i="14" s="1"/>
  <c r="DI65" i="14"/>
  <c r="Z62" i="6"/>
  <c r="BW57" i="47"/>
  <c r="DP64" i="47"/>
  <c r="DN64" i="47"/>
  <c r="CZ57" i="14"/>
  <c r="DE58" i="47"/>
  <c r="BS62" i="6"/>
  <c r="BY62" i="6" s="1"/>
  <c r="BX57" i="47"/>
  <c r="CJ57" i="47" s="1"/>
  <c r="CV57" i="47" s="1"/>
  <c r="CW55" i="14"/>
  <c r="DB56" i="47"/>
  <c r="BY58" i="14"/>
  <c r="BY59" i="47"/>
  <c r="CK59" i="47" s="1"/>
  <c r="CW59" i="47" s="1"/>
  <c r="AO64" i="6"/>
  <c r="AN65" i="6" s="1"/>
  <c r="AR64" i="6"/>
  <c r="AT64" i="6"/>
  <c r="AU64" i="6"/>
  <c r="AS64" i="6"/>
  <c r="AQ64" i="6"/>
  <c r="BZ61" i="6"/>
  <c r="BR62" i="6"/>
  <c r="BX61" i="6"/>
  <c r="BP59" i="6"/>
  <c r="BV58" i="6"/>
  <c r="BM64" i="6"/>
  <c r="BK64" i="6"/>
  <c r="BL64" i="6"/>
  <c r="BI64" i="6"/>
  <c r="BG64" i="6"/>
  <c r="BJ64" i="6"/>
  <c r="CM52" i="14"/>
  <c r="DE60" i="14"/>
  <c r="G59" i="6"/>
  <c r="J59" i="6"/>
  <c r="I59" i="6"/>
  <c r="BU53" i="14"/>
  <c r="CD53" i="14" s="1"/>
  <c r="K59" i="6"/>
  <c r="F59" i="6"/>
  <c r="E60" i="6" s="1"/>
  <c r="BU55" i="47" s="1"/>
  <c r="H59" i="6"/>
  <c r="P62" i="6"/>
  <c r="Q62" i="6"/>
  <c r="AH62" i="6"/>
  <c r="AI62" i="6"/>
  <c r="CU68" i="14"/>
  <c r="DD76" i="14"/>
  <c r="BT69" i="14"/>
  <c r="CG55" i="14"/>
  <c r="CP55" i="14" s="1"/>
  <c r="CE55" i="14"/>
  <c r="CN55" i="14" s="1"/>
  <c r="CF55" i="14"/>
  <c r="CO55" i="14" s="1"/>
  <c r="Y62" i="6"/>
  <c r="AC62" i="6"/>
  <c r="AL62" i="6"/>
  <c r="T62" i="6"/>
  <c r="R62" i="6"/>
  <c r="N62" i="6"/>
  <c r="M63" i="6" s="1"/>
  <c r="BV56" i="14"/>
  <c r="DF64" i="14" s="1"/>
  <c r="S62" i="6"/>
  <c r="C76" i="6"/>
  <c r="AG75" i="6"/>
  <c r="AJ62" i="6"/>
  <c r="AK62" i="6"/>
  <c r="BX56" i="14"/>
  <c r="DH64" i="14" s="1"/>
  <c r="AF62" i="6"/>
  <c r="AE63" i="6" s="1"/>
  <c r="BW56" i="14"/>
  <c r="DG64" i="14" s="1"/>
  <c r="AB62" i="6"/>
  <c r="W62" i="6"/>
  <c r="V63" i="6" s="1"/>
  <c r="AA62" i="6"/>
  <c r="AW65" i="6" l="1"/>
  <c r="BZ58" i="14"/>
  <c r="CI58" i="14"/>
  <c r="CR58" i="14" s="1"/>
  <c r="DJ65" i="14"/>
  <c r="DR77" i="47"/>
  <c r="BU62" i="6"/>
  <c r="CA61" i="6"/>
  <c r="CA69" i="14"/>
  <c r="CJ69" i="14" s="1"/>
  <c r="CS69" i="14" s="1"/>
  <c r="BF76" i="6"/>
  <c r="CA70" i="14" s="1"/>
  <c r="DK78" i="14" s="1"/>
  <c r="AP76" i="6"/>
  <c r="Z63" i="6"/>
  <c r="BW58" i="47"/>
  <c r="CW56" i="14"/>
  <c r="DB57" i="47"/>
  <c r="CV53" i="14"/>
  <c r="DA54" i="47"/>
  <c r="DB58" i="14"/>
  <c r="DF59" i="47"/>
  <c r="CH58" i="14"/>
  <c r="CQ58" i="14" s="1"/>
  <c r="DI66" i="14"/>
  <c r="BS63" i="6"/>
  <c r="BY63" i="6" s="1"/>
  <c r="BX58" i="47"/>
  <c r="CJ58" i="47" s="1"/>
  <c r="CV58" i="47" s="1"/>
  <c r="CX56" i="14"/>
  <c r="DC57" i="47"/>
  <c r="CY56" i="14"/>
  <c r="DD57" i="47"/>
  <c r="DR78" i="47"/>
  <c r="CL71" i="47"/>
  <c r="CX71" i="47" s="1"/>
  <c r="BQ63" i="6"/>
  <c r="BW63" i="6" s="1"/>
  <c r="BV58" i="47"/>
  <c r="CH58" i="47" s="1"/>
  <c r="CT58" i="47" s="1"/>
  <c r="BY59" i="14"/>
  <c r="BY60" i="47"/>
  <c r="AT65" i="6"/>
  <c r="AQ65" i="6"/>
  <c r="AS65" i="6"/>
  <c r="AU65" i="6"/>
  <c r="AO65" i="6"/>
  <c r="AN66" i="6" s="1"/>
  <c r="AR65" i="6"/>
  <c r="DN65" i="47"/>
  <c r="DM63" i="47"/>
  <c r="CZ58" i="14"/>
  <c r="DE59" i="47"/>
  <c r="CK60" i="47"/>
  <c r="CW60" i="47" s="1"/>
  <c r="DQ67" i="47"/>
  <c r="DP65" i="47"/>
  <c r="DO65" i="47"/>
  <c r="CI58" i="47"/>
  <c r="CU58" i="47" s="1"/>
  <c r="BT65" i="6"/>
  <c r="BZ62" i="6"/>
  <c r="BR63" i="6"/>
  <c r="BX62" i="6"/>
  <c r="BV59" i="6"/>
  <c r="BP60" i="6"/>
  <c r="BM65" i="6"/>
  <c r="BG65" i="6"/>
  <c r="BL65" i="6"/>
  <c r="BI65" i="6"/>
  <c r="BJ65" i="6"/>
  <c r="BK65" i="6"/>
  <c r="DE61" i="14"/>
  <c r="CM53" i="14"/>
  <c r="H60" i="6"/>
  <c r="J60" i="6"/>
  <c r="K60" i="6"/>
  <c r="I60" i="6"/>
  <c r="BU54" i="14"/>
  <c r="CD54" i="14" s="1"/>
  <c r="G60" i="6"/>
  <c r="F60" i="6"/>
  <c r="E61" i="6" s="1"/>
  <c r="BU56" i="47" s="1"/>
  <c r="CG56" i="47" s="1"/>
  <c r="CS56" i="47" s="1"/>
  <c r="P63" i="6"/>
  <c r="Q63" i="6"/>
  <c r="AH63" i="6"/>
  <c r="AI63" i="6"/>
  <c r="CU69" i="14"/>
  <c r="DD77" i="14"/>
  <c r="BT70" i="14"/>
  <c r="CG56" i="14"/>
  <c r="CP56" i="14" s="1"/>
  <c r="CE56" i="14"/>
  <c r="CN56" i="14" s="1"/>
  <c r="CF56" i="14"/>
  <c r="CO56" i="14" s="1"/>
  <c r="Y63" i="6"/>
  <c r="AC63" i="6"/>
  <c r="T63" i="6"/>
  <c r="AL63" i="6"/>
  <c r="C77" i="6"/>
  <c r="AG76" i="6"/>
  <c r="BV57" i="14"/>
  <c r="DF65" i="14" s="1"/>
  <c r="S63" i="6"/>
  <c r="N63" i="6"/>
  <c r="M64" i="6" s="1"/>
  <c r="R63" i="6"/>
  <c r="AK63" i="6"/>
  <c r="AF63" i="6"/>
  <c r="AE64" i="6" s="1"/>
  <c r="BX57" i="14"/>
  <c r="DH65" i="14" s="1"/>
  <c r="AJ63" i="6"/>
  <c r="BW57" i="14"/>
  <c r="DG65" i="14" s="1"/>
  <c r="AA63" i="6"/>
  <c r="W63" i="6"/>
  <c r="V64" i="6" s="1"/>
  <c r="AB63" i="6"/>
  <c r="CJ70" i="14" l="1"/>
  <c r="CS70" i="14" s="1"/>
  <c r="BU63" i="6"/>
  <c r="CA62" i="6"/>
  <c r="CI59" i="14"/>
  <c r="CR59" i="14" s="1"/>
  <c r="DJ66" i="14"/>
  <c r="DK77" i="14"/>
  <c r="AW66" i="6"/>
  <c r="BZ59" i="14"/>
  <c r="BZ71" i="47"/>
  <c r="CL72" i="47" s="1"/>
  <c r="CX72" i="47" s="1"/>
  <c r="BF77" i="6"/>
  <c r="BZ72" i="47" s="1"/>
  <c r="AP77" i="6"/>
  <c r="BT66" i="6"/>
  <c r="BQ64" i="6"/>
  <c r="BW64" i="6" s="1"/>
  <c r="BV59" i="47"/>
  <c r="CH59" i="47" s="1"/>
  <c r="CT59" i="47" s="1"/>
  <c r="CW57" i="14"/>
  <c r="DB58" i="47"/>
  <c r="DR79" i="47"/>
  <c r="DN66" i="47"/>
  <c r="DP66" i="47"/>
  <c r="CX57" i="14"/>
  <c r="DC58" i="47"/>
  <c r="DM64" i="47"/>
  <c r="CV54" i="14"/>
  <c r="DA55" i="47"/>
  <c r="BY60" i="14"/>
  <c r="BY61" i="47"/>
  <c r="AT66" i="6"/>
  <c r="AQ66" i="6"/>
  <c r="AS66" i="6"/>
  <c r="AU66" i="6"/>
  <c r="AO66" i="6"/>
  <c r="AN67" i="6" s="1"/>
  <c r="AR66" i="6"/>
  <c r="Z64" i="6"/>
  <c r="BW59" i="47"/>
  <c r="CZ59" i="14"/>
  <c r="DE60" i="47"/>
  <c r="CK61" i="47"/>
  <c r="CW61" i="47" s="1"/>
  <c r="DQ68" i="47"/>
  <c r="CI59" i="47"/>
  <c r="CU59" i="47" s="1"/>
  <c r="DO66" i="47"/>
  <c r="BS64" i="6"/>
  <c r="BY64" i="6" s="1"/>
  <c r="BX59" i="47"/>
  <c r="CJ59" i="47" s="1"/>
  <c r="CV59" i="47" s="1"/>
  <c r="CY57" i="14"/>
  <c r="DD58" i="47"/>
  <c r="DB59" i="14"/>
  <c r="DF60" i="47"/>
  <c r="CH59" i="14"/>
  <c r="CQ59" i="14" s="1"/>
  <c r="DI67" i="14"/>
  <c r="BZ63" i="6"/>
  <c r="BX63" i="6"/>
  <c r="BR64" i="6"/>
  <c r="BV60" i="6"/>
  <c r="BP61" i="6"/>
  <c r="BK66" i="6"/>
  <c r="BI66" i="6"/>
  <c r="BL66" i="6"/>
  <c r="BJ66" i="6"/>
  <c r="BM66" i="6"/>
  <c r="BG66" i="6"/>
  <c r="CM54" i="14"/>
  <c r="J61" i="6"/>
  <c r="F61" i="6"/>
  <c r="E62" i="6" s="1"/>
  <c r="BU57" i="47" s="1"/>
  <c r="CG57" i="47" s="1"/>
  <c r="CS57" i="47" s="1"/>
  <c r="I61" i="6"/>
  <c r="BU55" i="14"/>
  <c r="CD55" i="14" s="1"/>
  <c r="H61" i="6"/>
  <c r="K61" i="6"/>
  <c r="G61" i="6"/>
  <c r="DE62" i="14"/>
  <c r="P64" i="6"/>
  <c r="Q64" i="6"/>
  <c r="AH64" i="6"/>
  <c r="AI64" i="6"/>
  <c r="BT71" i="14"/>
  <c r="CU70" i="14"/>
  <c r="DD78" i="14"/>
  <c r="CG57" i="14"/>
  <c r="CP57" i="14" s="1"/>
  <c r="CE57" i="14"/>
  <c r="CN57" i="14" s="1"/>
  <c r="CF57" i="14"/>
  <c r="CO57" i="14" s="1"/>
  <c r="Y64" i="6"/>
  <c r="AC64" i="6"/>
  <c r="T64" i="6"/>
  <c r="AL64" i="6"/>
  <c r="BX58" i="14"/>
  <c r="DH66" i="14" s="1"/>
  <c r="AJ64" i="6"/>
  <c r="AF64" i="6"/>
  <c r="AE65" i="6" s="1"/>
  <c r="AK64" i="6"/>
  <c r="BV58" i="14"/>
  <c r="DF66" i="14" s="1"/>
  <c r="N64" i="6"/>
  <c r="M65" i="6" s="1"/>
  <c r="S64" i="6"/>
  <c r="R64" i="6"/>
  <c r="C78" i="6"/>
  <c r="AG77" i="6"/>
  <c r="BW58" i="14"/>
  <c r="DG66" i="14" s="1"/>
  <c r="W64" i="6"/>
  <c r="V65" i="6" s="1"/>
  <c r="AA64" i="6"/>
  <c r="AB64" i="6"/>
  <c r="CI60" i="14" l="1"/>
  <c r="CR60" i="14" s="1"/>
  <c r="DJ67" i="14"/>
  <c r="AW67" i="6"/>
  <c r="BZ60" i="14"/>
  <c r="BU64" i="6"/>
  <c r="CA63" i="6"/>
  <c r="CA71" i="14"/>
  <c r="CJ71" i="14" s="1"/>
  <c r="CS71" i="14" s="1"/>
  <c r="BF78" i="6"/>
  <c r="BZ73" i="47" s="1"/>
  <c r="AP78" i="6"/>
  <c r="Z65" i="6"/>
  <c r="BW60" i="47"/>
  <c r="CY58" i="14"/>
  <c r="DD59" i="47"/>
  <c r="CV55" i="14"/>
  <c r="DA56" i="47"/>
  <c r="DM65" i="47"/>
  <c r="CG58" i="47"/>
  <c r="CS58" i="47" s="1"/>
  <c r="DB60" i="14"/>
  <c r="DF61" i="47"/>
  <c r="BY61" i="14"/>
  <c r="BY62" i="47"/>
  <c r="CK62" i="47" s="1"/>
  <c r="CW62" i="47" s="1"/>
  <c r="AT67" i="6"/>
  <c r="AQ67" i="6"/>
  <c r="AS67" i="6"/>
  <c r="AU67" i="6"/>
  <c r="AO67" i="6"/>
  <c r="AN68" i="6" s="1"/>
  <c r="AR67" i="6"/>
  <c r="BS65" i="6"/>
  <c r="BY65" i="6" s="1"/>
  <c r="BX60" i="47"/>
  <c r="CW58" i="14"/>
  <c r="DB59" i="47"/>
  <c r="CI60" i="47"/>
  <c r="CU60" i="47" s="1"/>
  <c r="DO67" i="47"/>
  <c r="CZ60" i="14"/>
  <c r="DE61" i="47"/>
  <c r="DQ69" i="47"/>
  <c r="BQ65" i="6"/>
  <c r="BW65" i="6" s="1"/>
  <c r="BV60" i="47"/>
  <c r="CH60" i="47" s="1"/>
  <c r="CT60" i="47" s="1"/>
  <c r="CX58" i="14"/>
  <c r="DC59" i="47"/>
  <c r="CH60" i="14"/>
  <c r="CQ60" i="14" s="1"/>
  <c r="DI68" i="14"/>
  <c r="DN67" i="47"/>
  <c r="DP67" i="47"/>
  <c r="CJ60" i="47"/>
  <c r="CV60" i="47" s="1"/>
  <c r="DR80" i="47"/>
  <c r="CL73" i="47"/>
  <c r="CX73" i="47" s="1"/>
  <c r="BT67" i="6"/>
  <c r="BZ64" i="6"/>
  <c r="BX64" i="6"/>
  <c r="BR65" i="6"/>
  <c r="BP62" i="6"/>
  <c r="BV61" i="6"/>
  <c r="BK67" i="6"/>
  <c r="BM67" i="6"/>
  <c r="BI67" i="6"/>
  <c r="BL67" i="6"/>
  <c r="BG67" i="6"/>
  <c r="BJ67" i="6"/>
  <c r="CM55" i="14"/>
  <c r="DE63" i="14"/>
  <c r="H62" i="6"/>
  <c r="G62" i="6"/>
  <c r="J62" i="6"/>
  <c r="BU56" i="14"/>
  <c r="CD56" i="14" s="1"/>
  <c r="F62" i="6"/>
  <c r="E63" i="6" s="1"/>
  <c r="BU58" i="47" s="1"/>
  <c r="I62" i="6"/>
  <c r="K62" i="6"/>
  <c r="P65" i="6"/>
  <c r="Q65" i="6"/>
  <c r="AH65" i="6"/>
  <c r="AI65" i="6"/>
  <c r="BT72" i="14"/>
  <c r="CU71" i="14"/>
  <c r="DD79" i="14"/>
  <c r="CG58" i="14"/>
  <c r="CP58" i="14" s="1"/>
  <c r="CE58" i="14"/>
  <c r="CN58" i="14" s="1"/>
  <c r="CF58" i="14"/>
  <c r="CO58" i="14" s="1"/>
  <c r="Y65" i="6"/>
  <c r="AC65" i="6"/>
  <c r="AL65" i="6"/>
  <c r="T65" i="6"/>
  <c r="R65" i="6"/>
  <c r="S65" i="6"/>
  <c r="N65" i="6"/>
  <c r="M66" i="6" s="1"/>
  <c r="BV59" i="14"/>
  <c r="C79" i="6"/>
  <c r="AG78" i="6"/>
  <c r="AK65" i="6"/>
  <c r="BX59" i="14"/>
  <c r="AJ65" i="6"/>
  <c r="AF65" i="6"/>
  <c r="AE66" i="6" s="1"/>
  <c r="BW59" i="14"/>
  <c r="AB65" i="6"/>
  <c r="W65" i="6"/>
  <c r="V66" i="6" s="1"/>
  <c r="BW61" i="47" s="1"/>
  <c r="AA65" i="6"/>
  <c r="CJ72" i="14" l="1"/>
  <c r="CS72" i="14" s="1"/>
  <c r="CI61" i="14"/>
  <c r="CR61" i="14" s="1"/>
  <c r="DJ68" i="14"/>
  <c r="AW68" i="6"/>
  <c r="BZ61" i="14"/>
  <c r="CA72" i="14"/>
  <c r="DK80" i="14" s="1"/>
  <c r="BU65" i="6"/>
  <c r="CA64" i="6"/>
  <c r="DK79" i="14"/>
  <c r="BF79" i="6"/>
  <c r="CA73" i="14" s="1"/>
  <c r="CJ73" i="14" s="1"/>
  <c r="CS73" i="14" s="1"/>
  <c r="AP79" i="6"/>
  <c r="BT68" i="6"/>
  <c r="Q66" i="6"/>
  <c r="BV61" i="47"/>
  <c r="CH61" i="47" s="1"/>
  <c r="CT61" i="47" s="1"/>
  <c r="CY59" i="14"/>
  <c r="DD60" i="47"/>
  <c r="DP68" i="47"/>
  <c r="CZ61" i="14"/>
  <c r="DE62" i="47"/>
  <c r="DQ70" i="47"/>
  <c r="AI66" i="6"/>
  <c r="BX61" i="47"/>
  <c r="CJ61" i="47" s="1"/>
  <c r="CV61" i="47" s="1"/>
  <c r="CX59" i="14"/>
  <c r="DC60" i="47"/>
  <c r="CV56" i="14"/>
  <c r="DA57" i="47"/>
  <c r="CH61" i="14"/>
  <c r="CQ61" i="14" s="1"/>
  <c r="DI69" i="14"/>
  <c r="DB61" i="14"/>
  <c r="DF62" i="47"/>
  <c r="CL74" i="47"/>
  <c r="CX74" i="47" s="1"/>
  <c r="DR81" i="47"/>
  <c r="DN68" i="47"/>
  <c r="CI61" i="47"/>
  <c r="CU61" i="47" s="1"/>
  <c r="DO68" i="47"/>
  <c r="CI62" i="47"/>
  <c r="CU62" i="47" s="1"/>
  <c r="DO69" i="47"/>
  <c r="CW59" i="14"/>
  <c r="DB60" i="47"/>
  <c r="DM66" i="47"/>
  <c r="CG59" i="47"/>
  <c r="CS59" i="47" s="1"/>
  <c r="BY62" i="14"/>
  <c r="BY63" i="47"/>
  <c r="CK63" i="47" s="1"/>
  <c r="CW63" i="47" s="1"/>
  <c r="AT68" i="6"/>
  <c r="AU68" i="6"/>
  <c r="AS68" i="6"/>
  <c r="AQ68" i="6"/>
  <c r="AO68" i="6"/>
  <c r="AN69" i="6" s="1"/>
  <c r="AR68" i="6"/>
  <c r="BZ65" i="6"/>
  <c r="BS66" i="6"/>
  <c r="BR66" i="6"/>
  <c r="BX65" i="6"/>
  <c r="BQ66" i="6"/>
  <c r="BP63" i="6"/>
  <c r="BV62" i="6"/>
  <c r="BM68" i="6"/>
  <c r="BJ68" i="6"/>
  <c r="BL68" i="6"/>
  <c r="BI68" i="6"/>
  <c r="BG68" i="6"/>
  <c r="BK68" i="6"/>
  <c r="DE64" i="14"/>
  <c r="CM56" i="14"/>
  <c r="H63" i="6"/>
  <c r="F63" i="6"/>
  <c r="E64" i="6" s="1"/>
  <c r="BU59" i="47" s="1"/>
  <c r="K63" i="6"/>
  <c r="I63" i="6"/>
  <c r="G63" i="6"/>
  <c r="BU57" i="14"/>
  <c r="CD57" i="14" s="1"/>
  <c r="J63" i="6"/>
  <c r="BW60" i="14"/>
  <c r="DG68" i="14" s="1"/>
  <c r="Z66" i="6"/>
  <c r="AH66" i="6"/>
  <c r="BX60" i="14"/>
  <c r="CG60" i="14" s="1"/>
  <c r="CP60" i="14" s="1"/>
  <c r="P66" i="6"/>
  <c r="BV60" i="14"/>
  <c r="CE60" i="14" s="1"/>
  <c r="CN60" i="14" s="1"/>
  <c r="DG67" i="14"/>
  <c r="DH67" i="14"/>
  <c r="DF67" i="14"/>
  <c r="CU72" i="14"/>
  <c r="DD80" i="14"/>
  <c r="BT73" i="14"/>
  <c r="CG59" i="14"/>
  <c r="CP59" i="14" s="1"/>
  <c r="CE59" i="14"/>
  <c r="CN59" i="14" s="1"/>
  <c r="CF59" i="14"/>
  <c r="CO59" i="14" s="1"/>
  <c r="Y66" i="6"/>
  <c r="AC66" i="6"/>
  <c r="AL66" i="6"/>
  <c r="T66" i="6"/>
  <c r="AF66" i="6"/>
  <c r="AE67" i="6" s="1"/>
  <c r="AJ66" i="6"/>
  <c r="AK66" i="6"/>
  <c r="C80" i="6"/>
  <c r="AG79" i="6"/>
  <c r="R66" i="6"/>
  <c r="S66" i="6"/>
  <c r="N66" i="6"/>
  <c r="M67" i="6" s="1"/>
  <c r="AB66" i="6"/>
  <c r="W66" i="6"/>
  <c r="V67" i="6" s="1"/>
  <c r="BW62" i="47" s="1"/>
  <c r="AA66" i="6"/>
  <c r="CI62" i="14" l="1"/>
  <c r="CR62" i="14" s="1"/>
  <c r="DJ69" i="14"/>
  <c r="AW69" i="6"/>
  <c r="BZ62" i="14"/>
  <c r="BU66" i="6"/>
  <c r="CA65" i="6"/>
  <c r="BZ74" i="47"/>
  <c r="CL75" i="47" s="1"/>
  <c r="CX75" i="47" s="1"/>
  <c r="BF80" i="6"/>
  <c r="CA74" i="14" s="1"/>
  <c r="DK82" i="14" s="1"/>
  <c r="AP80" i="6"/>
  <c r="DK81" i="14"/>
  <c r="Q67" i="6"/>
  <c r="BV62" i="47"/>
  <c r="CH62" i="47" s="1"/>
  <c r="CT62" i="47" s="1"/>
  <c r="CY60" i="14"/>
  <c r="DD61" i="47"/>
  <c r="DB62" i="14"/>
  <c r="DF63" i="47"/>
  <c r="CH62" i="14"/>
  <c r="CQ62" i="14" s="1"/>
  <c r="DI70" i="14"/>
  <c r="DP69" i="47"/>
  <c r="CI63" i="47"/>
  <c r="CU63" i="47" s="1"/>
  <c r="DO70" i="47"/>
  <c r="CX60" i="14"/>
  <c r="DC61" i="47"/>
  <c r="CZ62" i="14"/>
  <c r="DE63" i="47"/>
  <c r="AI67" i="6"/>
  <c r="BX62" i="47"/>
  <c r="CJ62" i="47" s="1"/>
  <c r="CV62" i="47" s="1"/>
  <c r="CV57" i="14"/>
  <c r="DA58" i="47"/>
  <c r="BY63" i="14"/>
  <c r="BY64" i="47"/>
  <c r="AO69" i="6"/>
  <c r="AN70" i="6" s="1"/>
  <c r="AR69" i="6"/>
  <c r="AT69" i="6"/>
  <c r="AQ69" i="6"/>
  <c r="AS69" i="6"/>
  <c r="AU69" i="6"/>
  <c r="DN69" i="47"/>
  <c r="CW60" i="14"/>
  <c r="DB61" i="47"/>
  <c r="DM67" i="47"/>
  <c r="CG60" i="47"/>
  <c r="CS60" i="47" s="1"/>
  <c r="DQ71" i="47"/>
  <c r="CK64" i="47"/>
  <c r="CW64" i="47" s="1"/>
  <c r="BT69" i="6"/>
  <c r="BZ66" i="6"/>
  <c r="BS67" i="6"/>
  <c r="BY66" i="6"/>
  <c r="BR67" i="6"/>
  <c r="BX66" i="6"/>
  <c r="BW66" i="6"/>
  <c r="BQ67" i="6"/>
  <c r="BV63" i="6"/>
  <c r="BP64" i="6"/>
  <c r="CJ74" i="14"/>
  <c r="CS74" i="14" s="1"/>
  <c r="BG69" i="6"/>
  <c r="BL69" i="6"/>
  <c r="BK69" i="6"/>
  <c r="BJ69" i="6"/>
  <c r="BM69" i="6"/>
  <c r="BI69" i="6"/>
  <c r="CM57" i="14"/>
  <c r="DE65" i="14"/>
  <c r="K64" i="6"/>
  <c r="F64" i="6"/>
  <c r="E65" i="6" s="1"/>
  <c r="BU60" i="47" s="1"/>
  <c r="J64" i="6"/>
  <c r="I64" i="6"/>
  <c r="BU58" i="14"/>
  <c r="G64" i="6"/>
  <c r="H64" i="6"/>
  <c r="CF60" i="14"/>
  <c r="CO60" i="14" s="1"/>
  <c r="BW61" i="14"/>
  <c r="Z67" i="6"/>
  <c r="AH67" i="6"/>
  <c r="BX61" i="14"/>
  <c r="CG61" i="14" s="1"/>
  <c r="CP61" i="14" s="1"/>
  <c r="DH68" i="14"/>
  <c r="P67" i="6"/>
  <c r="BV61" i="14"/>
  <c r="CE61" i="14" s="1"/>
  <c r="CN61" i="14" s="1"/>
  <c r="DF68" i="14"/>
  <c r="BT74" i="14"/>
  <c r="DD81" i="14"/>
  <c r="CU73" i="14"/>
  <c r="Y67" i="6"/>
  <c r="AC67" i="6"/>
  <c r="T67" i="6"/>
  <c r="AL67" i="6"/>
  <c r="AF67" i="6"/>
  <c r="AE68" i="6" s="1"/>
  <c r="AK67" i="6"/>
  <c r="AJ67" i="6"/>
  <c r="S67" i="6"/>
  <c r="R67" i="6"/>
  <c r="N67" i="6"/>
  <c r="M68" i="6" s="1"/>
  <c r="C81" i="6"/>
  <c r="AG80" i="6"/>
  <c r="W67" i="6"/>
  <c r="V68" i="6" s="1"/>
  <c r="BW63" i="47" s="1"/>
  <c r="AB67" i="6"/>
  <c r="AA67" i="6"/>
  <c r="AW70" i="6" l="1"/>
  <c r="BZ63" i="14"/>
  <c r="CI63" i="14"/>
  <c r="CR63" i="14" s="1"/>
  <c r="DJ70" i="14"/>
  <c r="BU67" i="6"/>
  <c r="CA66" i="6"/>
  <c r="DR82" i="47"/>
  <c r="BZ75" i="47"/>
  <c r="DR83" i="47" s="1"/>
  <c r="BF81" i="6"/>
  <c r="CA75" i="14" s="1"/>
  <c r="AP81" i="6"/>
  <c r="AI68" i="6"/>
  <c r="BX63" i="47"/>
  <c r="CZ63" i="14"/>
  <c r="DE64" i="47"/>
  <c r="CY61" i="14"/>
  <c r="DD62" i="47"/>
  <c r="BY64" i="14"/>
  <c r="BY65" i="47"/>
  <c r="AS70" i="6"/>
  <c r="AU70" i="6"/>
  <c r="AO70" i="6"/>
  <c r="AN71" i="6" s="1"/>
  <c r="AR70" i="6"/>
  <c r="AT70" i="6"/>
  <c r="AQ70" i="6"/>
  <c r="DO71" i="47"/>
  <c r="CI64" i="47"/>
  <c r="CU64" i="47" s="1"/>
  <c r="CG61" i="47"/>
  <c r="CS61" i="47" s="1"/>
  <c r="DM68" i="47"/>
  <c r="DQ72" i="47"/>
  <c r="CK65" i="47"/>
  <c r="CW65" i="47" s="1"/>
  <c r="DP70" i="47"/>
  <c r="CJ63" i="47"/>
  <c r="CV63" i="47" s="1"/>
  <c r="DN70" i="47"/>
  <c r="CW61" i="14"/>
  <c r="DB62" i="47"/>
  <c r="Q68" i="6"/>
  <c r="BV63" i="47"/>
  <c r="CH63" i="47" s="1"/>
  <c r="CT63" i="47" s="1"/>
  <c r="CX61" i="14"/>
  <c r="DC62" i="47"/>
  <c r="CV58" i="14"/>
  <c r="DA59" i="47"/>
  <c r="DB63" i="14"/>
  <c r="DF64" i="47"/>
  <c r="BT70" i="6"/>
  <c r="CH63" i="14"/>
  <c r="CQ63" i="14" s="1"/>
  <c r="DI71" i="14"/>
  <c r="BZ67" i="6"/>
  <c r="BS68" i="6"/>
  <c r="BY67" i="6"/>
  <c r="BX67" i="6"/>
  <c r="BR68" i="6"/>
  <c r="BW67" i="6"/>
  <c r="BQ68" i="6"/>
  <c r="BV64" i="6"/>
  <c r="BP65" i="6"/>
  <c r="BM70" i="6"/>
  <c r="BK70" i="6"/>
  <c r="BG70" i="6"/>
  <c r="BL70" i="6"/>
  <c r="BI70" i="6"/>
  <c r="BJ70" i="6"/>
  <c r="CD58" i="14"/>
  <c r="CM58" i="14" s="1"/>
  <c r="K65" i="6"/>
  <c r="BU59" i="14"/>
  <c r="J65" i="6"/>
  <c r="F65" i="6"/>
  <c r="E66" i="6" s="1"/>
  <c r="BU61" i="47" s="1"/>
  <c r="H65" i="6"/>
  <c r="G65" i="6"/>
  <c r="I65" i="6"/>
  <c r="DE66" i="14"/>
  <c r="CF61" i="14"/>
  <c r="CO61" i="14" s="1"/>
  <c r="DG69" i="14"/>
  <c r="BW62" i="14"/>
  <c r="DG70" i="14" s="1"/>
  <c r="Z68" i="6"/>
  <c r="AH68" i="6"/>
  <c r="BX62" i="14"/>
  <c r="CG62" i="14" s="1"/>
  <c r="CP62" i="14" s="1"/>
  <c r="DH69" i="14"/>
  <c r="P68" i="6"/>
  <c r="BV62" i="14"/>
  <c r="CE62" i="14" s="1"/>
  <c r="CN62" i="14" s="1"/>
  <c r="DF69" i="14"/>
  <c r="BT75" i="14"/>
  <c r="CU74" i="14"/>
  <c r="DD82" i="14"/>
  <c r="Y68" i="6"/>
  <c r="AC68" i="6"/>
  <c r="T68" i="6"/>
  <c r="AL68" i="6"/>
  <c r="AJ68" i="6"/>
  <c r="AF68" i="6"/>
  <c r="AE69" i="6" s="1"/>
  <c r="AK68" i="6"/>
  <c r="C82" i="6"/>
  <c r="AG81" i="6"/>
  <c r="N68" i="6"/>
  <c r="M69" i="6" s="1"/>
  <c r="S68" i="6"/>
  <c r="R68" i="6"/>
  <c r="AB68" i="6"/>
  <c r="AA68" i="6"/>
  <c r="W68" i="6"/>
  <c r="V69" i="6" s="1"/>
  <c r="BW64" i="47" s="1"/>
  <c r="CI64" i="14" l="1"/>
  <c r="CR64" i="14" s="1"/>
  <c r="DJ71" i="14"/>
  <c r="BU68" i="6"/>
  <c r="CA67" i="6"/>
  <c r="AW71" i="6"/>
  <c r="BZ64" i="14"/>
  <c r="CL76" i="47"/>
  <c r="CX76" i="47" s="1"/>
  <c r="BZ76" i="47"/>
  <c r="CL77" i="47" s="1"/>
  <c r="CX77" i="47" s="1"/>
  <c r="CJ75" i="14"/>
  <c r="CS75" i="14" s="1"/>
  <c r="DK83" i="14"/>
  <c r="BF82" i="6"/>
  <c r="CA76" i="14" s="1"/>
  <c r="DK84" i="14" s="1"/>
  <c r="AP82" i="6"/>
  <c r="BT71" i="6"/>
  <c r="DB64" i="14"/>
  <c r="DF65" i="47"/>
  <c r="DN71" i="47"/>
  <c r="CZ64" i="14"/>
  <c r="DE65" i="47"/>
  <c r="CY62" i="14"/>
  <c r="DD63" i="47"/>
  <c r="CV59" i="14"/>
  <c r="DA60" i="47"/>
  <c r="DO72" i="47"/>
  <c r="CI65" i="47"/>
  <c r="CU65" i="47" s="1"/>
  <c r="CW62" i="14"/>
  <c r="DB63" i="47"/>
  <c r="DM69" i="47"/>
  <c r="CG62" i="47"/>
  <c r="CS62" i="47" s="1"/>
  <c r="DQ73" i="47"/>
  <c r="CK66" i="47"/>
  <c r="CW66" i="47" s="1"/>
  <c r="DP71" i="47"/>
  <c r="Q69" i="6"/>
  <c r="BV64" i="47"/>
  <c r="CH64" i="47" s="1"/>
  <c r="CT64" i="47" s="1"/>
  <c r="AI69" i="6"/>
  <c r="BX64" i="47"/>
  <c r="CJ64" i="47" s="1"/>
  <c r="CV64" i="47" s="1"/>
  <c r="CX62" i="14"/>
  <c r="DC63" i="47"/>
  <c r="BY65" i="14"/>
  <c r="BY66" i="47"/>
  <c r="AS71" i="6"/>
  <c r="AU71" i="6"/>
  <c r="AO71" i="6"/>
  <c r="AN72" i="6" s="1"/>
  <c r="AT71" i="6"/>
  <c r="AR71" i="6"/>
  <c r="AQ71" i="6"/>
  <c r="CH64" i="14"/>
  <c r="CQ64" i="14" s="1"/>
  <c r="DI72" i="14"/>
  <c r="BZ68" i="6"/>
  <c r="BS69" i="6"/>
  <c r="BY68" i="6"/>
  <c r="BX68" i="6"/>
  <c r="BR69" i="6"/>
  <c r="BW68" i="6"/>
  <c r="BQ69" i="6"/>
  <c r="BP66" i="6"/>
  <c r="BV65" i="6"/>
  <c r="CJ76" i="14"/>
  <c r="CS76" i="14" s="1"/>
  <c r="BJ71" i="6"/>
  <c r="BK71" i="6"/>
  <c r="BI71" i="6"/>
  <c r="BM71" i="6"/>
  <c r="BL71" i="6"/>
  <c r="BG71" i="6"/>
  <c r="CD59" i="14"/>
  <c r="CM59" i="14" s="1"/>
  <c r="J66" i="6"/>
  <c r="I66" i="6"/>
  <c r="F66" i="6"/>
  <c r="E67" i="6" s="1"/>
  <c r="BU60" i="14"/>
  <c r="H66" i="6"/>
  <c r="K66" i="6"/>
  <c r="G66" i="6"/>
  <c r="DE67" i="14"/>
  <c r="CF62" i="14"/>
  <c r="CO62" i="14" s="1"/>
  <c r="BW63" i="14"/>
  <c r="Z69" i="6"/>
  <c r="DH70" i="14"/>
  <c r="AH69" i="6"/>
  <c r="BX63" i="14"/>
  <c r="CG63" i="14" s="1"/>
  <c r="CP63" i="14" s="1"/>
  <c r="P69" i="6"/>
  <c r="BV63" i="14"/>
  <c r="CE63" i="14" s="1"/>
  <c r="CN63" i="14" s="1"/>
  <c r="DF70" i="14"/>
  <c r="BT76" i="14"/>
  <c r="CU75" i="14"/>
  <c r="DD83" i="14"/>
  <c r="Y69" i="6"/>
  <c r="AC69" i="6"/>
  <c r="T69" i="6"/>
  <c r="AJ69" i="6"/>
  <c r="AL69" i="6"/>
  <c r="AK69" i="6"/>
  <c r="AF69" i="6"/>
  <c r="AE70" i="6" s="1"/>
  <c r="C83" i="6"/>
  <c r="AG82" i="6"/>
  <c r="N69" i="6"/>
  <c r="M70" i="6" s="1"/>
  <c r="S69" i="6"/>
  <c r="R69" i="6"/>
  <c r="AB69" i="6"/>
  <c r="W69" i="6"/>
  <c r="V70" i="6" s="1"/>
  <c r="BW65" i="47" s="1"/>
  <c r="AA69" i="6"/>
  <c r="BU69" i="6" l="1"/>
  <c r="CA68" i="6"/>
  <c r="CI65" i="14"/>
  <c r="CR65" i="14" s="1"/>
  <c r="DJ72" i="14"/>
  <c r="DR84" i="47"/>
  <c r="AW72" i="6"/>
  <c r="BZ65" i="14"/>
  <c r="BZ77" i="47"/>
  <c r="CL78" i="47" s="1"/>
  <c r="CX78" i="47" s="1"/>
  <c r="BF83" i="6"/>
  <c r="BZ78" i="47" s="1"/>
  <c r="AP83" i="6"/>
  <c r="CY63" i="14"/>
  <c r="DD64" i="47"/>
  <c r="DB65" i="14"/>
  <c r="DF66" i="47"/>
  <c r="BY66" i="14"/>
  <c r="BY67" i="47"/>
  <c r="AS72" i="6"/>
  <c r="AQ72" i="6"/>
  <c r="AO72" i="6"/>
  <c r="AN73" i="6" s="1"/>
  <c r="AR72" i="6"/>
  <c r="AT72" i="6"/>
  <c r="AU72" i="6"/>
  <c r="CH65" i="14"/>
  <c r="CQ65" i="14" s="1"/>
  <c r="DI73" i="14"/>
  <c r="CZ65" i="14"/>
  <c r="DE66" i="47"/>
  <c r="DN72" i="47"/>
  <c r="AI70" i="6"/>
  <c r="BX65" i="47"/>
  <c r="CJ65" i="47" s="1"/>
  <c r="CV65" i="47" s="1"/>
  <c r="CW63" i="14"/>
  <c r="DB64" i="47"/>
  <c r="F67" i="6"/>
  <c r="E68" i="6" s="1"/>
  <c r="BU63" i="47" s="1"/>
  <c r="BU62" i="47"/>
  <c r="DO73" i="47"/>
  <c r="CI66" i="47"/>
  <c r="CU66" i="47" s="1"/>
  <c r="Q70" i="6"/>
  <c r="BV65" i="47"/>
  <c r="CH65" i="47" s="1"/>
  <c r="CT65" i="47" s="1"/>
  <c r="CX63" i="14"/>
  <c r="DC64" i="47"/>
  <c r="CV60" i="14"/>
  <c r="DA61" i="47"/>
  <c r="DQ74" i="47"/>
  <c r="CK67" i="47"/>
  <c r="CW67" i="47" s="1"/>
  <c r="DP72" i="47"/>
  <c r="BT72" i="6"/>
  <c r="BZ69" i="6"/>
  <c r="BS70" i="6"/>
  <c r="BY69" i="6"/>
  <c r="BR70" i="6"/>
  <c r="BX69" i="6"/>
  <c r="BW69" i="6"/>
  <c r="BQ70" i="6"/>
  <c r="BP67" i="6"/>
  <c r="BV66" i="6"/>
  <c r="CJ77" i="14"/>
  <c r="CS77" i="14" s="1"/>
  <c r="BK72" i="6"/>
  <c r="BI72" i="6"/>
  <c r="BL72" i="6"/>
  <c r="BJ72" i="6"/>
  <c r="BM72" i="6"/>
  <c r="BG72" i="6"/>
  <c r="CD60" i="14"/>
  <c r="CM60" i="14" s="1"/>
  <c r="DE68" i="14"/>
  <c r="G67" i="6"/>
  <c r="I67" i="6"/>
  <c r="H67" i="6"/>
  <c r="K67" i="6"/>
  <c r="J67" i="6"/>
  <c r="BU61" i="14"/>
  <c r="CD61" i="14" s="1"/>
  <c r="CF63" i="14"/>
  <c r="CO63" i="14" s="1"/>
  <c r="DG71" i="14"/>
  <c r="BW64" i="14"/>
  <c r="Z70" i="6"/>
  <c r="DH71" i="14"/>
  <c r="AH70" i="6"/>
  <c r="BX64" i="14"/>
  <c r="CG64" i="14" s="1"/>
  <c r="CP64" i="14" s="1"/>
  <c r="P70" i="6"/>
  <c r="BV64" i="14"/>
  <c r="CE64" i="14" s="1"/>
  <c r="CN64" i="14" s="1"/>
  <c r="DF71" i="14"/>
  <c r="CU76" i="14"/>
  <c r="DD84" i="14"/>
  <c r="BT77" i="14"/>
  <c r="Y70" i="6"/>
  <c r="T70" i="6"/>
  <c r="AL70" i="6"/>
  <c r="AC70" i="6"/>
  <c r="AJ70" i="6"/>
  <c r="AK70" i="6"/>
  <c r="AF70" i="6"/>
  <c r="AE71" i="6" s="1"/>
  <c r="BX66" i="47" s="1"/>
  <c r="N70" i="6"/>
  <c r="M71" i="6" s="1"/>
  <c r="BV66" i="47" s="1"/>
  <c r="R70" i="6"/>
  <c r="S70" i="6"/>
  <c r="C84" i="6"/>
  <c r="AG83" i="6"/>
  <c r="AB70" i="6"/>
  <c r="W70" i="6"/>
  <c r="V71" i="6" s="1"/>
  <c r="BW66" i="47" s="1"/>
  <c r="AA70" i="6"/>
  <c r="CA77" i="14" l="1"/>
  <c r="DK85" i="14" s="1"/>
  <c r="CI66" i="14"/>
  <c r="CR66" i="14" s="1"/>
  <c r="DJ73" i="14"/>
  <c r="AW73" i="6"/>
  <c r="BZ66" i="14"/>
  <c r="BU70" i="6"/>
  <c r="CA69" i="6"/>
  <c r="DR85" i="47"/>
  <c r="BF84" i="6"/>
  <c r="CA78" i="14" s="1"/>
  <c r="CJ78" i="14" s="1"/>
  <c r="CS78" i="14" s="1"/>
  <c r="AP84" i="6"/>
  <c r="H68" i="6"/>
  <c r="BT73" i="6"/>
  <c r="BU62" i="14"/>
  <c r="DE70" i="14" s="1"/>
  <c r="G68" i="6"/>
  <c r="I68" i="6"/>
  <c r="J68" i="6"/>
  <c r="K68" i="6"/>
  <c r="CV62" i="14" s="1"/>
  <c r="F68" i="6"/>
  <c r="E69" i="6" s="1"/>
  <c r="BU64" i="47" s="1"/>
  <c r="CG65" i="47" s="1"/>
  <c r="CS65" i="47" s="1"/>
  <c r="CI67" i="47"/>
  <c r="CU67" i="47" s="1"/>
  <c r="DO74" i="47"/>
  <c r="CW64" i="14"/>
  <c r="DB65" i="47"/>
  <c r="CV61" i="14"/>
  <c r="DA62" i="47"/>
  <c r="CL79" i="47"/>
  <c r="CX79" i="47" s="1"/>
  <c r="DR86" i="47"/>
  <c r="CZ66" i="14"/>
  <c r="DE67" i="47"/>
  <c r="DP74" i="47"/>
  <c r="DN74" i="47"/>
  <c r="CX64" i="14"/>
  <c r="DC65" i="47"/>
  <c r="CH66" i="47"/>
  <c r="CT66" i="47" s="1"/>
  <c r="DN73" i="47"/>
  <c r="CG63" i="47"/>
  <c r="CS63" i="47" s="1"/>
  <c r="DM70" i="47"/>
  <c r="CJ66" i="47"/>
  <c r="CV66" i="47" s="1"/>
  <c r="DP73" i="47"/>
  <c r="CK68" i="47"/>
  <c r="CW68" i="47" s="1"/>
  <c r="DQ75" i="47"/>
  <c r="CY64" i="14"/>
  <c r="DD65" i="47"/>
  <c r="DB66" i="14"/>
  <c r="DF67" i="47"/>
  <c r="CG64" i="47"/>
  <c r="CS64" i="47" s="1"/>
  <c r="DM71" i="47"/>
  <c r="BY67" i="14"/>
  <c r="BY68" i="47"/>
  <c r="AR73" i="6"/>
  <c r="AT73" i="6"/>
  <c r="AQ73" i="6"/>
  <c r="AS73" i="6"/>
  <c r="AU73" i="6"/>
  <c r="AO73" i="6"/>
  <c r="AN74" i="6" s="1"/>
  <c r="CH66" i="14"/>
  <c r="CQ66" i="14" s="1"/>
  <c r="DI74" i="14"/>
  <c r="BZ70" i="6"/>
  <c r="BS71" i="6"/>
  <c r="BY70" i="6"/>
  <c r="BR71" i="6"/>
  <c r="BX70" i="6"/>
  <c r="BW70" i="6"/>
  <c r="BQ71" i="6"/>
  <c r="BV67" i="6"/>
  <c r="BP68" i="6"/>
  <c r="BL73" i="6"/>
  <c r="BM73" i="6"/>
  <c r="BJ73" i="6"/>
  <c r="BG73" i="6"/>
  <c r="BK73" i="6"/>
  <c r="BI73" i="6"/>
  <c r="DE69" i="14"/>
  <c r="CD62" i="14"/>
  <c r="CM62" i="14" s="1"/>
  <c r="CM61" i="14"/>
  <c r="CF64" i="14"/>
  <c r="CO64" i="14" s="1"/>
  <c r="DG72" i="14"/>
  <c r="BV65" i="14"/>
  <c r="DF73" i="14" s="1"/>
  <c r="Q71" i="6"/>
  <c r="BX65" i="14"/>
  <c r="CG65" i="14" s="1"/>
  <c r="CP65" i="14" s="1"/>
  <c r="AI71" i="6"/>
  <c r="BW65" i="14"/>
  <c r="Z71" i="6"/>
  <c r="DH72" i="14"/>
  <c r="DF72" i="14"/>
  <c r="CU77" i="14"/>
  <c r="BT78" i="14"/>
  <c r="DD85" i="14"/>
  <c r="P71" i="6"/>
  <c r="AH71" i="6"/>
  <c r="Y71" i="6"/>
  <c r="AC71" i="6"/>
  <c r="AK71" i="6"/>
  <c r="AL71" i="6"/>
  <c r="T71" i="6"/>
  <c r="AF71" i="6"/>
  <c r="AE72" i="6" s="1"/>
  <c r="BX67" i="47" s="1"/>
  <c r="CJ67" i="47" s="1"/>
  <c r="CV67" i="47" s="1"/>
  <c r="AJ71" i="6"/>
  <c r="S71" i="6"/>
  <c r="R71" i="6"/>
  <c r="N71" i="6"/>
  <c r="M72" i="6" s="1"/>
  <c r="BV67" i="47" s="1"/>
  <c r="CH67" i="47" s="1"/>
  <c r="CT67" i="47" s="1"/>
  <c r="C85" i="6"/>
  <c r="AG84" i="6"/>
  <c r="W71" i="6"/>
  <c r="V72" i="6" s="1"/>
  <c r="BW67" i="47" s="1"/>
  <c r="AA71" i="6"/>
  <c r="AB71" i="6"/>
  <c r="AW74" i="6" l="1"/>
  <c r="BZ67" i="14"/>
  <c r="CI67" i="14"/>
  <c r="CR67" i="14" s="1"/>
  <c r="DJ74" i="14"/>
  <c r="BU71" i="6"/>
  <c r="CA70" i="6"/>
  <c r="BZ79" i="47"/>
  <c r="DR87" i="47" s="1"/>
  <c r="BT74" i="6"/>
  <c r="BF85" i="6"/>
  <c r="BZ80" i="47" s="1"/>
  <c r="AP85" i="6"/>
  <c r="DK86" i="14"/>
  <c r="K69" i="6"/>
  <c r="DA64" i="47" s="1"/>
  <c r="H69" i="6"/>
  <c r="DM72" i="47"/>
  <c r="J69" i="6"/>
  <c r="BU63" i="14"/>
  <c r="DE71" i="14" s="1"/>
  <c r="G69" i="6"/>
  <c r="DA63" i="47"/>
  <c r="I69" i="6"/>
  <c r="F69" i="6"/>
  <c r="E70" i="6" s="1"/>
  <c r="BU65" i="47" s="1"/>
  <c r="CG66" i="47" s="1"/>
  <c r="CS66" i="47" s="1"/>
  <c r="CZ67" i="14"/>
  <c r="DE68" i="47"/>
  <c r="DN75" i="47"/>
  <c r="DB67" i="14"/>
  <c r="DF68" i="47"/>
  <c r="DQ76" i="47"/>
  <c r="DP75" i="47"/>
  <c r="CX65" i="14"/>
  <c r="DC66" i="47"/>
  <c r="DO75" i="47"/>
  <c r="CI68" i="47"/>
  <c r="CU68" i="47" s="1"/>
  <c r="CW65" i="14"/>
  <c r="DB66" i="47"/>
  <c r="CH67" i="14"/>
  <c r="CQ67" i="14" s="1"/>
  <c r="DI75" i="14"/>
  <c r="CY65" i="14"/>
  <c r="DD66" i="47"/>
  <c r="BY68" i="14"/>
  <c r="BY69" i="47"/>
  <c r="CK69" i="47" s="1"/>
  <c r="CW69" i="47" s="1"/>
  <c r="AR74" i="6"/>
  <c r="AT74" i="6"/>
  <c r="AQ74" i="6"/>
  <c r="AS74" i="6"/>
  <c r="AU74" i="6"/>
  <c r="AO74" i="6"/>
  <c r="AN75" i="6" s="1"/>
  <c r="BZ71" i="6"/>
  <c r="BS72" i="6"/>
  <c r="BY71" i="6"/>
  <c r="BX71" i="6"/>
  <c r="BR72" i="6"/>
  <c r="BW71" i="6"/>
  <c r="BQ72" i="6"/>
  <c r="BV68" i="6"/>
  <c r="BP69" i="6"/>
  <c r="BK74" i="6"/>
  <c r="BI74" i="6"/>
  <c r="BG74" i="6"/>
  <c r="BJ74" i="6"/>
  <c r="BM74" i="6"/>
  <c r="BL74" i="6"/>
  <c r="CD63" i="14"/>
  <c r="CM63" i="14" s="1"/>
  <c r="CE65" i="14"/>
  <c r="CN65" i="14" s="1"/>
  <c r="CF65" i="14"/>
  <c r="CO65" i="14" s="1"/>
  <c r="DH73" i="14"/>
  <c r="DG73" i="14"/>
  <c r="BV66" i="14"/>
  <c r="CE66" i="14" s="1"/>
  <c r="CN66" i="14" s="1"/>
  <c r="Q72" i="6"/>
  <c r="BX66" i="14"/>
  <c r="AI72" i="6"/>
  <c r="BW66" i="14"/>
  <c r="Z72" i="6"/>
  <c r="BT79" i="14"/>
  <c r="CU78" i="14"/>
  <c r="DD86" i="14"/>
  <c r="P72" i="6"/>
  <c r="AH72" i="6"/>
  <c r="Y72" i="6"/>
  <c r="T72" i="6"/>
  <c r="AF72" i="6"/>
  <c r="AE73" i="6" s="1"/>
  <c r="BX68" i="47" s="1"/>
  <c r="CJ68" i="47" s="1"/>
  <c r="CV68" i="47" s="1"/>
  <c r="AL72" i="6"/>
  <c r="AC72" i="6"/>
  <c r="AK72" i="6"/>
  <c r="AJ72" i="6"/>
  <c r="C86" i="6"/>
  <c r="AG85" i="6"/>
  <c r="R72" i="6"/>
  <c r="N72" i="6"/>
  <c r="M73" i="6" s="1"/>
  <c r="BV68" i="47" s="1"/>
  <c r="CH68" i="47" s="1"/>
  <c r="CT68" i="47" s="1"/>
  <c r="S72" i="6"/>
  <c r="AB72" i="6"/>
  <c r="W72" i="6"/>
  <c r="V73" i="6" s="1"/>
  <c r="BW68" i="47" s="1"/>
  <c r="AA72" i="6"/>
  <c r="CI68" i="14" l="1"/>
  <c r="CR68" i="14" s="1"/>
  <c r="DJ75" i="14"/>
  <c r="BU72" i="6"/>
  <c r="CA71" i="6"/>
  <c r="AW75" i="6"/>
  <c r="BZ68" i="14"/>
  <c r="CA79" i="14"/>
  <c r="CJ79" i="14" s="1"/>
  <c r="CS79" i="14" s="1"/>
  <c r="CL80" i="47"/>
  <c r="CX80" i="47" s="1"/>
  <c r="CV63" i="14"/>
  <c r="BF86" i="6"/>
  <c r="BZ81" i="47" s="1"/>
  <c r="AP86" i="6"/>
  <c r="I70" i="6"/>
  <c r="BU64" i="14"/>
  <c r="DE72" i="14" s="1"/>
  <c r="F70" i="6"/>
  <c r="E71" i="6" s="1"/>
  <c r="BU66" i="47" s="1"/>
  <c r="DM74" i="47" s="1"/>
  <c r="K70" i="6"/>
  <c r="CV64" i="14" s="1"/>
  <c r="G70" i="6"/>
  <c r="H70" i="6"/>
  <c r="DM73" i="47"/>
  <c r="J70" i="6"/>
  <c r="DP76" i="47"/>
  <c r="DO76" i="47"/>
  <c r="CI69" i="47"/>
  <c r="CU69" i="47" s="1"/>
  <c r="CW66" i="14"/>
  <c r="DB67" i="47"/>
  <c r="CZ68" i="14"/>
  <c r="DE69" i="47"/>
  <c r="DQ77" i="47"/>
  <c r="DR88" i="47"/>
  <c r="CL81" i="47"/>
  <c r="CX81" i="47" s="1"/>
  <c r="DN76" i="47"/>
  <c r="CX66" i="14"/>
  <c r="DC67" i="47"/>
  <c r="CA80" i="14"/>
  <c r="DK88" i="14" s="1"/>
  <c r="CY66" i="14"/>
  <c r="DD67" i="47"/>
  <c r="CH68" i="14"/>
  <c r="CQ68" i="14" s="1"/>
  <c r="DI76" i="14"/>
  <c r="DB68" i="14"/>
  <c r="DF69" i="47"/>
  <c r="BY69" i="14"/>
  <c r="BY70" i="47"/>
  <c r="CK70" i="47" s="1"/>
  <c r="CW70" i="47" s="1"/>
  <c r="AR75" i="6"/>
  <c r="AT75" i="6"/>
  <c r="AQ75" i="6"/>
  <c r="AS75" i="6"/>
  <c r="AU75" i="6"/>
  <c r="AO75" i="6"/>
  <c r="AN76" i="6" s="1"/>
  <c r="BT75" i="6"/>
  <c r="BZ72" i="6"/>
  <c r="BS73" i="6"/>
  <c r="BY72" i="6"/>
  <c r="BX72" i="6"/>
  <c r="BR73" i="6"/>
  <c r="BW72" i="6"/>
  <c r="BQ73" i="6"/>
  <c r="BP70" i="6"/>
  <c r="BV69" i="6"/>
  <c r="BL75" i="6"/>
  <c r="BM75" i="6"/>
  <c r="BJ75" i="6"/>
  <c r="BK75" i="6"/>
  <c r="BG75" i="6"/>
  <c r="BI75" i="6"/>
  <c r="CD64" i="14"/>
  <c r="CM64" i="14" s="1"/>
  <c r="CF66" i="14"/>
  <c r="CO66" i="14" s="1"/>
  <c r="CG66" i="14"/>
  <c r="CP66" i="14" s="1"/>
  <c r="DF74" i="14"/>
  <c r="DH74" i="14"/>
  <c r="DG74" i="14"/>
  <c r="BV67" i="14"/>
  <c r="CE67" i="14" s="1"/>
  <c r="CN67" i="14" s="1"/>
  <c r="Q73" i="6"/>
  <c r="BX67" i="14"/>
  <c r="DH75" i="14" s="1"/>
  <c r="AI73" i="6"/>
  <c r="BW67" i="14"/>
  <c r="Z73" i="6"/>
  <c r="BT80" i="14"/>
  <c r="CU79" i="14"/>
  <c r="DD87" i="14"/>
  <c r="AH73" i="6"/>
  <c r="P73" i="6"/>
  <c r="Y73" i="6"/>
  <c r="AL73" i="6"/>
  <c r="AF73" i="6"/>
  <c r="AE74" i="6" s="1"/>
  <c r="BX69" i="47" s="1"/>
  <c r="CJ69" i="47" s="1"/>
  <c r="CV69" i="47" s="1"/>
  <c r="AJ73" i="6"/>
  <c r="AK73" i="6"/>
  <c r="T73" i="6"/>
  <c r="AC73" i="6"/>
  <c r="R73" i="6"/>
  <c r="N73" i="6"/>
  <c r="M74" i="6" s="1"/>
  <c r="BV69" i="47" s="1"/>
  <c r="CH69" i="47" s="1"/>
  <c r="CT69" i="47" s="1"/>
  <c r="S73" i="6"/>
  <c r="C87" i="6"/>
  <c r="AG86" i="6"/>
  <c r="W73" i="6"/>
  <c r="V74" i="6" s="1"/>
  <c r="BW69" i="47" s="1"/>
  <c r="AB73" i="6"/>
  <c r="AA73" i="6"/>
  <c r="DK87" i="14" l="1"/>
  <c r="CJ80" i="14"/>
  <c r="CS80" i="14" s="1"/>
  <c r="BU73" i="6"/>
  <c r="CA72" i="6"/>
  <c r="CI69" i="14"/>
  <c r="CR69" i="14" s="1"/>
  <c r="DJ76" i="14"/>
  <c r="AW76" i="6"/>
  <c r="BZ69" i="14"/>
  <c r="BF87" i="6"/>
  <c r="BZ82" i="47" s="1"/>
  <c r="AP87" i="6"/>
  <c r="J71" i="6"/>
  <c r="BU65" i="14"/>
  <c r="DE73" i="14" s="1"/>
  <c r="CG67" i="47"/>
  <c r="CS67" i="47" s="1"/>
  <c r="H71" i="6"/>
  <c r="F71" i="6"/>
  <c r="E72" i="6" s="1"/>
  <c r="BU67" i="47" s="1"/>
  <c r="DM75" i="47" s="1"/>
  <c r="G71" i="6"/>
  <c r="DA65" i="47"/>
  <c r="K71" i="6"/>
  <c r="DA66" i="47" s="1"/>
  <c r="I71" i="6"/>
  <c r="BT76" i="6"/>
  <c r="CX67" i="14"/>
  <c r="DC68" i="47"/>
  <c r="CW67" i="14"/>
  <c r="DB68" i="47"/>
  <c r="CY67" i="14"/>
  <c r="DD68" i="47"/>
  <c r="BY70" i="14"/>
  <c r="BY71" i="47"/>
  <c r="CK71" i="47" s="1"/>
  <c r="CW71" i="47" s="1"/>
  <c r="AR76" i="6"/>
  <c r="AT76" i="6"/>
  <c r="AU76" i="6"/>
  <c r="AS76" i="6"/>
  <c r="AQ76" i="6"/>
  <c r="AO76" i="6"/>
  <c r="AN77" i="6" s="1"/>
  <c r="DO77" i="47"/>
  <c r="CI70" i="47"/>
  <c r="CU70" i="47" s="1"/>
  <c r="DN77" i="47"/>
  <c r="CZ69" i="14"/>
  <c r="DE70" i="47"/>
  <c r="DQ78" i="47"/>
  <c r="DR89" i="47"/>
  <c r="CL82" i="47"/>
  <c r="CX82" i="47" s="1"/>
  <c r="DP77" i="47"/>
  <c r="DB69" i="14"/>
  <c r="DF70" i="47"/>
  <c r="CH69" i="14"/>
  <c r="CQ69" i="14" s="1"/>
  <c r="DI77" i="14"/>
  <c r="BZ73" i="6"/>
  <c r="BS74" i="6"/>
  <c r="BY73" i="6"/>
  <c r="BR74" i="6"/>
  <c r="BX73" i="6"/>
  <c r="BW73" i="6"/>
  <c r="BQ74" i="6"/>
  <c r="BP71" i="6"/>
  <c r="BV70" i="6"/>
  <c r="BK76" i="6"/>
  <c r="BI76" i="6"/>
  <c r="BG76" i="6"/>
  <c r="BJ76" i="6"/>
  <c r="BM76" i="6"/>
  <c r="BL76" i="6"/>
  <c r="CD65" i="14"/>
  <c r="CM65" i="14" s="1"/>
  <c r="CF67" i="14"/>
  <c r="CO67" i="14" s="1"/>
  <c r="CG67" i="14"/>
  <c r="CP67" i="14" s="1"/>
  <c r="DF75" i="14"/>
  <c r="DG75" i="14"/>
  <c r="BV68" i="14"/>
  <c r="CE68" i="14" s="1"/>
  <c r="CN68" i="14" s="1"/>
  <c r="Q74" i="6"/>
  <c r="BX68" i="14"/>
  <c r="AI74" i="6"/>
  <c r="BW68" i="14"/>
  <c r="DG76" i="14" s="1"/>
  <c r="Z74" i="6"/>
  <c r="CU80" i="14"/>
  <c r="DD88" i="14"/>
  <c r="BT81" i="14"/>
  <c r="P74" i="6"/>
  <c r="AH74" i="6"/>
  <c r="Y74" i="6"/>
  <c r="AL74" i="6"/>
  <c r="AJ74" i="6"/>
  <c r="AK74" i="6"/>
  <c r="AF74" i="6"/>
  <c r="AE75" i="6" s="1"/>
  <c r="BX70" i="47" s="1"/>
  <c r="CJ70" i="47" s="1"/>
  <c r="CV70" i="47" s="1"/>
  <c r="T74" i="6"/>
  <c r="AC74" i="6"/>
  <c r="C88" i="6"/>
  <c r="AG87" i="6"/>
  <c r="S74" i="6"/>
  <c r="N74" i="6"/>
  <c r="M75" i="6" s="1"/>
  <c r="BV70" i="47" s="1"/>
  <c r="CH70" i="47" s="1"/>
  <c r="CT70" i="47" s="1"/>
  <c r="R74" i="6"/>
  <c r="W74" i="6"/>
  <c r="V75" i="6" s="1"/>
  <c r="BW70" i="47" s="1"/>
  <c r="AA74" i="6"/>
  <c r="AB74" i="6"/>
  <c r="CA81" i="14" l="1"/>
  <c r="CJ81" i="14" s="1"/>
  <c r="CS81" i="14" s="1"/>
  <c r="CI70" i="14"/>
  <c r="CR70" i="14" s="1"/>
  <c r="DJ77" i="14"/>
  <c r="AW77" i="6"/>
  <c r="BZ70" i="14"/>
  <c r="BU74" i="6"/>
  <c r="CA73" i="6"/>
  <c r="BT77" i="6"/>
  <c r="G72" i="6"/>
  <c r="K72" i="6"/>
  <c r="DA67" i="47" s="1"/>
  <c r="BF88" i="6"/>
  <c r="BZ83" i="47" s="1"/>
  <c r="AP88" i="6"/>
  <c r="J72" i="6"/>
  <c r="BU66" i="14"/>
  <c r="DE74" i="14" s="1"/>
  <c r="F72" i="6"/>
  <c r="E73" i="6" s="1"/>
  <c r="BU68" i="47" s="1"/>
  <c r="CG69" i="47" s="1"/>
  <c r="CS69" i="47" s="1"/>
  <c r="I72" i="6"/>
  <c r="H72" i="6"/>
  <c r="CV65" i="14"/>
  <c r="CG68" i="47"/>
  <c r="CS68" i="47" s="1"/>
  <c r="DN78" i="47"/>
  <c r="CX68" i="14"/>
  <c r="DC69" i="47"/>
  <c r="DB70" i="14"/>
  <c r="DF71" i="47"/>
  <c r="BY71" i="14"/>
  <c r="BY72" i="47"/>
  <c r="AR77" i="6"/>
  <c r="AT77" i="6"/>
  <c r="AQ77" i="6"/>
  <c r="AS77" i="6"/>
  <c r="AU77" i="6"/>
  <c r="AO77" i="6"/>
  <c r="AN78" i="6" s="1"/>
  <c r="CW68" i="14"/>
  <c r="DB69" i="47"/>
  <c r="CY68" i="14"/>
  <c r="DD69" i="47"/>
  <c r="DO78" i="47"/>
  <c r="CI71" i="47"/>
  <c r="CU71" i="47" s="1"/>
  <c r="DP78" i="47"/>
  <c r="DQ79" i="47"/>
  <c r="CK72" i="47"/>
  <c r="CW72" i="47" s="1"/>
  <c r="CL83" i="47"/>
  <c r="CX83" i="47" s="1"/>
  <c r="DR90" i="47"/>
  <c r="CZ70" i="14"/>
  <c r="DE71" i="47"/>
  <c r="CH70" i="14"/>
  <c r="CQ70" i="14" s="1"/>
  <c r="DI78" i="14"/>
  <c r="BZ74" i="6"/>
  <c r="BS75" i="6"/>
  <c r="BY74" i="6"/>
  <c r="BR75" i="6"/>
  <c r="BX74" i="6"/>
  <c r="BW74" i="6"/>
  <c r="BQ75" i="6"/>
  <c r="BV71" i="6"/>
  <c r="BP72" i="6"/>
  <c r="BL77" i="6"/>
  <c r="BK77" i="6"/>
  <c r="BI77" i="6"/>
  <c r="BM77" i="6"/>
  <c r="BJ77" i="6"/>
  <c r="BG77" i="6"/>
  <c r="CD66" i="14"/>
  <c r="CM66" i="14" s="1"/>
  <c r="CF68" i="14"/>
  <c r="CO68" i="14" s="1"/>
  <c r="DH76" i="14"/>
  <c r="CG68" i="14"/>
  <c r="CP68" i="14" s="1"/>
  <c r="DF76" i="14"/>
  <c r="BV69" i="14"/>
  <c r="CE69" i="14" s="1"/>
  <c r="CN69" i="14" s="1"/>
  <c r="Q75" i="6"/>
  <c r="BX69" i="14"/>
  <c r="AI75" i="6"/>
  <c r="BW69" i="14"/>
  <c r="DG77" i="14" s="1"/>
  <c r="Z75" i="6"/>
  <c r="BT82" i="14"/>
  <c r="CU81" i="14"/>
  <c r="DD89" i="14"/>
  <c r="AH75" i="6"/>
  <c r="P75" i="6"/>
  <c r="Y75" i="6"/>
  <c r="AL75" i="6"/>
  <c r="AJ75" i="6"/>
  <c r="AF75" i="6"/>
  <c r="AE76" i="6" s="1"/>
  <c r="BX71" i="47" s="1"/>
  <c r="CJ71" i="47" s="1"/>
  <c r="CV71" i="47" s="1"/>
  <c r="AK75" i="6"/>
  <c r="T75" i="6"/>
  <c r="AC75" i="6"/>
  <c r="N75" i="6"/>
  <c r="M76" i="6" s="1"/>
  <c r="BV71" i="47" s="1"/>
  <c r="CH71" i="47" s="1"/>
  <c r="CT71" i="47" s="1"/>
  <c r="S75" i="6"/>
  <c r="R75" i="6"/>
  <c r="C89" i="6"/>
  <c r="AG88" i="6"/>
  <c r="AB75" i="6"/>
  <c r="AA75" i="6"/>
  <c r="W75" i="6"/>
  <c r="V76" i="6" s="1"/>
  <c r="BW71" i="47" s="1"/>
  <c r="DK89" i="14" l="1"/>
  <c r="AW78" i="6"/>
  <c r="BZ71" i="14"/>
  <c r="CI71" i="14"/>
  <c r="CR71" i="14" s="1"/>
  <c r="DJ78" i="14"/>
  <c r="BU75" i="6"/>
  <c r="CA74" i="6"/>
  <c r="BT78" i="6"/>
  <c r="CV66" i="14"/>
  <c r="CA82" i="14"/>
  <c r="CJ82" i="14" s="1"/>
  <c r="CS82" i="14" s="1"/>
  <c r="BF89" i="6"/>
  <c r="CA83" i="14" s="1"/>
  <c r="AP89" i="6"/>
  <c r="DM76" i="47"/>
  <c r="BU67" i="14"/>
  <c r="CD67" i="14" s="1"/>
  <c r="CM67" i="14" s="1"/>
  <c r="DO79" i="47"/>
  <c r="CI72" i="47"/>
  <c r="CU72" i="47" s="1"/>
  <c r="CY69" i="14"/>
  <c r="DD70" i="47"/>
  <c r="BY72" i="14"/>
  <c r="BY73" i="47"/>
  <c r="AR78" i="6"/>
  <c r="AT78" i="6"/>
  <c r="AQ78" i="6"/>
  <c r="AS78" i="6"/>
  <c r="AU78" i="6"/>
  <c r="AO78" i="6"/>
  <c r="AN79" i="6" s="1"/>
  <c r="DP79" i="47"/>
  <c r="DB71" i="14"/>
  <c r="DF72" i="47"/>
  <c r="CZ71" i="14"/>
  <c r="DE72" i="47"/>
  <c r="CX69" i="14"/>
  <c r="DC70" i="47"/>
  <c r="CK73" i="47"/>
  <c r="CW73" i="47" s="1"/>
  <c r="DQ80" i="47"/>
  <c r="DN79" i="47"/>
  <c r="CW69" i="14"/>
  <c r="DB70" i="47"/>
  <c r="CL84" i="47"/>
  <c r="CX84" i="47" s="1"/>
  <c r="DR91" i="47"/>
  <c r="CH71" i="14"/>
  <c r="CQ71" i="14" s="1"/>
  <c r="DI79" i="14"/>
  <c r="BZ75" i="6"/>
  <c r="BS76" i="6"/>
  <c r="BY75" i="6"/>
  <c r="BX75" i="6"/>
  <c r="BR76" i="6"/>
  <c r="BW75" i="6"/>
  <c r="BQ76" i="6"/>
  <c r="BV72" i="6"/>
  <c r="BP73" i="6"/>
  <c r="BM78" i="6"/>
  <c r="BJ78" i="6"/>
  <c r="BL78" i="6"/>
  <c r="BI78" i="6"/>
  <c r="BG78" i="6"/>
  <c r="BK78" i="6"/>
  <c r="CF69" i="14"/>
  <c r="CO69" i="14" s="1"/>
  <c r="DH77" i="14"/>
  <c r="CG69" i="14"/>
  <c r="CP69" i="14" s="1"/>
  <c r="DF77" i="14"/>
  <c r="BV70" i="14"/>
  <c r="CE70" i="14" s="1"/>
  <c r="CN70" i="14" s="1"/>
  <c r="Q76" i="6"/>
  <c r="BX70" i="14"/>
  <c r="AI76" i="6"/>
  <c r="BW70" i="14"/>
  <c r="DG78" i="14" s="1"/>
  <c r="Z76" i="6"/>
  <c r="BT83" i="14"/>
  <c r="CU82" i="14"/>
  <c r="DD90" i="14"/>
  <c r="P76" i="6"/>
  <c r="AH76" i="6"/>
  <c r="G73" i="6"/>
  <c r="Y76" i="6"/>
  <c r="AL76" i="6"/>
  <c r="I73" i="6"/>
  <c r="K73" i="6"/>
  <c r="DA68" i="47" s="1"/>
  <c r="F73" i="6"/>
  <c r="E74" i="6" s="1"/>
  <c r="BU69" i="47" s="1"/>
  <c r="H73" i="6"/>
  <c r="J73" i="6"/>
  <c r="AJ76" i="6"/>
  <c r="AK76" i="6"/>
  <c r="AF76" i="6"/>
  <c r="AE77" i="6" s="1"/>
  <c r="BX72" i="47" s="1"/>
  <c r="CJ72" i="47" s="1"/>
  <c r="CV72" i="47" s="1"/>
  <c r="AC76" i="6"/>
  <c r="T76" i="6"/>
  <c r="C90" i="6"/>
  <c r="AG89" i="6"/>
  <c r="R76" i="6"/>
  <c r="N76" i="6"/>
  <c r="M77" i="6" s="1"/>
  <c r="BV72" i="47" s="1"/>
  <c r="CH72" i="47" s="1"/>
  <c r="CT72" i="47" s="1"/>
  <c r="S76" i="6"/>
  <c r="AB76" i="6"/>
  <c r="AA76" i="6"/>
  <c r="W76" i="6"/>
  <c r="V77" i="6" s="1"/>
  <c r="BW72" i="47" s="1"/>
  <c r="BT79" i="6" l="1"/>
  <c r="CI72" i="14"/>
  <c r="CR72" i="14" s="1"/>
  <c r="DJ79" i="14"/>
  <c r="BU76" i="6"/>
  <c r="CA75" i="6"/>
  <c r="AW79" i="6"/>
  <c r="BZ72" i="14"/>
  <c r="BZ84" i="47"/>
  <c r="DR92" i="47" s="1"/>
  <c r="DK90" i="14"/>
  <c r="CJ83" i="14"/>
  <c r="CS83" i="14" s="1"/>
  <c r="DE75" i="14"/>
  <c r="BF90" i="6"/>
  <c r="CA84" i="14" s="1"/>
  <c r="AP90" i="6"/>
  <c r="DK91" i="14"/>
  <c r="DM77" i="47"/>
  <c r="CG70" i="47"/>
  <c r="CS70" i="47" s="1"/>
  <c r="DB72" i="14"/>
  <c r="DF73" i="47"/>
  <c r="BY73" i="14"/>
  <c r="BY74" i="47"/>
  <c r="AR79" i="6"/>
  <c r="AT79" i="6"/>
  <c r="AQ79" i="6"/>
  <c r="AS79" i="6"/>
  <c r="AU79" i="6"/>
  <c r="AO79" i="6"/>
  <c r="AN80" i="6" s="1"/>
  <c r="DN80" i="47"/>
  <c r="CZ72" i="14"/>
  <c r="DE73" i="47"/>
  <c r="DO80" i="47"/>
  <c r="CI73" i="47"/>
  <c r="CU73" i="47" s="1"/>
  <c r="CW70" i="14"/>
  <c r="DB71" i="47"/>
  <c r="CX70" i="14"/>
  <c r="DC71" i="47"/>
  <c r="CK74" i="47"/>
  <c r="CW74" i="47" s="1"/>
  <c r="DQ81" i="47"/>
  <c r="DP80" i="47"/>
  <c r="CY70" i="14"/>
  <c r="DD71" i="47"/>
  <c r="CH72" i="14"/>
  <c r="CQ72" i="14" s="1"/>
  <c r="DI80" i="14"/>
  <c r="BZ76" i="6"/>
  <c r="BS77" i="6"/>
  <c r="BY76" i="6"/>
  <c r="BR77" i="6"/>
  <c r="BX76" i="6"/>
  <c r="BW76" i="6"/>
  <c r="BQ77" i="6"/>
  <c r="BP74" i="6"/>
  <c r="BV73" i="6"/>
  <c r="BI79" i="6"/>
  <c r="BL79" i="6"/>
  <c r="BJ79" i="6"/>
  <c r="BM79" i="6"/>
  <c r="BK79" i="6"/>
  <c r="BG79" i="6"/>
  <c r="CV67" i="14"/>
  <c r="CF70" i="14"/>
  <c r="CO70" i="14" s="1"/>
  <c r="DH78" i="14"/>
  <c r="CG70" i="14"/>
  <c r="CP70" i="14" s="1"/>
  <c r="DF78" i="14"/>
  <c r="BV71" i="14"/>
  <c r="CE71" i="14" s="1"/>
  <c r="CN71" i="14" s="1"/>
  <c r="Q77" i="6"/>
  <c r="BX71" i="14"/>
  <c r="AI77" i="6"/>
  <c r="BW71" i="14"/>
  <c r="CF71" i="14" s="1"/>
  <c r="CO71" i="14" s="1"/>
  <c r="Z77" i="6"/>
  <c r="BT84" i="14"/>
  <c r="CU83" i="14"/>
  <c r="DD91" i="14"/>
  <c r="AH77" i="6"/>
  <c r="P77" i="6"/>
  <c r="Y77" i="6"/>
  <c r="AL77" i="6"/>
  <c r="BU68" i="14"/>
  <c r="AF77" i="6"/>
  <c r="AE78" i="6" s="1"/>
  <c r="BX73" i="47" s="1"/>
  <c r="CJ73" i="47" s="1"/>
  <c r="CV73" i="47" s="1"/>
  <c r="AJ77" i="6"/>
  <c r="AK77" i="6"/>
  <c r="AC77" i="6"/>
  <c r="T77" i="6"/>
  <c r="N77" i="6"/>
  <c r="M78" i="6" s="1"/>
  <c r="BV73" i="47" s="1"/>
  <c r="CH73" i="47" s="1"/>
  <c r="CT73" i="47" s="1"/>
  <c r="R77" i="6"/>
  <c r="S77" i="6"/>
  <c r="C91" i="6"/>
  <c r="AG90" i="6"/>
  <c r="AB77" i="6"/>
  <c r="W77" i="6"/>
  <c r="V78" i="6" s="1"/>
  <c r="BW73" i="47" s="1"/>
  <c r="AA77" i="6"/>
  <c r="CL85" i="47" l="1"/>
  <c r="CX85" i="47" s="1"/>
  <c r="BT80" i="6"/>
  <c r="BU77" i="6"/>
  <c r="CA76" i="6"/>
  <c r="CI73" i="14"/>
  <c r="CR73" i="14" s="1"/>
  <c r="DJ80" i="14"/>
  <c r="AW80" i="6"/>
  <c r="BZ73" i="14"/>
  <c r="BZ85" i="47"/>
  <c r="DR93" i="47" s="1"/>
  <c r="CJ84" i="14"/>
  <c r="CS84" i="14" s="1"/>
  <c r="CJ85" i="14"/>
  <c r="CS85" i="14" s="1"/>
  <c r="DK92" i="14"/>
  <c r="BF91" i="6"/>
  <c r="CA85" i="14" s="1"/>
  <c r="AP91" i="6"/>
  <c r="DN81" i="47"/>
  <c r="CZ73" i="14"/>
  <c r="DE74" i="47"/>
  <c r="CW71" i="14"/>
  <c r="DB72" i="47"/>
  <c r="DP81" i="47"/>
  <c r="DQ82" i="47"/>
  <c r="CH73" i="14"/>
  <c r="CQ73" i="14" s="1"/>
  <c r="DI81" i="14"/>
  <c r="DO81" i="47"/>
  <c r="CI74" i="47"/>
  <c r="CU74" i="47" s="1"/>
  <c r="CX71" i="14"/>
  <c r="DC72" i="47"/>
  <c r="CY71" i="14"/>
  <c r="DD72" i="47"/>
  <c r="DB73" i="14"/>
  <c r="DF74" i="47"/>
  <c r="BY74" i="14"/>
  <c r="BY75" i="47"/>
  <c r="CK75" i="47" s="1"/>
  <c r="CW75" i="47" s="1"/>
  <c r="AR80" i="6"/>
  <c r="AT80" i="6"/>
  <c r="AU80" i="6"/>
  <c r="AS80" i="6"/>
  <c r="AQ80" i="6"/>
  <c r="AO80" i="6"/>
  <c r="AN81" i="6" s="1"/>
  <c r="BZ77" i="6"/>
  <c r="BS78" i="6"/>
  <c r="BY77" i="6"/>
  <c r="BR78" i="6"/>
  <c r="BX77" i="6"/>
  <c r="BW77" i="6"/>
  <c r="BQ78" i="6"/>
  <c r="BV74" i="6"/>
  <c r="BM80" i="6"/>
  <c r="BK80" i="6"/>
  <c r="BL80" i="6"/>
  <c r="BI80" i="6"/>
  <c r="BG80" i="6"/>
  <c r="BJ80" i="6"/>
  <c r="CD68" i="14"/>
  <c r="CM68" i="14" s="1"/>
  <c r="DF79" i="14"/>
  <c r="CG71" i="14"/>
  <c r="CP71" i="14" s="1"/>
  <c r="DH79" i="14"/>
  <c r="DG79" i="14"/>
  <c r="BV72" i="14"/>
  <c r="CE72" i="14" s="1"/>
  <c r="CN72" i="14" s="1"/>
  <c r="Q78" i="6"/>
  <c r="BX72" i="14"/>
  <c r="DH80" i="14" s="1"/>
  <c r="AI78" i="6"/>
  <c r="BW72" i="14"/>
  <c r="DG80" i="14" s="1"/>
  <c r="Z78" i="6"/>
  <c r="DE76" i="14"/>
  <c r="CU84" i="14"/>
  <c r="DD92" i="14"/>
  <c r="BT85" i="14"/>
  <c r="G74" i="6"/>
  <c r="AH78" i="6"/>
  <c r="P78" i="6"/>
  <c r="Y78" i="6"/>
  <c r="AL78" i="6"/>
  <c r="K74" i="6"/>
  <c r="F74" i="6"/>
  <c r="E75" i="6" s="1"/>
  <c r="J74" i="6"/>
  <c r="H74" i="6"/>
  <c r="I74" i="6"/>
  <c r="AJ78" i="6"/>
  <c r="AF78" i="6"/>
  <c r="AE79" i="6" s="1"/>
  <c r="BX74" i="47" s="1"/>
  <c r="CJ74" i="47" s="1"/>
  <c r="CV74" i="47" s="1"/>
  <c r="AK78" i="6"/>
  <c r="AC78" i="6"/>
  <c r="T78" i="6"/>
  <c r="C92" i="6"/>
  <c r="AG91" i="6"/>
  <c r="N78" i="6"/>
  <c r="M79" i="6" s="1"/>
  <c r="BV74" i="47" s="1"/>
  <c r="CH74" i="47" s="1"/>
  <c r="CT74" i="47" s="1"/>
  <c r="S78" i="6"/>
  <c r="R78" i="6"/>
  <c r="AB78" i="6"/>
  <c r="AA78" i="6"/>
  <c r="W78" i="6"/>
  <c r="V79" i="6" s="1"/>
  <c r="BW74" i="47" s="1"/>
  <c r="CL86" i="47" l="1"/>
  <c r="CX86" i="47" s="1"/>
  <c r="CI74" i="14"/>
  <c r="CR74" i="14" s="1"/>
  <c r="DJ81" i="14"/>
  <c r="AW81" i="6"/>
  <c r="BZ74" i="14"/>
  <c r="BU78" i="6"/>
  <c r="CA77" i="6"/>
  <c r="DK93" i="14"/>
  <c r="CJ86" i="14"/>
  <c r="CS86" i="14" s="1"/>
  <c r="BZ86" i="47"/>
  <c r="DR94" i="47" s="1"/>
  <c r="BF92" i="6"/>
  <c r="BZ87" i="47" s="1"/>
  <c r="AP92" i="6"/>
  <c r="DN82" i="47"/>
  <c r="CV68" i="14"/>
  <c r="DA69" i="47"/>
  <c r="CZ74" i="14"/>
  <c r="DE75" i="47"/>
  <c r="CH74" i="14"/>
  <c r="CQ74" i="14" s="1"/>
  <c r="DI82" i="14"/>
  <c r="CY72" i="14"/>
  <c r="DD73" i="47"/>
  <c r="BY75" i="14"/>
  <c r="BY76" i="47"/>
  <c r="CK76" i="47" s="1"/>
  <c r="CW76" i="47" s="1"/>
  <c r="AR81" i="6"/>
  <c r="AT81" i="6"/>
  <c r="AQ81" i="6"/>
  <c r="AS81" i="6"/>
  <c r="AU81" i="6"/>
  <c r="AO81" i="6"/>
  <c r="AN82" i="6" s="1"/>
  <c r="CL87" i="47"/>
  <c r="CX87" i="47" s="1"/>
  <c r="BT81" i="6"/>
  <c r="CX72" i="14"/>
  <c r="DC73" i="47"/>
  <c r="DP82" i="47"/>
  <c r="DB74" i="14"/>
  <c r="DF75" i="47"/>
  <c r="DO82" i="47"/>
  <c r="CI75" i="47"/>
  <c r="CU75" i="47" s="1"/>
  <c r="CW72" i="14"/>
  <c r="DB73" i="47"/>
  <c r="BP75" i="6"/>
  <c r="BV75" i="6" s="1"/>
  <c r="BU70" i="47"/>
  <c r="DQ83" i="47"/>
  <c r="BZ78" i="6"/>
  <c r="BS79" i="6"/>
  <c r="BY78" i="6"/>
  <c r="BR79" i="6"/>
  <c r="BX78" i="6"/>
  <c r="BW78" i="6"/>
  <c r="BQ79" i="6"/>
  <c r="BG81" i="6"/>
  <c r="BL81" i="6"/>
  <c r="BI81" i="6"/>
  <c r="BJ81" i="6"/>
  <c r="BM81" i="6"/>
  <c r="BK81" i="6"/>
  <c r="CF72" i="14"/>
  <c r="CO72" i="14" s="1"/>
  <c r="CG72" i="14"/>
  <c r="CP72" i="14" s="1"/>
  <c r="DF80" i="14"/>
  <c r="BV73" i="14"/>
  <c r="CE73" i="14" s="1"/>
  <c r="CN73" i="14" s="1"/>
  <c r="Q79" i="6"/>
  <c r="BX73" i="14"/>
  <c r="AI79" i="6"/>
  <c r="BW73" i="14"/>
  <c r="DG81" i="14" s="1"/>
  <c r="Z79" i="6"/>
  <c r="DD93" i="14"/>
  <c r="CU85" i="14"/>
  <c r="BT86" i="14"/>
  <c r="AH79" i="6"/>
  <c r="P79" i="6"/>
  <c r="Y79" i="6"/>
  <c r="AL79" i="6"/>
  <c r="BU69" i="14"/>
  <c r="AF79" i="6"/>
  <c r="AE80" i="6" s="1"/>
  <c r="BX75" i="47" s="1"/>
  <c r="CJ75" i="47" s="1"/>
  <c r="CV75" i="47" s="1"/>
  <c r="AK79" i="6"/>
  <c r="AJ79" i="6"/>
  <c r="T79" i="6"/>
  <c r="AC79" i="6"/>
  <c r="R79" i="6"/>
  <c r="S79" i="6"/>
  <c r="N79" i="6"/>
  <c r="M80" i="6" s="1"/>
  <c r="BV75" i="47" s="1"/>
  <c r="CH75" i="47" s="1"/>
  <c r="CT75" i="47" s="1"/>
  <c r="C93" i="6"/>
  <c r="AG92" i="6"/>
  <c r="W79" i="6"/>
  <c r="V80" i="6" s="1"/>
  <c r="BW75" i="47" s="1"/>
  <c r="AB79" i="6"/>
  <c r="AA79" i="6"/>
  <c r="CI75" i="14" l="1"/>
  <c r="CR75" i="14" s="1"/>
  <c r="DJ82" i="14"/>
  <c r="BZ75" i="14"/>
  <c r="AW82" i="6"/>
  <c r="BU79" i="6"/>
  <c r="CA78" i="6"/>
  <c r="BF93" i="6"/>
  <c r="BZ88" i="47" s="1"/>
  <c r="AP93" i="6"/>
  <c r="CA86" i="14"/>
  <c r="DK94" i="14" s="1"/>
  <c r="BT82" i="6"/>
  <c r="DN83" i="47"/>
  <c r="CL88" i="47"/>
  <c r="CX88" i="47" s="1"/>
  <c r="DR95" i="47"/>
  <c r="CH75" i="14"/>
  <c r="CQ75" i="14" s="1"/>
  <c r="DI83" i="14"/>
  <c r="CX73" i="14"/>
  <c r="DC74" i="47"/>
  <c r="BY76" i="14"/>
  <c r="BY77" i="47"/>
  <c r="CK77" i="47" s="1"/>
  <c r="CW77" i="47" s="1"/>
  <c r="AR82" i="6"/>
  <c r="AT82" i="6"/>
  <c r="AQ82" i="6"/>
  <c r="AS82" i="6"/>
  <c r="AU82" i="6"/>
  <c r="AO82" i="6"/>
  <c r="AN83" i="6" s="1"/>
  <c r="DP83" i="47"/>
  <c r="DQ84" i="47"/>
  <c r="CW73" i="14"/>
  <c r="DB74" i="47"/>
  <c r="DO83" i="47"/>
  <c r="CI76" i="47"/>
  <c r="CU76" i="47" s="1"/>
  <c r="CY73" i="14"/>
  <c r="DD74" i="47"/>
  <c r="DB75" i="14"/>
  <c r="DF76" i="47"/>
  <c r="DM78" i="47"/>
  <c r="CG71" i="47"/>
  <c r="CS71" i="47" s="1"/>
  <c r="CZ75" i="14"/>
  <c r="DE76" i="47"/>
  <c r="BZ79" i="6"/>
  <c r="BS80" i="6"/>
  <c r="BY79" i="6"/>
  <c r="BX79" i="6"/>
  <c r="BR80" i="6"/>
  <c r="BW79" i="6"/>
  <c r="BQ80" i="6"/>
  <c r="BK82" i="6"/>
  <c r="BI82" i="6"/>
  <c r="BG82" i="6"/>
  <c r="BJ82" i="6"/>
  <c r="BM82" i="6"/>
  <c r="BL82" i="6"/>
  <c r="CD69" i="14"/>
  <c r="CM69" i="14" s="1"/>
  <c r="CF73" i="14"/>
  <c r="CO73" i="14" s="1"/>
  <c r="DH81" i="14"/>
  <c r="CG73" i="14"/>
  <c r="CP73" i="14" s="1"/>
  <c r="DF81" i="14"/>
  <c r="BV74" i="14"/>
  <c r="CE74" i="14" s="1"/>
  <c r="CN74" i="14" s="1"/>
  <c r="Q80" i="6"/>
  <c r="BX74" i="14"/>
  <c r="AI80" i="6"/>
  <c r="BW74" i="14"/>
  <c r="DG82" i="14" s="1"/>
  <c r="Z80" i="6"/>
  <c r="DE77" i="14"/>
  <c r="DD94" i="14"/>
  <c r="BT87" i="14"/>
  <c r="CU86" i="14"/>
  <c r="AH80" i="6"/>
  <c r="G75" i="6"/>
  <c r="P80" i="6"/>
  <c r="Y80" i="6"/>
  <c r="AL80" i="6"/>
  <c r="J75" i="6"/>
  <c r="F75" i="6"/>
  <c r="E76" i="6" s="1"/>
  <c r="H75" i="6"/>
  <c r="I75" i="6"/>
  <c r="K75" i="6"/>
  <c r="AK80" i="6"/>
  <c r="AJ80" i="6"/>
  <c r="AF80" i="6"/>
  <c r="AE81" i="6" s="1"/>
  <c r="BX76" i="47" s="1"/>
  <c r="CJ76" i="47" s="1"/>
  <c r="CV76" i="47" s="1"/>
  <c r="T80" i="6"/>
  <c r="AC80" i="6"/>
  <c r="N80" i="6"/>
  <c r="M81" i="6" s="1"/>
  <c r="BV76" i="47" s="1"/>
  <c r="CH76" i="47" s="1"/>
  <c r="CT76" i="47" s="1"/>
  <c r="R80" i="6"/>
  <c r="S80" i="6"/>
  <c r="C94" i="6"/>
  <c r="AG93" i="6"/>
  <c r="AB80" i="6"/>
  <c r="AA80" i="6"/>
  <c r="W80" i="6"/>
  <c r="V81" i="6" s="1"/>
  <c r="BW76" i="47" s="1"/>
  <c r="CA87" i="14" l="1"/>
  <c r="DK95" i="14" s="1"/>
  <c r="CI76" i="14"/>
  <c r="CR76" i="14" s="1"/>
  <c r="DJ83" i="14"/>
  <c r="AW83" i="6"/>
  <c r="BZ76" i="14"/>
  <c r="CA79" i="6"/>
  <c r="BU80" i="6"/>
  <c r="CJ87" i="14"/>
  <c r="CS87" i="14" s="1"/>
  <c r="BF94" i="6"/>
  <c r="CA88" i="14" s="1"/>
  <c r="CJ88" i="14" s="1"/>
  <c r="CS88" i="14" s="1"/>
  <c r="AP94" i="6"/>
  <c r="CH76" i="14"/>
  <c r="CQ76" i="14" s="1"/>
  <c r="DI84" i="14"/>
  <c r="CI77" i="47"/>
  <c r="CU77" i="47" s="1"/>
  <c r="DO84" i="47"/>
  <c r="BP76" i="6"/>
  <c r="BV76" i="6" s="1"/>
  <c r="BU71" i="47"/>
  <c r="BY77" i="14"/>
  <c r="BY78" i="47"/>
  <c r="CK78" i="47" s="1"/>
  <c r="CW78" i="47" s="1"/>
  <c r="AR83" i="6"/>
  <c r="AT83" i="6"/>
  <c r="AQ83" i="6"/>
  <c r="AS83" i="6"/>
  <c r="AU83" i="6"/>
  <c r="AO83" i="6"/>
  <c r="AN84" i="6" s="1"/>
  <c r="BT83" i="6"/>
  <c r="CX74" i="14"/>
  <c r="DC75" i="47"/>
  <c r="CW74" i="14"/>
  <c r="DB75" i="47"/>
  <c r="CV69" i="14"/>
  <c r="DA70" i="47"/>
  <c r="CZ76" i="14"/>
  <c r="DE77" i="47"/>
  <c r="DR96" i="47"/>
  <c r="CL89" i="47"/>
  <c r="CX89" i="47" s="1"/>
  <c r="DN84" i="47"/>
  <c r="DB76" i="14"/>
  <c r="DF77" i="47"/>
  <c r="DP84" i="47"/>
  <c r="CY74" i="14"/>
  <c r="DD75" i="47"/>
  <c r="DQ85" i="47"/>
  <c r="BZ80" i="6"/>
  <c r="BS81" i="6"/>
  <c r="BY80" i="6"/>
  <c r="BR81" i="6"/>
  <c r="BX80" i="6"/>
  <c r="BW80" i="6"/>
  <c r="BQ81" i="6"/>
  <c r="BL83" i="6"/>
  <c r="BM83" i="6"/>
  <c r="BI83" i="6"/>
  <c r="BK83" i="6"/>
  <c r="BG83" i="6"/>
  <c r="BJ83" i="6"/>
  <c r="CF74" i="14"/>
  <c r="CO74" i="14" s="1"/>
  <c r="DH82" i="14"/>
  <c r="CG74" i="14"/>
  <c r="CP74" i="14" s="1"/>
  <c r="DF82" i="14"/>
  <c r="BV75" i="14"/>
  <c r="CE75" i="14" s="1"/>
  <c r="CN75" i="14" s="1"/>
  <c r="Q81" i="6"/>
  <c r="BX75" i="14"/>
  <c r="CG75" i="14" s="1"/>
  <c r="CP75" i="14" s="1"/>
  <c r="AI81" i="6"/>
  <c r="BW75" i="14"/>
  <c r="DG83" i="14" s="1"/>
  <c r="Z81" i="6"/>
  <c r="BT88" i="14"/>
  <c r="CU87" i="14"/>
  <c r="DD95" i="14"/>
  <c r="P81" i="6"/>
  <c r="AH81" i="6"/>
  <c r="Y81" i="6"/>
  <c r="BU70" i="14"/>
  <c r="AL81" i="6"/>
  <c r="AJ81" i="6"/>
  <c r="AF81" i="6"/>
  <c r="AE82" i="6" s="1"/>
  <c r="BX77" i="47" s="1"/>
  <c r="CJ77" i="47" s="1"/>
  <c r="CV77" i="47" s="1"/>
  <c r="AK81" i="6"/>
  <c r="T81" i="6"/>
  <c r="AC81" i="6"/>
  <c r="C95" i="6"/>
  <c r="AG94" i="6"/>
  <c r="N81" i="6"/>
  <c r="M82" i="6" s="1"/>
  <c r="BV77" i="47" s="1"/>
  <c r="CH77" i="47" s="1"/>
  <c r="CT77" i="47" s="1"/>
  <c r="S81" i="6"/>
  <c r="R81" i="6"/>
  <c r="AA81" i="6"/>
  <c r="W81" i="6"/>
  <c r="V82" i="6" s="1"/>
  <c r="BW77" i="47" s="1"/>
  <c r="AB81" i="6"/>
  <c r="CI77" i="14" l="1"/>
  <c r="CR77" i="14" s="1"/>
  <c r="DJ84" i="14"/>
  <c r="AW84" i="6"/>
  <c r="BZ77" i="14"/>
  <c r="BU81" i="6"/>
  <c r="CA80" i="6"/>
  <c r="BZ89" i="47"/>
  <c r="DR97" i="47" s="1"/>
  <c r="BF95" i="6"/>
  <c r="BZ90" i="47" s="1"/>
  <c r="AP95" i="6"/>
  <c r="DK96" i="14"/>
  <c r="DN85" i="47"/>
  <c r="CY75" i="14"/>
  <c r="DD76" i="47"/>
  <c r="DQ86" i="47"/>
  <c r="CK79" i="47"/>
  <c r="CW79" i="47" s="1"/>
  <c r="CH77" i="14"/>
  <c r="CQ77" i="14" s="1"/>
  <c r="DI85" i="14"/>
  <c r="DB77" i="14"/>
  <c r="DF78" i="47"/>
  <c r="BY78" i="14"/>
  <c r="BY79" i="47"/>
  <c r="AR84" i="6"/>
  <c r="AT84" i="6"/>
  <c r="AU84" i="6"/>
  <c r="AS84" i="6"/>
  <c r="AQ84" i="6"/>
  <c r="AO84" i="6"/>
  <c r="AN85" i="6" s="1"/>
  <c r="DM79" i="47"/>
  <c r="CG72" i="47"/>
  <c r="CS72" i="47" s="1"/>
  <c r="DO85" i="47"/>
  <c r="CI78" i="47"/>
  <c r="CU78" i="47" s="1"/>
  <c r="CW75" i="14"/>
  <c r="DB76" i="47"/>
  <c r="DP85" i="47"/>
  <c r="CX75" i="14"/>
  <c r="DC76" i="47"/>
  <c r="BT84" i="6"/>
  <c r="CZ77" i="14"/>
  <c r="DE78" i="47"/>
  <c r="BZ81" i="6"/>
  <c r="BS82" i="6"/>
  <c r="BY81" i="6"/>
  <c r="BR82" i="6"/>
  <c r="BX81" i="6"/>
  <c r="BW81" i="6"/>
  <c r="BQ82" i="6"/>
  <c r="BG84" i="6"/>
  <c r="BI84" i="6"/>
  <c r="BM84" i="6"/>
  <c r="BJ84" i="6"/>
  <c r="BK84" i="6"/>
  <c r="BL84" i="6"/>
  <c r="CD70" i="14"/>
  <c r="CM70" i="14" s="1"/>
  <c r="CF75" i="14"/>
  <c r="CO75" i="14" s="1"/>
  <c r="DF83" i="14"/>
  <c r="DH83" i="14"/>
  <c r="BV76" i="14"/>
  <c r="CE76" i="14" s="1"/>
  <c r="CN76" i="14" s="1"/>
  <c r="Q82" i="6"/>
  <c r="BX76" i="14"/>
  <c r="DH84" i="14" s="1"/>
  <c r="AI82" i="6"/>
  <c r="BW76" i="14"/>
  <c r="DG84" i="14" s="1"/>
  <c r="Z82" i="6"/>
  <c r="DE78" i="14"/>
  <c r="CU88" i="14"/>
  <c r="DD96" i="14"/>
  <c r="BT89" i="14"/>
  <c r="AH82" i="6"/>
  <c r="P82" i="6"/>
  <c r="G76" i="6"/>
  <c r="Y82" i="6"/>
  <c r="H76" i="6"/>
  <c r="F76" i="6"/>
  <c r="K76" i="6"/>
  <c r="DA71" i="47" s="1"/>
  <c r="I76" i="6"/>
  <c r="J76" i="6"/>
  <c r="AL82" i="6"/>
  <c r="AK82" i="6"/>
  <c r="AJ82" i="6"/>
  <c r="AF82" i="6"/>
  <c r="AE83" i="6" s="1"/>
  <c r="BX78" i="47" s="1"/>
  <c r="CJ78" i="47" s="1"/>
  <c r="CV78" i="47" s="1"/>
  <c r="T82" i="6"/>
  <c r="AC82" i="6"/>
  <c r="C96" i="6"/>
  <c r="AP96" i="6" s="1"/>
  <c r="AG95" i="6"/>
  <c r="N82" i="6"/>
  <c r="S82" i="6"/>
  <c r="R82" i="6"/>
  <c r="AB82" i="6"/>
  <c r="W82" i="6"/>
  <c r="V83" i="6" s="1"/>
  <c r="BW78" i="47" s="1"/>
  <c r="AA82" i="6"/>
  <c r="CL90" i="47" l="1"/>
  <c r="CX90" i="47" s="1"/>
  <c r="BZ78" i="14"/>
  <c r="AW85" i="6"/>
  <c r="CI78" i="14"/>
  <c r="CR78" i="14" s="1"/>
  <c r="DJ85" i="14"/>
  <c r="BU82" i="6"/>
  <c r="CA81" i="6"/>
  <c r="CA89" i="14"/>
  <c r="CJ89" i="14" s="1"/>
  <c r="CS89" i="14" s="1"/>
  <c r="DP86" i="47"/>
  <c r="DQ87" i="47"/>
  <c r="DR98" i="47"/>
  <c r="CL91" i="47"/>
  <c r="CX91" i="47" s="1"/>
  <c r="CZ78" i="14"/>
  <c r="DE79" i="47"/>
  <c r="CH78" i="14"/>
  <c r="CQ78" i="14" s="1"/>
  <c r="DI86" i="14"/>
  <c r="DB78" i="14"/>
  <c r="DF79" i="47"/>
  <c r="BY79" i="14"/>
  <c r="BY80" i="47"/>
  <c r="CK80" i="47" s="1"/>
  <c r="CW80" i="47" s="1"/>
  <c r="AR85" i="6"/>
  <c r="AT85" i="6"/>
  <c r="AQ85" i="6"/>
  <c r="AS85" i="6"/>
  <c r="AU85" i="6"/>
  <c r="AO85" i="6"/>
  <c r="AN86" i="6" s="1"/>
  <c r="CX76" i="14"/>
  <c r="DC77" i="47"/>
  <c r="DO86" i="47"/>
  <c r="CI79" i="47"/>
  <c r="CU79" i="47" s="1"/>
  <c r="CW76" i="14"/>
  <c r="DB77" i="47"/>
  <c r="CY76" i="14"/>
  <c r="DD77" i="47"/>
  <c r="BT85" i="6"/>
  <c r="BZ82" i="6"/>
  <c r="BS83" i="6"/>
  <c r="BY82" i="6"/>
  <c r="BR83" i="6"/>
  <c r="BX82" i="6"/>
  <c r="BW82" i="6"/>
  <c r="AG96" i="6"/>
  <c r="BF96" i="6"/>
  <c r="BZ91" i="47" s="1"/>
  <c r="DR99" i="47" s="1"/>
  <c r="BF98" i="6"/>
  <c r="BM85" i="6"/>
  <c r="BL85" i="6"/>
  <c r="BJ85" i="6"/>
  <c r="BI85" i="6"/>
  <c r="BK85" i="6"/>
  <c r="BG85" i="6"/>
  <c r="E77" i="6"/>
  <c r="BU72" i="47" s="1"/>
  <c r="CV70" i="14"/>
  <c r="CF76" i="14"/>
  <c r="CO76" i="14" s="1"/>
  <c r="CG76" i="14"/>
  <c r="CP76" i="14" s="1"/>
  <c r="DF84" i="14"/>
  <c r="BX77" i="14"/>
  <c r="DH85" i="14" s="1"/>
  <c r="AI83" i="6"/>
  <c r="BW77" i="14"/>
  <c r="DG85" i="14" s="1"/>
  <c r="Z83" i="6"/>
  <c r="BT90" i="14"/>
  <c r="CU89" i="14"/>
  <c r="DD97" i="14"/>
  <c r="AH83" i="6"/>
  <c r="Y83" i="6"/>
  <c r="AL83" i="6"/>
  <c r="AF83" i="6"/>
  <c r="AE84" i="6" s="1"/>
  <c r="BX79" i="47" s="1"/>
  <c r="CJ79" i="47" s="1"/>
  <c r="CV79" i="47" s="1"/>
  <c r="AJ83" i="6"/>
  <c r="AK83" i="6"/>
  <c r="AC83" i="6"/>
  <c r="M83" i="6"/>
  <c r="AB83" i="6"/>
  <c r="AA83" i="6"/>
  <c r="W83" i="6"/>
  <c r="V84" i="6" s="1"/>
  <c r="BW79" i="47" s="1"/>
  <c r="DK97" i="14" l="1"/>
  <c r="BZ79" i="14"/>
  <c r="AW86" i="6"/>
  <c r="CA82" i="6"/>
  <c r="BU83" i="6"/>
  <c r="CI79" i="14"/>
  <c r="CR79" i="14" s="1"/>
  <c r="DJ86" i="14"/>
  <c r="BY80" i="14"/>
  <c r="BY81" i="47"/>
  <c r="AS86" i="6"/>
  <c r="AQ86" i="6"/>
  <c r="AO86" i="6"/>
  <c r="AN87" i="6" s="1"/>
  <c r="AR86" i="6"/>
  <c r="AT86" i="6"/>
  <c r="AU86" i="6"/>
  <c r="DM80" i="47"/>
  <c r="CG73" i="47"/>
  <c r="CS73" i="47" s="1"/>
  <c r="BT86" i="6"/>
  <c r="CZ79" i="14"/>
  <c r="DE80" i="47"/>
  <c r="BQ83" i="6"/>
  <c r="BW83" i="6" s="1"/>
  <c r="BV78" i="47"/>
  <c r="CH78" i="47" s="1"/>
  <c r="CT78" i="47" s="1"/>
  <c r="DP87" i="47"/>
  <c r="DQ88" i="47"/>
  <c r="CK81" i="47"/>
  <c r="CW81" i="47" s="1"/>
  <c r="CI80" i="47"/>
  <c r="CU80" i="47" s="1"/>
  <c r="DO87" i="47"/>
  <c r="CX77" i="14"/>
  <c r="DC78" i="47"/>
  <c r="CY77" i="14"/>
  <c r="DD78" i="47"/>
  <c r="DB79" i="14"/>
  <c r="DF80" i="47"/>
  <c r="CH79" i="14"/>
  <c r="CQ79" i="14" s="1"/>
  <c r="DI87" i="14"/>
  <c r="BZ83" i="6"/>
  <c r="BS84" i="6"/>
  <c r="BY83" i="6"/>
  <c r="BX83" i="6"/>
  <c r="BR84" i="6"/>
  <c r="I77" i="6"/>
  <c r="BP77" i="6"/>
  <c r="I18" i="5"/>
  <c r="CA90" i="14"/>
  <c r="BF97" i="6"/>
  <c r="BG86" i="6"/>
  <c r="BM86" i="6"/>
  <c r="BL86" i="6"/>
  <c r="BJ86" i="6"/>
  <c r="BK86" i="6"/>
  <c r="BI86" i="6"/>
  <c r="G77" i="6"/>
  <c r="H77" i="6"/>
  <c r="J77" i="6"/>
  <c r="F77" i="6"/>
  <c r="E78" i="6" s="1"/>
  <c r="K77" i="6"/>
  <c r="BU71" i="14"/>
  <c r="CF77" i="14"/>
  <c r="CO77" i="14" s="1"/>
  <c r="CG77" i="14"/>
  <c r="CP77" i="14" s="1"/>
  <c r="BV77" i="14"/>
  <c r="CE77" i="14" s="1"/>
  <c r="CN77" i="14" s="1"/>
  <c r="Q83" i="6"/>
  <c r="BX78" i="14"/>
  <c r="AI84" i="6"/>
  <c r="BW78" i="14"/>
  <c r="DG86" i="14" s="1"/>
  <c r="Z84" i="6"/>
  <c r="CU90" i="14"/>
  <c r="DD98" i="14"/>
  <c r="AH84" i="6"/>
  <c r="P83" i="6"/>
  <c r="Y84" i="6"/>
  <c r="AL84" i="6"/>
  <c r="AK84" i="6"/>
  <c r="AJ84" i="6"/>
  <c r="AF84" i="6"/>
  <c r="AE85" i="6" s="1"/>
  <c r="BX80" i="47" s="1"/>
  <c r="CJ80" i="47" s="1"/>
  <c r="CV80" i="47" s="1"/>
  <c r="AC84" i="6"/>
  <c r="T83" i="6"/>
  <c r="S83" i="6"/>
  <c r="R83" i="6"/>
  <c r="N83" i="6"/>
  <c r="AA84" i="6"/>
  <c r="AB84" i="6"/>
  <c r="W84" i="6"/>
  <c r="V85" i="6" s="1"/>
  <c r="BW80" i="47" s="1"/>
  <c r="CA83" i="6" l="1"/>
  <c r="BU84" i="6"/>
  <c r="BZ80" i="14"/>
  <c r="AW87" i="6"/>
  <c r="CI80" i="14"/>
  <c r="CR80" i="14" s="1"/>
  <c r="DJ87" i="14"/>
  <c r="BT87" i="6"/>
  <c r="BU72" i="14"/>
  <c r="DE80" i="14" s="1"/>
  <c r="BU73" i="47"/>
  <c r="DB80" i="14"/>
  <c r="DF81" i="47"/>
  <c r="CZ80" i="14"/>
  <c r="DE81" i="47"/>
  <c r="DO88" i="47"/>
  <c r="CI81" i="47"/>
  <c r="CU81" i="47" s="1"/>
  <c r="DP88" i="47"/>
  <c r="DN86" i="47"/>
  <c r="CY78" i="14"/>
  <c r="DD79" i="47"/>
  <c r="DQ89" i="47"/>
  <c r="CX78" i="14"/>
  <c r="DC79" i="47"/>
  <c r="CW77" i="14"/>
  <c r="DB78" i="47"/>
  <c r="CV71" i="14"/>
  <c r="DA72" i="47"/>
  <c r="BY81" i="14"/>
  <c r="BY82" i="47"/>
  <c r="CK82" i="47" s="1"/>
  <c r="CW82" i="47" s="1"/>
  <c r="AS87" i="6"/>
  <c r="AU87" i="6"/>
  <c r="AO87" i="6"/>
  <c r="AN88" i="6" s="1"/>
  <c r="AR87" i="6"/>
  <c r="AT87" i="6"/>
  <c r="AQ87" i="6"/>
  <c r="CH80" i="14"/>
  <c r="CQ80" i="14" s="1"/>
  <c r="DI88" i="14"/>
  <c r="I15" i="5"/>
  <c r="DK98" i="14"/>
  <c r="CJ90" i="14"/>
  <c r="CS90" i="14" s="1"/>
  <c r="BZ84" i="6"/>
  <c r="BS85" i="6"/>
  <c r="BY84" i="6"/>
  <c r="BR85" i="6"/>
  <c r="BX84" i="6"/>
  <c r="BP78" i="6"/>
  <c r="BV77" i="6"/>
  <c r="BF99" i="6"/>
  <c r="BI87" i="6"/>
  <c r="BL87" i="6"/>
  <c r="BM87" i="6"/>
  <c r="BJ87" i="6"/>
  <c r="BG87" i="6"/>
  <c r="BK87" i="6"/>
  <c r="CD72" i="14"/>
  <c r="CM72" i="14" s="1"/>
  <c r="CD71" i="14"/>
  <c r="CM71" i="14" s="1"/>
  <c r="DE79" i="14"/>
  <c r="CF78" i="14"/>
  <c r="CO78" i="14" s="1"/>
  <c r="DH86" i="14"/>
  <c r="CG78" i="14"/>
  <c r="CP78" i="14" s="1"/>
  <c r="DF85" i="14"/>
  <c r="BX79" i="14"/>
  <c r="DH87" i="14" s="1"/>
  <c r="AI85" i="6"/>
  <c r="BW79" i="14"/>
  <c r="DG87" i="14" s="1"/>
  <c r="Z85" i="6"/>
  <c r="AH85" i="6"/>
  <c r="Y85" i="6"/>
  <c r="G78" i="6"/>
  <c r="AL85" i="6"/>
  <c r="J78" i="6"/>
  <c r="H78" i="6"/>
  <c r="F78" i="6"/>
  <c r="E79" i="6" s="1"/>
  <c r="BU74" i="47" s="1"/>
  <c r="I78" i="6"/>
  <c r="K78" i="6"/>
  <c r="AJ85" i="6"/>
  <c r="AK85" i="6"/>
  <c r="AF85" i="6"/>
  <c r="AE86" i="6" s="1"/>
  <c r="BX81" i="47" s="1"/>
  <c r="CJ81" i="47" s="1"/>
  <c r="CV81" i="47" s="1"/>
  <c r="AC85" i="6"/>
  <c r="M84" i="6"/>
  <c r="AB85" i="6"/>
  <c r="AA85" i="6"/>
  <c r="W85" i="6"/>
  <c r="V86" i="6" s="1"/>
  <c r="BW81" i="47" s="1"/>
  <c r="CI81" i="14" l="1"/>
  <c r="CR81" i="14" s="1"/>
  <c r="DJ88" i="14"/>
  <c r="BZ81" i="14"/>
  <c r="AW88" i="6"/>
  <c r="BU85" i="6"/>
  <c r="CA84" i="6"/>
  <c r="I23" i="5"/>
  <c r="DO89" i="47"/>
  <c r="CI82" i="47"/>
  <c r="CU82" i="47" s="1"/>
  <c r="CV72" i="14"/>
  <c r="DA73" i="47"/>
  <c r="DB81" i="14"/>
  <c r="DF82" i="47"/>
  <c r="CH81" i="14"/>
  <c r="CQ81" i="14" s="1"/>
  <c r="DI89" i="14"/>
  <c r="DP89" i="47"/>
  <c r="CY79" i="14"/>
  <c r="DD80" i="47"/>
  <c r="CZ81" i="14"/>
  <c r="DE82" i="47"/>
  <c r="CG75" i="47"/>
  <c r="CS75" i="47" s="1"/>
  <c r="DM82" i="47"/>
  <c r="CG74" i="47"/>
  <c r="CS74" i="47" s="1"/>
  <c r="DM81" i="47"/>
  <c r="CX79" i="14"/>
  <c r="DC80" i="47"/>
  <c r="BY82" i="14"/>
  <c r="BY83" i="47"/>
  <c r="AS88" i="6"/>
  <c r="AQ88" i="6"/>
  <c r="AO88" i="6"/>
  <c r="AN89" i="6" s="1"/>
  <c r="AR88" i="6"/>
  <c r="AT88" i="6"/>
  <c r="AU88" i="6"/>
  <c r="BQ84" i="6"/>
  <c r="BW84" i="6" s="1"/>
  <c r="BV79" i="47"/>
  <c r="CH79" i="47" s="1"/>
  <c r="CT79" i="47" s="1"/>
  <c r="CK83" i="47"/>
  <c r="CW83" i="47" s="1"/>
  <c r="DQ90" i="47"/>
  <c r="BT88" i="6"/>
  <c r="BZ85" i="6"/>
  <c r="BS86" i="6"/>
  <c r="BY85" i="6"/>
  <c r="BR86" i="6"/>
  <c r="BX85" i="6"/>
  <c r="BP79" i="6"/>
  <c r="BV78" i="6"/>
  <c r="BJ88" i="6"/>
  <c r="BI88" i="6"/>
  <c r="BG88" i="6"/>
  <c r="BK88" i="6"/>
  <c r="BM88" i="6"/>
  <c r="BL88" i="6"/>
  <c r="CF79" i="14"/>
  <c r="CO79" i="14" s="1"/>
  <c r="CG79" i="14"/>
  <c r="CP79" i="14" s="1"/>
  <c r="BV78" i="14"/>
  <c r="CE78" i="14" s="1"/>
  <c r="CN78" i="14" s="1"/>
  <c r="Q84" i="6"/>
  <c r="BX80" i="14"/>
  <c r="CG80" i="14" s="1"/>
  <c r="CP80" i="14" s="1"/>
  <c r="AI86" i="6"/>
  <c r="BW80" i="14"/>
  <c r="DG88" i="14" s="1"/>
  <c r="Z86" i="6"/>
  <c r="P84" i="6"/>
  <c r="AH86" i="6"/>
  <c r="Y86" i="6"/>
  <c r="AL86" i="6"/>
  <c r="BU73" i="14"/>
  <c r="AF86" i="6"/>
  <c r="AE87" i="6" s="1"/>
  <c r="BX82" i="47" s="1"/>
  <c r="CJ82" i="47" s="1"/>
  <c r="CV82" i="47" s="1"/>
  <c r="AJ86" i="6"/>
  <c r="AK86" i="6"/>
  <c r="AC86" i="6"/>
  <c r="T84" i="6"/>
  <c r="S84" i="6"/>
  <c r="N84" i="6"/>
  <c r="R84" i="6"/>
  <c r="AA86" i="6"/>
  <c r="AB86" i="6"/>
  <c r="W86" i="6"/>
  <c r="V87" i="6" s="1"/>
  <c r="BW82" i="47" s="1"/>
  <c r="AW89" i="6" l="1"/>
  <c r="BZ82" i="14"/>
  <c r="CI82" i="14"/>
  <c r="CR82" i="14" s="1"/>
  <c r="DJ89" i="14"/>
  <c r="BU86" i="6"/>
  <c r="CA85" i="6"/>
  <c r="BT89" i="6"/>
  <c r="DB82" i="14"/>
  <c r="DF83" i="47"/>
  <c r="DN87" i="47"/>
  <c r="CZ82" i="14"/>
  <c r="DE83" i="47"/>
  <c r="CW78" i="14"/>
  <c r="DB79" i="47"/>
  <c r="DP90" i="47"/>
  <c r="DQ91" i="47"/>
  <c r="CX80" i="14"/>
  <c r="DC81" i="47"/>
  <c r="DO90" i="47"/>
  <c r="CI83" i="47"/>
  <c r="CU83" i="47" s="1"/>
  <c r="CY80" i="14"/>
  <c r="DD81" i="47"/>
  <c r="BY83" i="14"/>
  <c r="BY84" i="47"/>
  <c r="CK84" i="47" s="1"/>
  <c r="CW84" i="47" s="1"/>
  <c r="AS89" i="6"/>
  <c r="AU89" i="6"/>
  <c r="AO89" i="6"/>
  <c r="AN90" i="6" s="1"/>
  <c r="AR89" i="6"/>
  <c r="AT89" i="6"/>
  <c r="AQ89" i="6"/>
  <c r="CH82" i="14"/>
  <c r="CQ82" i="14" s="1"/>
  <c r="DI90" i="14"/>
  <c r="BZ86" i="6"/>
  <c r="BS87" i="6"/>
  <c r="BY86" i="6"/>
  <c r="BR87" i="6"/>
  <c r="BX86" i="6"/>
  <c r="BV79" i="6"/>
  <c r="BI89" i="6"/>
  <c r="BL89" i="6"/>
  <c r="BM89" i="6"/>
  <c r="BJ89" i="6"/>
  <c r="BG89" i="6"/>
  <c r="BK89" i="6"/>
  <c r="CD73" i="14"/>
  <c r="CM73" i="14" s="1"/>
  <c r="CF80" i="14"/>
  <c r="CO80" i="14" s="1"/>
  <c r="DF86" i="14"/>
  <c r="DH88" i="14"/>
  <c r="BX81" i="14"/>
  <c r="DH89" i="14" s="1"/>
  <c r="AI87" i="6"/>
  <c r="BW81" i="14"/>
  <c r="DG89" i="14" s="1"/>
  <c r="Z87" i="6"/>
  <c r="DE81" i="14"/>
  <c r="AH87" i="6"/>
  <c r="Y87" i="6"/>
  <c r="K79" i="6"/>
  <c r="DA74" i="47" s="1"/>
  <c r="G79" i="6"/>
  <c r="AL87" i="6"/>
  <c r="I79" i="6"/>
  <c r="J79" i="6"/>
  <c r="H79" i="6"/>
  <c r="F79" i="6"/>
  <c r="E80" i="6" s="1"/>
  <c r="AJ87" i="6"/>
  <c r="AF87" i="6"/>
  <c r="AE88" i="6" s="1"/>
  <c r="BX83" i="47" s="1"/>
  <c r="CJ83" i="47" s="1"/>
  <c r="CV83" i="47" s="1"/>
  <c r="AK87" i="6"/>
  <c r="AC87" i="6"/>
  <c r="M85" i="6"/>
  <c r="AB87" i="6"/>
  <c r="AA87" i="6"/>
  <c r="W87" i="6"/>
  <c r="V88" i="6" s="1"/>
  <c r="BW83" i="47" s="1"/>
  <c r="CI83" i="14" l="1"/>
  <c r="CR83" i="14" s="1"/>
  <c r="DJ90" i="14"/>
  <c r="CA86" i="6"/>
  <c r="BU87" i="6"/>
  <c r="BZ83" i="14"/>
  <c r="AW90" i="6"/>
  <c r="BT90" i="6"/>
  <c r="BQ85" i="6"/>
  <c r="BW85" i="6" s="1"/>
  <c r="BV80" i="47"/>
  <c r="CH80" i="47" s="1"/>
  <c r="CT80" i="47" s="1"/>
  <c r="CH83" i="14"/>
  <c r="CQ83" i="14" s="1"/>
  <c r="DI91" i="14"/>
  <c r="CI84" i="47"/>
  <c r="CU84" i="47" s="1"/>
  <c r="DO91" i="47"/>
  <c r="BP80" i="6"/>
  <c r="BV80" i="6" s="1"/>
  <c r="BU75" i="47"/>
  <c r="CY81" i="14"/>
  <c r="DD82" i="47"/>
  <c r="CZ83" i="14"/>
  <c r="DE84" i="47"/>
  <c r="DB83" i="14"/>
  <c r="DF84" i="47"/>
  <c r="BY84" i="14"/>
  <c r="BY85" i="47"/>
  <c r="AR90" i="6"/>
  <c r="AT90" i="6"/>
  <c r="AU90" i="6"/>
  <c r="AS90" i="6"/>
  <c r="AQ90" i="6"/>
  <c r="AO90" i="6"/>
  <c r="AN91" i="6" s="1"/>
  <c r="CX81" i="14"/>
  <c r="DC82" i="47"/>
  <c r="DP91" i="47"/>
  <c r="DQ92" i="47"/>
  <c r="CK85" i="47"/>
  <c r="CW85" i="47" s="1"/>
  <c r="BZ87" i="6"/>
  <c r="BS88" i="6"/>
  <c r="BY87" i="6"/>
  <c r="BX87" i="6"/>
  <c r="BR88" i="6"/>
  <c r="BK90" i="6"/>
  <c r="BI90" i="6"/>
  <c r="BG90" i="6"/>
  <c r="BJ90" i="6"/>
  <c r="BM90" i="6"/>
  <c r="BL90" i="6"/>
  <c r="CV73" i="14"/>
  <c r="CF81" i="14"/>
  <c r="CO81" i="14" s="1"/>
  <c r="CG81" i="14"/>
  <c r="CP81" i="14" s="1"/>
  <c r="BV79" i="14"/>
  <c r="CE79" i="14" s="1"/>
  <c r="CN79" i="14" s="1"/>
  <c r="Q85" i="6"/>
  <c r="BX82" i="14"/>
  <c r="DH90" i="14" s="1"/>
  <c r="AI88" i="6"/>
  <c r="BW82" i="14"/>
  <c r="Z88" i="6"/>
  <c r="P85" i="6"/>
  <c r="AH88" i="6"/>
  <c r="Y88" i="6"/>
  <c r="AL88" i="6"/>
  <c r="BU74" i="14"/>
  <c r="AF88" i="6"/>
  <c r="AE89" i="6" s="1"/>
  <c r="BX84" i="47" s="1"/>
  <c r="CJ84" i="47" s="1"/>
  <c r="CV84" i="47" s="1"/>
  <c r="AJ88" i="6"/>
  <c r="AK88" i="6"/>
  <c r="AC88" i="6"/>
  <c r="T85" i="6"/>
  <c r="R85" i="6"/>
  <c r="S85" i="6"/>
  <c r="N85" i="6"/>
  <c r="AB88" i="6"/>
  <c r="AA88" i="6"/>
  <c r="W88" i="6"/>
  <c r="V89" i="6" s="1"/>
  <c r="BW84" i="47" s="1"/>
  <c r="CA87" i="6" l="1"/>
  <c r="BU88" i="6"/>
  <c r="AW91" i="6"/>
  <c r="BZ84" i="14"/>
  <c r="CI84" i="14"/>
  <c r="CR84" i="14" s="1"/>
  <c r="DJ91" i="14"/>
  <c r="CH84" i="14"/>
  <c r="CQ84" i="14" s="1"/>
  <c r="DI92" i="14"/>
  <c r="DO92" i="47"/>
  <c r="CI85" i="47"/>
  <c r="CU85" i="47" s="1"/>
  <c r="CY82" i="14"/>
  <c r="DD83" i="47"/>
  <c r="BY85" i="14"/>
  <c r="BY86" i="47"/>
  <c r="CK86" i="47" s="1"/>
  <c r="CW86" i="47" s="1"/>
  <c r="AS91" i="6"/>
  <c r="AU91" i="6"/>
  <c r="AO91" i="6"/>
  <c r="AN92" i="6" s="1"/>
  <c r="AR91" i="6"/>
  <c r="AT91" i="6"/>
  <c r="AQ91" i="6"/>
  <c r="DN88" i="47"/>
  <c r="CX82" i="14"/>
  <c r="DC83" i="47"/>
  <c r="CZ84" i="14"/>
  <c r="DE85" i="47"/>
  <c r="CW79" i="14"/>
  <c r="DB80" i="47"/>
  <c r="DP92" i="47"/>
  <c r="DB84" i="14"/>
  <c r="DF85" i="47"/>
  <c r="DQ93" i="47"/>
  <c r="DM83" i="47"/>
  <c r="CG76" i="47"/>
  <c r="CS76" i="47" s="1"/>
  <c r="BT91" i="6"/>
  <c r="BZ88" i="6"/>
  <c r="BS89" i="6"/>
  <c r="BY88" i="6"/>
  <c r="BX88" i="6"/>
  <c r="BR89" i="6"/>
  <c r="BI91" i="6"/>
  <c r="BJ91" i="6"/>
  <c r="BM91" i="6"/>
  <c r="BG91" i="6"/>
  <c r="BK91" i="6"/>
  <c r="BL91" i="6"/>
  <c r="CD74" i="14"/>
  <c r="CM74" i="14" s="1"/>
  <c r="CF82" i="14"/>
  <c r="CO82" i="14" s="1"/>
  <c r="DF87" i="14"/>
  <c r="CG82" i="14"/>
  <c r="CP82" i="14" s="1"/>
  <c r="DG90" i="14"/>
  <c r="BX83" i="14"/>
  <c r="AI89" i="6"/>
  <c r="BW83" i="14"/>
  <c r="CF83" i="14" s="1"/>
  <c r="CO83" i="14" s="1"/>
  <c r="Z89" i="6"/>
  <c r="DE82" i="14"/>
  <c r="AH89" i="6"/>
  <c r="G80" i="6"/>
  <c r="Y89" i="6"/>
  <c r="AL89" i="6"/>
  <c r="H80" i="6"/>
  <c r="J80" i="6"/>
  <c r="F80" i="6"/>
  <c r="E81" i="6" s="1"/>
  <c r="I80" i="6"/>
  <c r="K80" i="6"/>
  <c r="AK89" i="6"/>
  <c r="AJ89" i="6"/>
  <c r="AF89" i="6"/>
  <c r="AE90" i="6" s="1"/>
  <c r="BX85" i="47" s="1"/>
  <c r="CJ85" i="47" s="1"/>
  <c r="CV85" i="47" s="1"/>
  <c r="AC89" i="6"/>
  <c r="M86" i="6"/>
  <c r="AB89" i="6"/>
  <c r="W89" i="6"/>
  <c r="V90" i="6" s="1"/>
  <c r="BW85" i="47" s="1"/>
  <c r="AA89" i="6"/>
  <c r="CI85" i="14" l="1"/>
  <c r="CR85" i="14" s="1"/>
  <c r="DJ92" i="14"/>
  <c r="AW92" i="6"/>
  <c r="BZ85" i="14"/>
  <c r="BU89" i="6"/>
  <c r="CA88" i="6"/>
  <c r="BT92" i="6"/>
  <c r="DO93" i="47"/>
  <c r="CI86" i="47"/>
  <c r="CU86" i="47" s="1"/>
  <c r="CH85" i="14"/>
  <c r="CQ85" i="14" s="1"/>
  <c r="DI93" i="14"/>
  <c r="CZ85" i="14"/>
  <c r="DE86" i="47"/>
  <c r="DP93" i="47"/>
  <c r="CY83" i="14"/>
  <c r="DD84" i="47"/>
  <c r="CK87" i="47"/>
  <c r="CW87" i="47" s="1"/>
  <c r="DQ94" i="47"/>
  <c r="BP81" i="6"/>
  <c r="BV81" i="6" s="1"/>
  <c r="BU76" i="47"/>
  <c r="DB85" i="14"/>
  <c r="DF86" i="47"/>
  <c r="BY86" i="14"/>
  <c r="BY87" i="47"/>
  <c r="AS92" i="6"/>
  <c r="AQ92" i="6"/>
  <c r="AO92" i="6"/>
  <c r="AN93" i="6" s="1"/>
  <c r="AR92" i="6"/>
  <c r="AT92" i="6"/>
  <c r="AU92" i="6"/>
  <c r="BQ86" i="6"/>
  <c r="BW86" i="6" s="1"/>
  <c r="BV81" i="47"/>
  <c r="CH81" i="47" s="1"/>
  <c r="CT81" i="47" s="1"/>
  <c r="CX83" i="14"/>
  <c r="DC84" i="47"/>
  <c r="CV74" i="14"/>
  <c r="DA75" i="47"/>
  <c r="BZ89" i="6"/>
  <c r="BS90" i="6"/>
  <c r="BY89" i="6"/>
  <c r="BR90" i="6"/>
  <c r="BX89" i="6"/>
  <c r="BK92" i="6"/>
  <c r="BI92" i="6"/>
  <c r="BG92" i="6"/>
  <c r="BJ92" i="6"/>
  <c r="BM92" i="6"/>
  <c r="BL92" i="6"/>
  <c r="CG83" i="14"/>
  <c r="CP83" i="14" s="1"/>
  <c r="DG91" i="14"/>
  <c r="DH91" i="14"/>
  <c r="BV80" i="14"/>
  <c r="CE80" i="14" s="1"/>
  <c r="CN80" i="14" s="1"/>
  <c r="Q86" i="6"/>
  <c r="BX84" i="14"/>
  <c r="DH92" i="14" s="1"/>
  <c r="AI90" i="6"/>
  <c r="BW84" i="14"/>
  <c r="CF84" i="14" s="1"/>
  <c r="CO84" i="14" s="1"/>
  <c r="Z90" i="6"/>
  <c r="P86" i="6"/>
  <c r="AH90" i="6"/>
  <c r="Y90" i="6"/>
  <c r="AL90" i="6"/>
  <c r="BU75" i="14"/>
  <c r="AJ90" i="6"/>
  <c r="AF90" i="6"/>
  <c r="AE91" i="6" s="1"/>
  <c r="BX86" i="47" s="1"/>
  <c r="CJ86" i="47" s="1"/>
  <c r="CV86" i="47" s="1"/>
  <c r="AK90" i="6"/>
  <c r="AC90" i="6"/>
  <c r="T86" i="6"/>
  <c r="N86" i="6"/>
  <c r="S86" i="6"/>
  <c r="R86" i="6"/>
  <c r="AB90" i="6"/>
  <c r="W90" i="6"/>
  <c r="V91" i="6" s="1"/>
  <c r="BW86" i="47" s="1"/>
  <c r="AA90" i="6"/>
  <c r="CI86" i="14" l="1"/>
  <c r="CR86" i="14" s="1"/>
  <c r="DJ93" i="14"/>
  <c r="BZ86" i="14"/>
  <c r="AW93" i="6"/>
  <c r="BU90" i="6"/>
  <c r="CA89" i="6"/>
  <c r="BT93" i="6"/>
  <c r="DP94" i="47"/>
  <c r="CW80" i="14"/>
  <c r="DB81" i="47"/>
  <c r="DB86" i="14"/>
  <c r="DF87" i="47"/>
  <c r="DN89" i="47"/>
  <c r="DQ95" i="47"/>
  <c r="DM84" i="47"/>
  <c r="CG77" i="47"/>
  <c r="CS77" i="47" s="1"/>
  <c r="DO94" i="47"/>
  <c r="CI87" i="47"/>
  <c r="CU87" i="47" s="1"/>
  <c r="CH86" i="14"/>
  <c r="CQ86" i="14" s="1"/>
  <c r="DI94" i="14"/>
  <c r="CX84" i="14"/>
  <c r="DC85" i="47"/>
  <c r="BY87" i="14"/>
  <c r="BY88" i="47"/>
  <c r="CK88" i="47" s="1"/>
  <c r="CW88" i="47" s="1"/>
  <c r="AS93" i="6"/>
  <c r="AU93" i="6"/>
  <c r="AO93" i="6"/>
  <c r="AN94" i="6" s="1"/>
  <c r="AR93" i="6"/>
  <c r="AT93" i="6"/>
  <c r="AQ93" i="6"/>
  <c r="CY84" i="14"/>
  <c r="DD85" i="47"/>
  <c r="CZ86" i="14"/>
  <c r="DE87" i="47"/>
  <c r="BZ90" i="6"/>
  <c r="BS91" i="6"/>
  <c r="BY90" i="6"/>
  <c r="BR91" i="6"/>
  <c r="BX90" i="6"/>
  <c r="BG93" i="6"/>
  <c r="BI93" i="6"/>
  <c r="BK93" i="6"/>
  <c r="BJ93" i="6"/>
  <c r="BM93" i="6"/>
  <c r="BL93" i="6"/>
  <c r="CD75" i="14"/>
  <c r="CM75" i="14" s="1"/>
  <c r="CG84" i="14"/>
  <c r="CP84" i="14" s="1"/>
  <c r="DF88" i="14"/>
  <c r="DG92" i="14"/>
  <c r="BX85" i="14"/>
  <c r="DH93" i="14" s="1"/>
  <c r="AI91" i="6"/>
  <c r="BW85" i="14"/>
  <c r="DG93" i="14" s="1"/>
  <c r="Z91" i="6"/>
  <c r="DE83" i="14"/>
  <c r="AH91" i="6"/>
  <c r="Y91" i="6"/>
  <c r="H81" i="6"/>
  <c r="G81" i="6"/>
  <c r="AL91" i="6"/>
  <c r="K81" i="6"/>
  <c r="DA76" i="47" s="1"/>
  <c r="F81" i="6"/>
  <c r="E82" i="6" s="1"/>
  <c r="J81" i="6"/>
  <c r="I81" i="6"/>
  <c r="AK91" i="6"/>
  <c r="AF91" i="6"/>
  <c r="AE92" i="6" s="1"/>
  <c r="BX87" i="47" s="1"/>
  <c r="CJ87" i="47" s="1"/>
  <c r="CV87" i="47" s="1"/>
  <c r="AJ91" i="6"/>
  <c r="AC91" i="6"/>
  <c r="M87" i="6"/>
  <c r="AB91" i="6"/>
  <c r="AA91" i="6"/>
  <c r="W91" i="6"/>
  <c r="V92" i="6" s="1"/>
  <c r="BW87" i="47" s="1"/>
  <c r="CI87" i="14" l="1"/>
  <c r="CR87" i="14" s="1"/>
  <c r="DJ94" i="14"/>
  <c r="AW94" i="6"/>
  <c r="BZ87" i="14"/>
  <c r="CA90" i="6"/>
  <c r="BU91" i="6"/>
  <c r="CI88" i="47"/>
  <c r="CU88" i="47" s="1"/>
  <c r="DO95" i="47"/>
  <c r="CY85" i="14"/>
  <c r="DD86" i="47"/>
  <c r="CH87" i="14"/>
  <c r="CQ87" i="14" s="1"/>
  <c r="DI95" i="14"/>
  <c r="CZ87" i="14"/>
  <c r="DE88" i="47"/>
  <c r="CX85" i="14"/>
  <c r="DC86" i="47"/>
  <c r="BY88" i="14"/>
  <c r="BY89" i="47"/>
  <c r="AS94" i="6"/>
  <c r="AU94" i="6"/>
  <c r="AO94" i="6"/>
  <c r="AN95" i="6" s="1"/>
  <c r="AR94" i="6"/>
  <c r="AT94" i="6"/>
  <c r="AQ94" i="6"/>
  <c r="BP82" i="6"/>
  <c r="BV82" i="6" s="1"/>
  <c r="BU77" i="47"/>
  <c r="DP95" i="47"/>
  <c r="BQ87" i="6"/>
  <c r="BW87" i="6" s="1"/>
  <c r="BV82" i="47"/>
  <c r="CH82" i="47" s="1"/>
  <c r="CT82" i="47" s="1"/>
  <c r="DB87" i="14"/>
  <c r="DF88" i="47"/>
  <c r="DQ96" i="47"/>
  <c r="CK89" i="47"/>
  <c r="CW89" i="47" s="1"/>
  <c r="BT94" i="6"/>
  <c r="BZ91" i="6"/>
  <c r="BS92" i="6"/>
  <c r="BY91" i="6"/>
  <c r="BX91" i="6"/>
  <c r="BR92" i="6"/>
  <c r="BJ94" i="6"/>
  <c r="BI94" i="6"/>
  <c r="BG94" i="6"/>
  <c r="BK94" i="6"/>
  <c r="BM94" i="6"/>
  <c r="BL94" i="6"/>
  <c r="CV75" i="14"/>
  <c r="CF85" i="14"/>
  <c r="CO85" i="14" s="1"/>
  <c r="CG85" i="14"/>
  <c r="CP85" i="14" s="1"/>
  <c r="BV81" i="14"/>
  <c r="CE81" i="14" s="1"/>
  <c r="CN81" i="14" s="1"/>
  <c r="Q87" i="6"/>
  <c r="BX86" i="14"/>
  <c r="DH94" i="14" s="1"/>
  <c r="AI92" i="6"/>
  <c r="BW86" i="14"/>
  <c r="DG94" i="14" s="1"/>
  <c r="Z92" i="6"/>
  <c r="P87" i="6"/>
  <c r="AH92" i="6"/>
  <c r="Y92" i="6"/>
  <c r="AL92" i="6"/>
  <c r="BU76" i="14"/>
  <c r="AF92" i="6"/>
  <c r="AE93" i="6" s="1"/>
  <c r="BX88" i="47" s="1"/>
  <c r="CJ88" i="47" s="1"/>
  <c r="CV88" i="47" s="1"/>
  <c r="AK92" i="6"/>
  <c r="AJ92" i="6"/>
  <c r="T87" i="6"/>
  <c r="AC92" i="6"/>
  <c r="R87" i="6"/>
  <c r="S87" i="6"/>
  <c r="N87" i="6"/>
  <c r="AA92" i="6"/>
  <c r="AB92" i="6"/>
  <c r="W92" i="6"/>
  <c r="V93" i="6" s="1"/>
  <c r="BW88" i="47" s="1"/>
  <c r="CI88" i="14" l="1"/>
  <c r="CR88" i="14" s="1"/>
  <c r="DJ95" i="14"/>
  <c r="AW95" i="6"/>
  <c r="BZ88" i="14"/>
  <c r="CA91" i="6"/>
  <c r="BU92" i="6"/>
  <c r="BT95" i="6"/>
  <c r="DN90" i="47"/>
  <c r="CG78" i="47"/>
  <c r="CS78" i="47" s="1"/>
  <c r="DM85" i="47"/>
  <c r="DQ97" i="47"/>
  <c r="DO96" i="47"/>
  <c r="CI89" i="47"/>
  <c r="CU89" i="47" s="1"/>
  <c r="CY86" i="14"/>
  <c r="DD87" i="47"/>
  <c r="BY89" i="14"/>
  <c r="BY90" i="47"/>
  <c r="CK90" i="47" s="1"/>
  <c r="CW90" i="47" s="1"/>
  <c r="AS95" i="6"/>
  <c r="AU95" i="6"/>
  <c r="AO95" i="6"/>
  <c r="AN96" i="6" s="1"/>
  <c r="AR95" i="6"/>
  <c r="AT95" i="6"/>
  <c r="AQ95" i="6"/>
  <c r="CH88" i="14"/>
  <c r="CQ88" i="14" s="1"/>
  <c r="DI96" i="14"/>
  <c r="CW81" i="14"/>
  <c r="DB82" i="47"/>
  <c r="CZ88" i="14"/>
  <c r="DE89" i="47"/>
  <c r="CX86" i="14"/>
  <c r="DC87" i="47"/>
  <c r="DP96" i="47"/>
  <c r="DB88" i="14"/>
  <c r="DF89" i="47"/>
  <c r="BZ92" i="6"/>
  <c r="BS93" i="6"/>
  <c r="BY92" i="6"/>
  <c r="BR93" i="6"/>
  <c r="BX92" i="6"/>
  <c r="BM95" i="6"/>
  <c r="BL95" i="6"/>
  <c r="BG95" i="6"/>
  <c r="BJ95" i="6"/>
  <c r="BI95" i="6"/>
  <c r="BK95" i="6"/>
  <c r="CD76" i="14"/>
  <c r="CM76" i="14" s="1"/>
  <c r="CF86" i="14"/>
  <c r="CO86" i="14" s="1"/>
  <c r="DF89" i="14"/>
  <c r="CG86" i="14"/>
  <c r="CP86" i="14" s="1"/>
  <c r="BX87" i="14"/>
  <c r="DH95" i="14" s="1"/>
  <c r="AI93" i="6"/>
  <c r="BW87" i="14"/>
  <c r="DG95" i="14" s="1"/>
  <c r="Z93" i="6"/>
  <c r="DE84" i="14"/>
  <c r="AH93" i="6"/>
  <c r="Y93" i="6"/>
  <c r="G82" i="6"/>
  <c r="AL93" i="6"/>
  <c r="F82" i="6"/>
  <c r="E83" i="6" s="1"/>
  <c r="K82" i="6"/>
  <c r="H82" i="6"/>
  <c r="J82" i="6"/>
  <c r="I82" i="6"/>
  <c r="AK93" i="6"/>
  <c r="AF93" i="6"/>
  <c r="AE94" i="6" s="1"/>
  <c r="BX89" i="47" s="1"/>
  <c r="CJ89" i="47" s="1"/>
  <c r="CV89" i="47" s="1"/>
  <c r="AJ93" i="6"/>
  <c r="AC93" i="6"/>
  <c r="M88" i="6"/>
  <c r="W93" i="6"/>
  <c r="V94" i="6" s="1"/>
  <c r="BW89" i="47" s="1"/>
  <c r="AA93" i="6"/>
  <c r="AB93" i="6"/>
  <c r="G22" i="5" l="1"/>
  <c r="AU8" i="6"/>
  <c r="CI89" i="14"/>
  <c r="CR89" i="14" s="1"/>
  <c r="DJ96" i="14"/>
  <c r="AW96" i="6"/>
  <c r="BD8" i="6" s="1"/>
  <c r="BZ89" i="14"/>
  <c r="BU93" i="6"/>
  <c r="CA92" i="6"/>
  <c r="BT96" i="6"/>
  <c r="CX87" i="14"/>
  <c r="DC88" i="47"/>
  <c r="DQ98" i="47"/>
  <c r="CY87" i="14"/>
  <c r="DD88" i="47"/>
  <c r="BY91" i="47"/>
  <c r="DQ99" i="47" s="1"/>
  <c r="AT96" i="6"/>
  <c r="AU96" i="6"/>
  <c r="AS96" i="6"/>
  <c r="AQ96" i="6"/>
  <c r="BY90" i="14"/>
  <c r="DI98" i="14" s="1"/>
  <c r="AO96" i="6"/>
  <c r="G18" i="5"/>
  <c r="AR96" i="6"/>
  <c r="AN98" i="6"/>
  <c r="AN97" i="6"/>
  <c r="AU6" i="6" s="1"/>
  <c r="G15" i="5" s="1"/>
  <c r="CH89" i="14"/>
  <c r="CQ89" i="14" s="1"/>
  <c r="DI97" i="14"/>
  <c r="CH90" i="14"/>
  <c r="CQ90" i="14" s="1"/>
  <c r="CZ89" i="14"/>
  <c r="DE90" i="47"/>
  <c r="BP83" i="6"/>
  <c r="BV83" i="6" s="1"/>
  <c r="BU78" i="47"/>
  <c r="DO97" i="47"/>
  <c r="CI90" i="47"/>
  <c r="CU90" i="47" s="1"/>
  <c r="DP97" i="47"/>
  <c r="BQ88" i="6"/>
  <c r="BW88" i="6" s="1"/>
  <c r="BV83" i="47"/>
  <c r="CH83" i="47" s="1"/>
  <c r="CT83" i="47" s="1"/>
  <c r="CV76" i="14"/>
  <c r="DA77" i="47"/>
  <c r="DB89" i="14"/>
  <c r="DF90" i="47"/>
  <c r="BZ93" i="6"/>
  <c r="BS94" i="6"/>
  <c r="BY93" i="6"/>
  <c r="BR94" i="6"/>
  <c r="BX93" i="6"/>
  <c r="BL96" i="6"/>
  <c r="BK96" i="6"/>
  <c r="BJ96" i="6"/>
  <c r="BM96" i="6"/>
  <c r="BM8" i="6"/>
  <c r="BI96" i="6"/>
  <c r="BG96" i="6"/>
  <c r="BM7" i="6"/>
  <c r="BF100" i="6"/>
  <c r="CF87" i="14"/>
  <c r="CO87" i="14" s="1"/>
  <c r="CG87" i="14"/>
  <c r="CP87" i="14" s="1"/>
  <c r="BV82" i="14"/>
  <c r="CE82" i="14" s="1"/>
  <c r="CN82" i="14" s="1"/>
  <c r="Q88" i="6"/>
  <c r="BX88" i="14"/>
  <c r="DH96" i="14" s="1"/>
  <c r="AI94" i="6"/>
  <c r="BW88" i="14"/>
  <c r="CF88" i="14" s="1"/>
  <c r="CO88" i="14" s="1"/>
  <c r="Z94" i="6"/>
  <c r="P88" i="6"/>
  <c r="AH94" i="6"/>
  <c r="Y94" i="6"/>
  <c r="AL94" i="6"/>
  <c r="BU77" i="14"/>
  <c r="AF94" i="6"/>
  <c r="AE95" i="6" s="1"/>
  <c r="BX90" i="47" s="1"/>
  <c r="CJ90" i="47" s="1"/>
  <c r="CV90" i="47" s="1"/>
  <c r="AK94" i="6"/>
  <c r="AJ94" i="6"/>
  <c r="AC94" i="6"/>
  <c r="T88" i="6"/>
  <c r="S88" i="6"/>
  <c r="R88" i="6"/>
  <c r="N88" i="6"/>
  <c r="AB94" i="6"/>
  <c r="AA94" i="6"/>
  <c r="W94" i="6"/>
  <c r="V95" i="6" s="1"/>
  <c r="BW90" i="47" s="1"/>
  <c r="G23" i="5" l="1"/>
  <c r="G24" i="5" s="1"/>
  <c r="CI90" i="14"/>
  <c r="CR90" i="14" s="1"/>
  <c r="H23" i="5" s="1"/>
  <c r="H24" i="5" s="1"/>
  <c r="DJ97" i="14"/>
  <c r="BZ90" i="14"/>
  <c r="DJ98" i="14" s="1"/>
  <c r="AW97" i="6"/>
  <c r="H22" i="5"/>
  <c r="BU94" i="6"/>
  <c r="CA93" i="6"/>
  <c r="CK91" i="47"/>
  <c r="CW91" i="47" s="1"/>
  <c r="DP98" i="47"/>
  <c r="DN91" i="47"/>
  <c r="CW82" i="14"/>
  <c r="DB83" i="47"/>
  <c r="DM86" i="47"/>
  <c r="CG79" i="47"/>
  <c r="CS79" i="47" s="1"/>
  <c r="CX88" i="14"/>
  <c r="DC89" i="47"/>
  <c r="DO98" i="47"/>
  <c r="CI91" i="47"/>
  <c r="CU91" i="47" s="1"/>
  <c r="CY88" i="14"/>
  <c r="DD89" i="47"/>
  <c r="DB90" i="14"/>
  <c r="DF91" i="47"/>
  <c r="N4" i="14"/>
  <c r="N5" i="47"/>
  <c r="CZ90" i="14"/>
  <c r="DE91" i="47"/>
  <c r="BZ94" i="6"/>
  <c r="BS95" i="6"/>
  <c r="BY94" i="6"/>
  <c r="BR95" i="6"/>
  <c r="BX94" i="6"/>
  <c r="CD77" i="14"/>
  <c r="CM77" i="14" s="1"/>
  <c r="DF90" i="14"/>
  <c r="CG88" i="14"/>
  <c r="CP88" i="14" s="1"/>
  <c r="DG96" i="14"/>
  <c r="BX89" i="14"/>
  <c r="DH97" i="14" s="1"/>
  <c r="AI95" i="6"/>
  <c r="BW89" i="14"/>
  <c r="DG97" i="14" s="1"/>
  <c r="Z95" i="6"/>
  <c r="DE85" i="14"/>
  <c r="AH95" i="6"/>
  <c r="Y95" i="6"/>
  <c r="K83" i="6"/>
  <c r="DA78" i="47" s="1"/>
  <c r="G83" i="6"/>
  <c r="AL95" i="6"/>
  <c r="F83" i="6"/>
  <c r="H83" i="6"/>
  <c r="I83" i="6"/>
  <c r="J83" i="6"/>
  <c r="AK95" i="6"/>
  <c r="AF95" i="6"/>
  <c r="AE96" i="6" s="1"/>
  <c r="AJ95" i="6"/>
  <c r="AC95" i="6"/>
  <c r="M89" i="6"/>
  <c r="AB95" i="6"/>
  <c r="AA95" i="6"/>
  <c r="W95" i="6"/>
  <c r="BX91" i="47" l="1"/>
  <c r="DP99" i="47" s="1"/>
  <c r="AL8" i="6"/>
  <c r="CJ91" i="47"/>
  <c r="CV91" i="47" s="1"/>
  <c r="BU95" i="6"/>
  <c r="CA94" i="6"/>
  <c r="CX89" i="14"/>
  <c r="DC90" i="47"/>
  <c r="CY89" i="14"/>
  <c r="DD90" i="47"/>
  <c r="BQ89" i="6"/>
  <c r="BW89" i="6" s="1"/>
  <c r="BV84" i="47"/>
  <c r="CH84" i="47" s="1"/>
  <c r="CT84" i="47" s="1"/>
  <c r="AI96" i="6"/>
  <c r="F22" i="5"/>
  <c r="BZ96" i="6"/>
  <c r="BZ95" i="6"/>
  <c r="BS96" i="6"/>
  <c r="BY96" i="6" s="1"/>
  <c r="BY95" i="6"/>
  <c r="BX95" i="6"/>
  <c r="E84" i="6"/>
  <c r="BU79" i="47" s="1"/>
  <c r="CV77" i="14"/>
  <c r="CF89" i="14"/>
  <c r="CO89" i="14" s="1"/>
  <c r="CG89" i="14"/>
  <c r="CP89" i="14" s="1"/>
  <c r="BV83" i="14"/>
  <c r="CE83" i="14" s="1"/>
  <c r="CN83" i="14" s="1"/>
  <c r="Q89" i="6"/>
  <c r="BX90" i="14"/>
  <c r="AH96" i="6"/>
  <c r="P89" i="6"/>
  <c r="AE98" i="6"/>
  <c r="AJ96" i="6"/>
  <c r="AE97" i="6"/>
  <c r="AL6" i="6" s="1"/>
  <c r="F15" i="5" s="1"/>
  <c r="M5" i="47" s="1"/>
  <c r="AF96" i="6"/>
  <c r="AL96" i="6"/>
  <c r="AK96" i="6"/>
  <c r="F18" i="5"/>
  <c r="T89" i="6"/>
  <c r="V96" i="6"/>
  <c r="AC8" i="6" s="1"/>
  <c r="R89" i="6"/>
  <c r="S89" i="6"/>
  <c r="N89" i="6"/>
  <c r="BU96" i="6" l="1"/>
  <c r="CA96" i="6" s="1"/>
  <c r="CA95" i="6"/>
  <c r="BR96" i="6"/>
  <c r="BX96" i="6" s="1"/>
  <c r="BW91" i="47"/>
  <c r="DO99" i="47" s="1"/>
  <c r="CW83" i="14"/>
  <c r="DB84" i="47"/>
  <c r="DM87" i="47"/>
  <c r="CG80" i="47"/>
  <c r="CS80" i="47" s="1"/>
  <c r="M4" i="14"/>
  <c r="DN92" i="47"/>
  <c r="CY90" i="14"/>
  <c r="DD91" i="47"/>
  <c r="BY97" i="6"/>
  <c r="M6" i="47" s="1"/>
  <c r="BY98" i="6"/>
  <c r="G84" i="6"/>
  <c r="BP84" i="6"/>
  <c r="F84" i="6"/>
  <c r="E85" i="6" s="1"/>
  <c r="BU80" i="47" s="1"/>
  <c r="J84" i="6"/>
  <c r="H84" i="6"/>
  <c r="K84" i="6"/>
  <c r="I84" i="6"/>
  <c r="BU78" i="14"/>
  <c r="DH98" i="14"/>
  <c r="CG90" i="14"/>
  <c r="CP90" i="14" s="1"/>
  <c r="F23" i="5" s="1"/>
  <c r="F24" i="5" s="1"/>
  <c r="DF91" i="14"/>
  <c r="BW90" i="14"/>
  <c r="Z96" i="6"/>
  <c r="Y96" i="6"/>
  <c r="E22" i="5"/>
  <c r="AC96" i="6"/>
  <c r="V97" i="6"/>
  <c r="AC6" i="6" s="1"/>
  <c r="E15" i="5" s="1"/>
  <c r="L5" i="47" s="1"/>
  <c r="W96" i="6"/>
  <c r="E18" i="5"/>
  <c r="V98" i="6"/>
  <c r="AA96" i="6"/>
  <c r="AB96" i="6"/>
  <c r="M90" i="6"/>
  <c r="CA98" i="6" l="1"/>
  <c r="CA97" i="6"/>
  <c r="O6" i="47" s="1"/>
  <c r="CV78" i="14"/>
  <c r="DA79" i="47"/>
  <c r="L4" i="14"/>
  <c r="BQ90" i="6"/>
  <c r="BW90" i="6" s="1"/>
  <c r="BV85" i="47"/>
  <c r="CH85" i="47" s="1"/>
  <c r="CT85" i="47" s="1"/>
  <c r="CX90" i="14"/>
  <c r="DC91" i="47"/>
  <c r="CG81" i="47"/>
  <c r="CS81" i="47" s="1"/>
  <c r="DM88" i="47"/>
  <c r="M5" i="14"/>
  <c r="X3" i="52" s="1"/>
  <c r="BV84" i="6"/>
  <c r="BP85" i="6"/>
  <c r="CD78" i="14"/>
  <c r="CM78" i="14" s="1"/>
  <c r="BU79" i="14"/>
  <c r="DE86" i="14"/>
  <c r="DG98" i="14"/>
  <c r="CF90" i="14"/>
  <c r="CO90" i="14" s="1"/>
  <c r="E23" i="5" s="1"/>
  <c r="E24" i="5" s="1"/>
  <c r="BV84" i="14"/>
  <c r="CE84" i="14" s="1"/>
  <c r="CN84" i="14" s="1"/>
  <c r="Q90" i="6"/>
  <c r="P90" i="6"/>
  <c r="G85" i="6"/>
  <c r="J85" i="6"/>
  <c r="H85" i="6"/>
  <c r="F85" i="6"/>
  <c r="K85" i="6"/>
  <c r="DA80" i="47" s="1"/>
  <c r="I85" i="6"/>
  <c r="T90" i="6"/>
  <c r="N90" i="6"/>
  <c r="S90" i="6"/>
  <c r="R90" i="6"/>
  <c r="F25" i="5" l="1"/>
  <c r="AN3" i="40"/>
  <c r="CW84" i="14"/>
  <c r="DB85" i="47"/>
  <c r="DN93" i="47"/>
  <c r="BV85" i="6"/>
  <c r="CD79" i="14"/>
  <c r="CM79" i="14" s="1"/>
  <c r="DE87" i="14"/>
  <c r="E86" i="6"/>
  <c r="CV79" i="14"/>
  <c r="DF92" i="14"/>
  <c r="M91" i="6"/>
  <c r="BQ91" i="6" l="1"/>
  <c r="BW91" i="6" s="1"/>
  <c r="BV86" i="47"/>
  <c r="CH86" i="47" s="1"/>
  <c r="CT86" i="47" s="1"/>
  <c r="BP86" i="6"/>
  <c r="BV86" i="6" s="1"/>
  <c r="BU81" i="47"/>
  <c r="K86" i="6"/>
  <c r="G86" i="6"/>
  <c r="I86" i="6"/>
  <c r="F86" i="6"/>
  <c r="J86" i="6"/>
  <c r="H86" i="6"/>
  <c r="BU80" i="14"/>
  <c r="BV85" i="14"/>
  <c r="CE85" i="14" s="1"/>
  <c r="CN85" i="14" s="1"/>
  <c r="Q91" i="6"/>
  <c r="P91" i="6"/>
  <c r="T91" i="6"/>
  <c r="S91" i="6"/>
  <c r="R91" i="6"/>
  <c r="N91" i="6"/>
  <c r="CG82" i="47" l="1"/>
  <c r="CS82" i="47" s="1"/>
  <c r="DM89" i="47"/>
  <c r="CV80" i="14"/>
  <c r="DA81" i="47"/>
  <c r="DN94" i="47"/>
  <c r="CW85" i="14"/>
  <c r="DB86" i="47"/>
  <c r="CD80" i="14"/>
  <c r="CM80" i="14" s="1"/>
  <c r="E87" i="6"/>
  <c r="BU82" i="47" s="1"/>
  <c r="DE88" i="14"/>
  <c r="DF93" i="14"/>
  <c r="M92" i="6"/>
  <c r="CG83" i="47" l="1"/>
  <c r="CS83" i="47" s="1"/>
  <c r="DM90" i="47"/>
  <c r="BQ92" i="6"/>
  <c r="BW92" i="6" s="1"/>
  <c r="BV87" i="47"/>
  <c r="CH87" i="47" s="1"/>
  <c r="CT87" i="47" s="1"/>
  <c r="BU81" i="14"/>
  <c r="DE89" i="14" s="1"/>
  <c r="BP87" i="6"/>
  <c r="CD81" i="14"/>
  <c r="CM81" i="14" s="1"/>
  <c r="K87" i="6"/>
  <c r="F87" i="6"/>
  <c r="E88" i="6" s="1"/>
  <c r="BU83" i="47" s="1"/>
  <c r="I87" i="6"/>
  <c r="G87" i="6"/>
  <c r="J87" i="6"/>
  <c r="H87" i="6"/>
  <c r="BV86" i="14"/>
  <c r="CE86" i="14" s="1"/>
  <c r="CN86" i="14" s="1"/>
  <c r="Q92" i="6"/>
  <c r="P92" i="6"/>
  <c r="T92" i="6"/>
  <c r="S92" i="6"/>
  <c r="N92" i="6"/>
  <c r="R92" i="6"/>
  <c r="DN95" i="47" l="1"/>
  <c r="DM91" i="47"/>
  <c r="CG84" i="47"/>
  <c r="CS84" i="47" s="1"/>
  <c r="CW86" i="14"/>
  <c r="DB87" i="47"/>
  <c r="CV81" i="14"/>
  <c r="DA82" i="47"/>
  <c r="BV87" i="6"/>
  <c r="BP88" i="6"/>
  <c r="BU82" i="14"/>
  <c r="J88" i="6"/>
  <c r="I88" i="6"/>
  <c r="G88" i="6"/>
  <c r="F88" i="6"/>
  <c r="E89" i="6" s="1"/>
  <c r="BU84" i="47" s="1"/>
  <c r="H88" i="6"/>
  <c r="K88" i="6"/>
  <c r="DF94" i="14"/>
  <c r="M93" i="6"/>
  <c r="DM92" i="47" l="1"/>
  <c r="CG85" i="47"/>
  <c r="CS85" i="47" s="1"/>
  <c r="BQ93" i="6"/>
  <c r="BW93" i="6" s="1"/>
  <c r="BV88" i="47"/>
  <c r="CH88" i="47" s="1"/>
  <c r="CT88" i="47" s="1"/>
  <c r="CV82" i="14"/>
  <c r="DA83" i="47"/>
  <c r="BV88" i="6"/>
  <c r="BP89" i="6"/>
  <c r="CD82" i="14"/>
  <c r="CM82" i="14" s="1"/>
  <c r="BU83" i="14"/>
  <c r="CD83" i="14" s="1"/>
  <c r="DE90" i="14"/>
  <c r="BV87" i="14"/>
  <c r="CE87" i="14" s="1"/>
  <c r="CN87" i="14" s="1"/>
  <c r="Q93" i="6"/>
  <c r="P93" i="6"/>
  <c r="K89" i="6"/>
  <c r="G89" i="6"/>
  <c r="I89" i="6"/>
  <c r="H89" i="6"/>
  <c r="J89" i="6"/>
  <c r="F89" i="6"/>
  <c r="E90" i="6" s="1"/>
  <c r="BU85" i="47" s="1"/>
  <c r="T93" i="6"/>
  <c r="N93" i="6"/>
  <c r="M94" i="6" s="1"/>
  <c r="S93" i="6"/>
  <c r="R93" i="6"/>
  <c r="DN96" i="47" l="1"/>
  <c r="BQ94" i="6"/>
  <c r="BW94" i="6" s="1"/>
  <c r="BV89" i="47"/>
  <c r="CH89" i="47" s="1"/>
  <c r="CT89" i="47" s="1"/>
  <c r="CV83" i="14"/>
  <c r="DA84" i="47"/>
  <c r="CW87" i="14"/>
  <c r="DB88" i="47"/>
  <c r="CG86" i="47"/>
  <c r="CS86" i="47" s="1"/>
  <c r="DM93" i="47"/>
  <c r="BP90" i="6"/>
  <c r="BV89" i="6"/>
  <c r="BZ97" i="6"/>
  <c r="BZ98" i="6"/>
  <c r="DE91" i="14"/>
  <c r="CM83" i="14"/>
  <c r="DF95" i="14"/>
  <c r="BV88" i="14"/>
  <c r="CE88" i="14" s="1"/>
  <c r="CN88" i="14" s="1"/>
  <c r="Q94" i="6"/>
  <c r="P94" i="6"/>
  <c r="BU84" i="14"/>
  <c r="T94" i="6"/>
  <c r="N94" i="6"/>
  <c r="M95" i="6" s="1"/>
  <c r="R94" i="6"/>
  <c r="S94" i="6"/>
  <c r="N5" i="14" l="1"/>
  <c r="U3" i="52" s="1"/>
  <c r="N6" i="47"/>
  <c r="BQ95" i="6"/>
  <c r="BW95" i="6" s="1"/>
  <c r="BV90" i="47"/>
  <c r="CH90" i="47" s="1"/>
  <c r="CT90" i="47" s="1"/>
  <c r="DN97" i="47"/>
  <c r="CW88" i="14"/>
  <c r="DB89" i="47"/>
  <c r="BV90" i="6"/>
  <c r="CD84" i="14"/>
  <c r="CM84" i="14" s="1"/>
  <c r="DF96" i="14"/>
  <c r="BV89" i="14"/>
  <c r="CE89" i="14" s="1"/>
  <c r="CN89" i="14" s="1"/>
  <c r="Q95" i="6"/>
  <c r="DE92" i="14"/>
  <c r="P95" i="6"/>
  <c r="J90" i="6"/>
  <c r="G90" i="6"/>
  <c r="H90" i="6"/>
  <c r="I90" i="6"/>
  <c r="F90" i="6"/>
  <c r="K90" i="6"/>
  <c r="DA85" i="47" s="1"/>
  <c r="T95" i="6"/>
  <c r="S95" i="6"/>
  <c r="N95" i="6"/>
  <c r="M96" i="6" s="1"/>
  <c r="T8" i="6" s="1"/>
  <c r="R95" i="6"/>
  <c r="G25" i="5" l="1"/>
  <c r="AL3" i="40"/>
  <c r="DN98" i="47"/>
  <c r="CW89" i="14"/>
  <c r="DB90" i="47"/>
  <c r="BQ96" i="6"/>
  <c r="BW96" i="6" s="1"/>
  <c r="BV91" i="47"/>
  <c r="DN99" i="47" s="1"/>
  <c r="E91" i="6"/>
  <c r="BU86" i="47" s="1"/>
  <c r="CV84" i="14"/>
  <c r="DF97" i="14"/>
  <c r="BV90" i="14"/>
  <c r="DF98" i="14" s="1"/>
  <c r="Q96" i="6"/>
  <c r="P96" i="6"/>
  <c r="D22" i="5"/>
  <c r="T96" i="6"/>
  <c r="M98" i="6"/>
  <c r="R96" i="6"/>
  <c r="D18" i="5"/>
  <c r="N96" i="6"/>
  <c r="S96" i="6"/>
  <c r="M97" i="6"/>
  <c r="T6" i="6" s="1"/>
  <c r="CH91" i="47" l="1"/>
  <c r="CT91" i="47" s="1"/>
  <c r="CG87" i="47"/>
  <c r="CS87" i="47" s="1"/>
  <c r="DM94" i="47"/>
  <c r="CW90" i="14"/>
  <c r="DB91" i="47"/>
  <c r="BU85" i="14"/>
  <c r="DE93" i="14" s="1"/>
  <c r="BP91" i="6"/>
  <c r="CD85" i="14"/>
  <c r="CM85" i="14" s="1"/>
  <c r="J91" i="6"/>
  <c r="F91" i="6"/>
  <c r="E92" i="6" s="1"/>
  <c r="BU87" i="47" s="1"/>
  <c r="I91" i="6"/>
  <c r="G91" i="6"/>
  <c r="K91" i="6"/>
  <c r="H91" i="6"/>
  <c r="CE90" i="14"/>
  <c r="CN90" i="14" s="1"/>
  <c r="D23" i="5" s="1"/>
  <c r="D24" i="5" s="1"/>
  <c r="D15" i="5"/>
  <c r="K5" i="47" s="1"/>
  <c r="CV85" i="14" l="1"/>
  <c r="DA86" i="47"/>
  <c r="K4" i="14"/>
  <c r="DM95" i="47"/>
  <c r="CG88" i="47"/>
  <c r="CS88" i="47" s="1"/>
  <c r="BV91" i="6"/>
  <c r="BP92" i="6"/>
  <c r="F92" i="6"/>
  <c r="E93" i="6" s="1"/>
  <c r="K92" i="6"/>
  <c r="I92" i="6"/>
  <c r="J92" i="6"/>
  <c r="G92" i="6"/>
  <c r="H92" i="6"/>
  <c r="BU86" i="14"/>
  <c r="CV86" i="14" l="1"/>
  <c r="DA87" i="47"/>
  <c r="BU87" i="14"/>
  <c r="DE95" i="14" s="1"/>
  <c r="BU88" i="47"/>
  <c r="BV92" i="6"/>
  <c r="BP93" i="6"/>
  <c r="BW97" i="6"/>
  <c r="K6" i="47" s="1"/>
  <c r="BW98" i="6"/>
  <c r="CD87" i="14"/>
  <c r="CM87" i="14" s="1"/>
  <c r="CD86" i="14"/>
  <c r="CM86" i="14" s="1"/>
  <c r="DE94" i="14"/>
  <c r="F93" i="6"/>
  <c r="G93" i="6"/>
  <c r="H93" i="6"/>
  <c r="I93" i="6"/>
  <c r="J93" i="6"/>
  <c r="K93" i="6"/>
  <c r="K5" i="14" l="1"/>
  <c r="Y3" i="52" s="1"/>
  <c r="DM96" i="47"/>
  <c r="CG89" i="47"/>
  <c r="CS89" i="47" s="1"/>
  <c r="CV87" i="14"/>
  <c r="DA88" i="47"/>
  <c r="BV93" i="6"/>
  <c r="BX97" i="6"/>
  <c r="L6" i="47" s="1"/>
  <c r="BX98" i="6"/>
  <c r="E94" i="6"/>
  <c r="D25" i="5" l="1"/>
  <c r="AO3" i="40"/>
  <c r="L5" i="14"/>
  <c r="V3" i="52" s="1"/>
  <c r="J94" i="6"/>
  <c r="BU89" i="47"/>
  <c r="BP94" i="6"/>
  <c r="G94" i="6"/>
  <c r="K94" i="6"/>
  <c r="I94" i="6"/>
  <c r="F94" i="6"/>
  <c r="E95" i="6" s="1"/>
  <c r="H94" i="6"/>
  <c r="BU88" i="14"/>
  <c r="E25" i="5" l="1"/>
  <c r="AM3" i="40"/>
  <c r="DM97" i="47"/>
  <c r="CG90" i="47"/>
  <c r="CS90" i="47" s="1"/>
  <c r="CV88" i="14"/>
  <c r="DA89" i="47"/>
  <c r="BU89" i="14"/>
  <c r="DE97" i="14" s="1"/>
  <c r="BU90" i="47"/>
  <c r="BP95" i="6"/>
  <c r="BV94" i="6"/>
  <c r="CD89" i="14"/>
  <c r="CM89" i="14" s="1"/>
  <c r="CD88" i="14"/>
  <c r="CM88" i="14" s="1"/>
  <c r="DE96" i="14"/>
  <c r="G95" i="6"/>
  <c r="J95" i="6"/>
  <c r="K95" i="6"/>
  <c r="F95" i="6"/>
  <c r="E96" i="6" s="1"/>
  <c r="H95" i="6"/>
  <c r="I95" i="6"/>
  <c r="BU91" i="47" l="1"/>
  <c r="DM99" i="47" s="1"/>
  <c r="K8" i="6"/>
  <c r="CV89" i="14"/>
  <c r="DA90" i="47"/>
  <c r="DM98" i="47"/>
  <c r="CG91" i="47"/>
  <c r="CS91" i="47" s="1"/>
  <c r="BV95" i="6"/>
  <c r="BP96" i="6"/>
  <c r="BV96" i="6" s="1"/>
  <c r="BU90" i="14"/>
  <c r="BV97" i="6" l="1"/>
  <c r="J6" i="47" s="1"/>
  <c r="BV98" i="6"/>
  <c r="CD90" i="14"/>
  <c r="CM90" i="14" s="1"/>
  <c r="C23" i="5" s="1"/>
  <c r="C24" i="5" s="1"/>
  <c r="DE98" i="14"/>
  <c r="C22" i="5"/>
  <c r="G96" i="6"/>
  <c r="H96" i="6"/>
  <c r="I96" i="6"/>
  <c r="E97" i="6"/>
  <c r="K6" i="6" s="1"/>
  <c r="C15" i="5" s="1"/>
  <c r="J5" i="47" s="1"/>
  <c r="K96" i="6"/>
  <c r="E98" i="6"/>
  <c r="C18" i="5"/>
  <c r="F96" i="6"/>
  <c r="J96" i="6"/>
  <c r="CV90" i="14" l="1"/>
  <c r="DA91" i="47"/>
  <c r="J4" i="14"/>
  <c r="J5" i="14"/>
  <c r="T3" i="52" s="1"/>
  <c r="C25" i="5" l="1"/>
  <c r="AK3" i="40"/>
  <c r="AZ17" i="6"/>
  <c r="BA17" i="6"/>
  <c r="AX17" i="6"/>
  <c r="BB17" i="6"/>
  <c r="BD17" i="6"/>
  <c r="DA11" i="14" s="1"/>
  <c r="BC17" i="6"/>
  <c r="AY17" i="6"/>
  <c r="AZ21" i="6"/>
  <c r="BB21" i="6"/>
  <c r="BD21" i="6"/>
  <c r="DA15" i="14" s="1"/>
  <c r="BA21" i="6"/>
  <c r="BC21" i="6"/>
  <c r="AX21" i="6"/>
  <c r="AY21" i="6"/>
  <c r="BB23" i="6"/>
  <c r="BC23" i="6"/>
  <c r="AX23" i="6"/>
  <c r="BA23" i="6"/>
  <c r="AY23" i="6"/>
  <c r="AZ23" i="6"/>
  <c r="BD23" i="6"/>
  <c r="DA17" i="14" s="1"/>
  <c r="BB18" i="6"/>
  <c r="BD18" i="6"/>
  <c r="DA12" i="14" s="1"/>
  <c r="AZ18" i="6"/>
  <c r="AX18" i="6"/>
  <c r="BA18" i="6"/>
  <c r="BC18" i="6"/>
  <c r="AY18" i="6"/>
  <c r="BC22" i="6"/>
  <c r="BA22" i="6"/>
  <c r="AY22" i="6"/>
  <c r="BD22" i="6"/>
  <c r="DA16" i="14" s="1"/>
  <c r="BB22" i="6"/>
  <c r="AZ22" i="6"/>
  <c r="AX22" i="6"/>
  <c r="AZ19" i="6"/>
  <c r="BA19" i="6"/>
  <c r="BB19" i="6"/>
  <c r="AX19" i="6"/>
  <c r="AY19" i="6"/>
  <c r="BD19" i="6"/>
  <c r="DA13" i="14" s="1"/>
  <c r="BC19" i="6"/>
  <c r="BC20" i="6"/>
  <c r="BA20" i="6"/>
  <c r="BD20" i="6"/>
  <c r="DA14" i="14" s="1"/>
  <c r="BB20" i="6"/>
  <c r="AX20" i="6"/>
  <c r="AZ20" i="6"/>
  <c r="AY20" i="6"/>
  <c r="BD6" i="6"/>
  <c r="H15" i="5" s="1"/>
  <c r="O4" i="14" l="1"/>
  <c r="O5" i="47"/>
  <c r="BA24" i="6"/>
  <c r="AX24" i="6"/>
  <c r="BB24" i="6"/>
  <c r="BD24" i="6"/>
  <c r="DA18" i="14" s="1"/>
  <c r="AY24" i="6"/>
  <c r="BC24" i="6"/>
  <c r="AZ24" i="6"/>
  <c r="BA25" i="6" l="1"/>
  <c r="AZ25" i="6"/>
  <c r="BC25" i="6"/>
  <c r="AX25" i="6"/>
  <c r="BB25" i="6"/>
  <c r="AY25" i="6"/>
  <c r="BD25" i="6"/>
  <c r="DA19" i="14" s="1"/>
  <c r="AX26" i="6" l="1"/>
  <c r="BD26" i="6"/>
  <c r="DA20" i="14" s="1"/>
  <c r="BB26" i="6"/>
  <c r="BA26" i="6"/>
  <c r="AY26" i="6"/>
  <c r="BC26" i="6"/>
  <c r="AZ26" i="6"/>
  <c r="BD27" i="6" l="1"/>
  <c r="DA21" i="14" s="1"/>
  <c r="AZ27" i="6"/>
  <c r="BA27" i="6"/>
  <c r="AX27" i="6"/>
  <c r="BC27" i="6"/>
  <c r="BB27" i="6"/>
  <c r="AY27" i="6"/>
  <c r="BA28" i="6" l="1"/>
  <c r="AX28" i="6"/>
  <c r="BC28" i="6"/>
  <c r="BB28" i="6"/>
  <c r="AY28" i="6"/>
  <c r="AZ28" i="6"/>
  <c r="BD28" i="6"/>
  <c r="DA22" i="14" s="1"/>
  <c r="AZ29" i="6" l="1"/>
  <c r="BD29" i="6"/>
  <c r="DA23" i="14" s="1"/>
  <c r="BC29" i="6"/>
  <c r="BA29" i="6"/>
  <c r="BB29" i="6"/>
  <c r="AY29" i="6"/>
  <c r="AX29" i="6"/>
  <c r="BB30" i="6" l="1"/>
  <c r="BC30" i="6"/>
  <c r="BD30" i="6"/>
  <c r="DA24" i="14" s="1"/>
  <c r="AY30" i="6"/>
  <c r="BA30" i="6"/>
  <c r="AX30" i="6"/>
  <c r="AZ30" i="6"/>
  <c r="AZ31" i="6" l="1"/>
  <c r="BA31" i="6"/>
  <c r="BD31" i="6"/>
  <c r="DA25" i="14" s="1"/>
  <c r="BC31" i="6"/>
  <c r="BB31" i="6"/>
  <c r="AX31" i="6"/>
  <c r="AY31" i="6"/>
  <c r="BB32" i="6" l="1"/>
  <c r="AX32" i="6"/>
  <c r="BA32" i="6"/>
  <c r="BC32" i="6"/>
  <c r="AZ32" i="6"/>
  <c r="BD32" i="6"/>
  <c r="DA26" i="14" s="1"/>
  <c r="AY32" i="6"/>
  <c r="BB33" i="6" l="1"/>
  <c r="AZ33" i="6"/>
  <c r="BA33" i="6"/>
  <c r="AX33" i="6"/>
  <c r="BD33" i="6"/>
  <c r="DA27" i="14" s="1"/>
  <c r="AY33" i="6"/>
  <c r="BC33" i="6"/>
  <c r="AZ34" i="6" l="1"/>
  <c r="AY34" i="6"/>
  <c r="BC34" i="6"/>
  <c r="AX34" i="6"/>
  <c r="BD34" i="6"/>
  <c r="DA28" i="14" s="1"/>
  <c r="BA34" i="6"/>
  <c r="BB34" i="6"/>
  <c r="BA35" i="6" l="1"/>
  <c r="AY35" i="6"/>
  <c r="AX35" i="6"/>
  <c r="BB35" i="6"/>
  <c r="AZ35" i="6"/>
  <c r="BC35" i="6"/>
  <c r="BD35" i="6"/>
  <c r="DA29" i="14" s="1"/>
  <c r="AY36" i="6" l="1"/>
  <c r="BB36" i="6"/>
  <c r="BA36" i="6"/>
  <c r="AZ36" i="6"/>
  <c r="BD36" i="6"/>
  <c r="DA30" i="14" s="1"/>
  <c r="AX36" i="6"/>
  <c r="BC36" i="6"/>
  <c r="AZ37" i="6" l="1"/>
  <c r="AY37" i="6"/>
  <c r="BC37" i="6"/>
  <c r="BB37" i="6"/>
  <c r="BD37" i="6"/>
  <c r="DA31" i="14" s="1"/>
  <c r="BA37" i="6"/>
  <c r="AX37" i="6"/>
  <c r="BB38" i="6" l="1"/>
  <c r="AX38" i="6"/>
  <c r="AZ38" i="6"/>
  <c r="BC38" i="6"/>
  <c r="BD38" i="6"/>
  <c r="DA32" i="14" s="1"/>
  <c r="AY38" i="6"/>
  <c r="BA38" i="6"/>
  <c r="AX39" i="6" l="1"/>
  <c r="BC39" i="6"/>
  <c r="AZ39" i="6"/>
  <c r="BD39" i="6"/>
  <c r="DA33" i="14" s="1"/>
  <c r="AY39" i="6"/>
  <c r="BA39" i="6"/>
  <c r="BB39" i="6"/>
  <c r="BA40" i="6" l="1"/>
  <c r="AZ40" i="6"/>
  <c r="BC40" i="6"/>
  <c r="BB40" i="6"/>
  <c r="AY40" i="6"/>
  <c r="BD40" i="6"/>
  <c r="DA34" i="14" s="1"/>
  <c r="AX40" i="6"/>
  <c r="AZ41" i="6" l="1"/>
  <c r="BD41" i="6"/>
  <c r="DA35" i="14" s="1"/>
  <c r="BC41" i="6"/>
  <c r="AX41" i="6"/>
  <c r="BB41" i="6"/>
  <c r="AY41" i="6"/>
  <c r="BA41" i="6"/>
  <c r="AY42" i="6" l="1"/>
  <c r="AX42" i="6"/>
  <c r="BA42" i="6"/>
  <c r="AZ42" i="6"/>
  <c r="BB42" i="6"/>
  <c r="BC42" i="6"/>
  <c r="BD42" i="6"/>
  <c r="DA36" i="14" s="1"/>
  <c r="AY43" i="6" l="1"/>
  <c r="BC43" i="6"/>
  <c r="AX43" i="6"/>
  <c r="BD43" i="6"/>
  <c r="DA37" i="14" s="1"/>
  <c r="BB43" i="6"/>
  <c r="BA43" i="6"/>
  <c r="AZ43" i="6"/>
  <c r="BB44" i="6" l="1"/>
  <c r="AX44" i="6"/>
  <c r="BD44" i="6"/>
  <c r="DA38" i="14" s="1"/>
  <c r="BC44" i="6"/>
  <c r="AY44" i="6"/>
  <c r="BA44" i="6"/>
  <c r="AZ44" i="6"/>
  <c r="AX45" i="6" l="1"/>
  <c r="BB45" i="6"/>
  <c r="AY45" i="6"/>
  <c r="AZ45" i="6"/>
  <c r="BD45" i="6"/>
  <c r="DA39" i="14" s="1"/>
  <c r="BC45" i="6"/>
  <c r="BA45" i="6"/>
  <c r="BA46" i="6" l="1"/>
  <c r="BD46" i="6"/>
  <c r="DA40" i="14" s="1"/>
  <c r="AY46" i="6"/>
  <c r="AX46" i="6"/>
  <c r="BC46" i="6"/>
  <c r="BB46" i="6"/>
  <c r="AZ46" i="6"/>
  <c r="BB47" i="6" l="1"/>
  <c r="BA47" i="6"/>
  <c r="AX47" i="6"/>
  <c r="BD47" i="6"/>
  <c r="DA41" i="14" s="1"/>
  <c r="BC47" i="6"/>
  <c r="AY47" i="6"/>
  <c r="AZ47" i="6"/>
  <c r="AX48" i="6" l="1"/>
  <c r="BB48" i="6"/>
  <c r="AZ48" i="6"/>
  <c r="AY48" i="6"/>
  <c r="BC48" i="6"/>
  <c r="BA48" i="6"/>
  <c r="BD48" i="6"/>
  <c r="DA42" i="14" s="1"/>
  <c r="BC49" i="6" l="1"/>
  <c r="BA49" i="6"/>
  <c r="BB49" i="6"/>
  <c r="AZ49" i="6"/>
  <c r="AX49" i="6"/>
  <c r="BD49" i="6"/>
  <c r="DA43" i="14" s="1"/>
  <c r="AY49" i="6"/>
  <c r="BA50" i="6" l="1"/>
  <c r="AY50" i="6"/>
  <c r="BD50" i="6"/>
  <c r="DA44" i="14" s="1"/>
  <c r="AX50" i="6"/>
  <c r="AZ50" i="6"/>
  <c r="BC50" i="6"/>
  <c r="BB50" i="6"/>
  <c r="AY51" i="6" l="1"/>
  <c r="AZ51" i="6"/>
  <c r="BC51" i="6"/>
  <c r="BB51" i="6"/>
  <c r="BA51" i="6"/>
  <c r="BD51" i="6"/>
  <c r="DA45" i="14" s="1"/>
  <c r="AX51" i="6"/>
  <c r="BD52" i="6" l="1"/>
  <c r="DA46" i="14" s="1"/>
  <c r="AX52" i="6"/>
  <c r="BC52" i="6"/>
  <c r="AY52" i="6"/>
  <c r="AZ52" i="6"/>
  <c r="BB52" i="6"/>
  <c r="BA52" i="6"/>
  <c r="AZ53" i="6" l="1"/>
  <c r="BA53" i="6"/>
  <c r="AY53" i="6"/>
  <c r="BD53" i="6"/>
  <c r="DA47" i="14" s="1"/>
  <c r="BC53" i="6"/>
  <c r="BB53" i="6"/>
  <c r="AX53" i="6"/>
  <c r="AY54" i="6" l="1"/>
  <c r="BD54" i="6"/>
  <c r="DA48" i="14" s="1"/>
  <c r="BA54" i="6"/>
  <c r="BB54" i="6"/>
  <c r="AZ54" i="6"/>
  <c r="AX54" i="6"/>
  <c r="BC54" i="6"/>
  <c r="AX55" i="6" l="1"/>
  <c r="AY55" i="6"/>
  <c r="AZ55" i="6"/>
  <c r="BB55" i="6"/>
  <c r="BC55" i="6"/>
  <c r="BA55" i="6"/>
  <c r="BD55" i="6"/>
  <c r="DA49" i="14" s="1"/>
  <c r="BA56" i="6" l="1"/>
  <c r="BB56" i="6"/>
  <c r="BD56" i="6"/>
  <c r="DA50" i="14" s="1"/>
  <c r="AY56" i="6"/>
  <c r="AZ56" i="6"/>
  <c r="BC56" i="6"/>
  <c r="AX56" i="6"/>
  <c r="BC57" i="6" l="1"/>
  <c r="BA57" i="6"/>
  <c r="AY57" i="6"/>
  <c r="BB57" i="6"/>
  <c r="BD57" i="6"/>
  <c r="DA51" i="14" s="1"/>
  <c r="AX57" i="6"/>
  <c r="AZ57" i="6"/>
  <c r="AZ58" i="6" l="1"/>
  <c r="BC58" i="6"/>
  <c r="BB58" i="6"/>
  <c r="BD58" i="6"/>
  <c r="DA52" i="14" s="1"/>
  <c r="AY58" i="6"/>
  <c r="BA58" i="6"/>
  <c r="AX58" i="6"/>
  <c r="AZ59" i="6" l="1"/>
  <c r="AX59" i="6"/>
  <c r="BA59" i="6"/>
  <c r="BD59" i="6"/>
  <c r="DA53" i="14" s="1"/>
  <c r="BC59" i="6"/>
  <c r="BB59" i="6"/>
  <c r="AY59" i="6"/>
  <c r="BC60" i="6" l="1"/>
  <c r="AZ60" i="6"/>
  <c r="BD60" i="6"/>
  <c r="DA54" i="14" s="1"/>
  <c r="BA60" i="6"/>
  <c r="AY60" i="6"/>
  <c r="BB60" i="6"/>
  <c r="AX60" i="6"/>
  <c r="BA61" i="6" l="1"/>
  <c r="AX61" i="6"/>
  <c r="BB61" i="6"/>
  <c r="AZ61" i="6"/>
  <c r="BC61" i="6"/>
  <c r="AY61" i="6"/>
  <c r="BD61" i="6"/>
  <c r="DA55" i="14" s="1"/>
  <c r="BC62" i="6" l="1"/>
  <c r="AY62" i="6"/>
  <c r="BA62" i="6"/>
  <c r="BB62" i="6"/>
  <c r="AZ62" i="6"/>
  <c r="AX62" i="6"/>
  <c r="BD62" i="6"/>
  <c r="DA56" i="14" s="1"/>
  <c r="AX63" i="6" l="1"/>
  <c r="BA63" i="6"/>
  <c r="AY63" i="6"/>
  <c r="BB63" i="6"/>
  <c r="BD63" i="6"/>
  <c r="DA57" i="14" s="1"/>
  <c r="BC63" i="6"/>
  <c r="AZ63" i="6"/>
  <c r="BB64" i="6" l="1"/>
  <c r="BD64" i="6"/>
  <c r="DA58" i="14" s="1"/>
  <c r="AZ64" i="6"/>
  <c r="BA64" i="6"/>
  <c r="AX64" i="6"/>
  <c r="AY64" i="6"/>
  <c r="BC64" i="6"/>
  <c r="AX65" i="6" l="1"/>
  <c r="BC65" i="6"/>
  <c r="AZ65" i="6"/>
  <c r="AY65" i="6"/>
  <c r="BD65" i="6"/>
  <c r="DA59" i="14" s="1"/>
  <c r="BB65" i="6"/>
  <c r="BA65" i="6"/>
  <c r="BD66" i="6" l="1"/>
  <c r="DA60" i="14" s="1"/>
  <c r="AY66" i="6"/>
  <c r="AZ66" i="6"/>
  <c r="BC66" i="6"/>
  <c r="AX66" i="6"/>
  <c r="BA66" i="6"/>
  <c r="BB66" i="6"/>
  <c r="AZ67" i="6" l="1"/>
  <c r="BC67" i="6"/>
  <c r="BA67" i="6"/>
  <c r="BD67" i="6"/>
  <c r="DA61" i="14" s="1"/>
  <c r="AX67" i="6"/>
  <c r="AY67" i="6"/>
  <c r="BB67" i="6"/>
  <c r="BB68" i="6" l="1"/>
  <c r="AY68" i="6"/>
  <c r="BC68" i="6"/>
  <c r="AX68" i="6"/>
  <c r="BA68" i="6"/>
  <c r="AZ68" i="6"/>
  <c r="BD68" i="6"/>
  <c r="DA62" i="14" s="1"/>
  <c r="AZ69" i="6" l="1"/>
  <c r="AX69" i="6"/>
  <c r="BA69" i="6"/>
  <c r="BD69" i="6"/>
  <c r="DA63" i="14" s="1"/>
  <c r="AY69" i="6"/>
  <c r="BB69" i="6"/>
  <c r="BC69" i="6"/>
  <c r="AY70" i="6" l="1"/>
  <c r="BB70" i="6"/>
  <c r="BC70" i="6"/>
  <c r="AZ70" i="6"/>
  <c r="AX70" i="6"/>
  <c r="BD70" i="6"/>
  <c r="DA64" i="14" s="1"/>
  <c r="BA70" i="6"/>
  <c r="BC71" i="6" l="1"/>
  <c r="BB71" i="6"/>
  <c r="AZ71" i="6"/>
  <c r="AY71" i="6"/>
  <c r="BA71" i="6"/>
  <c r="AX71" i="6"/>
  <c r="BD71" i="6"/>
  <c r="DA65" i="14" s="1"/>
  <c r="BC72" i="6" l="1"/>
  <c r="BD72" i="6"/>
  <c r="DA66" i="14" s="1"/>
  <c r="BA72" i="6"/>
  <c r="AY72" i="6"/>
  <c r="BB72" i="6"/>
  <c r="AZ72" i="6"/>
  <c r="AX72" i="6"/>
  <c r="BC73" i="6" l="1"/>
  <c r="BB73" i="6"/>
  <c r="BA73" i="6"/>
  <c r="AX73" i="6"/>
  <c r="AY73" i="6"/>
  <c r="BD73" i="6"/>
  <c r="DA67" i="14" s="1"/>
  <c r="AZ73" i="6"/>
  <c r="AX74" i="6" l="1"/>
  <c r="BD74" i="6"/>
  <c r="DA68" i="14" s="1"/>
  <c r="BB74" i="6"/>
  <c r="AY74" i="6"/>
  <c r="BA74" i="6"/>
  <c r="BC74" i="6"/>
  <c r="AZ74" i="6"/>
  <c r="BA75" i="6" l="1"/>
  <c r="BD75" i="6"/>
  <c r="DA69" i="14" s="1"/>
  <c r="BC75" i="6"/>
  <c r="AZ75" i="6"/>
  <c r="AY75" i="6"/>
  <c r="AX75" i="6"/>
  <c r="BB75" i="6"/>
  <c r="BD76" i="6" l="1"/>
  <c r="DA70" i="14" s="1"/>
  <c r="AY76" i="6"/>
  <c r="AX76" i="6"/>
  <c r="AZ76" i="6"/>
  <c r="BB76" i="6"/>
  <c r="BC76" i="6"/>
  <c r="BA76" i="6"/>
  <c r="BC77" i="6" l="1"/>
  <c r="AX77" i="6"/>
  <c r="BA77" i="6"/>
  <c r="BB77" i="6"/>
  <c r="BD77" i="6"/>
  <c r="DA71" i="14" s="1"/>
  <c r="AZ77" i="6"/>
  <c r="AY77" i="6"/>
  <c r="AY78" i="6" l="1"/>
  <c r="AX78" i="6"/>
  <c r="BA78" i="6"/>
  <c r="BB78" i="6"/>
  <c r="BD78" i="6"/>
  <c r="DA72" i="14" s="1"/>
  <c r="AZ78" i="6"/>
  <c r="BC78" i="6"/>
  <c r="BD79" i="6" l="1"/>
  <c r="DA73" i="14" s="1"/>
  <c r="AX79" i="6"/>
  <c r="AY79" i="6"/>
  <c r="BA79" i="6"/>
  <c r="BB79" i="6"/>
  <c r="AZ79" i="6"/>
  <c r="BC79" i="6"/>
  <c r="BC80" i="6" l="1"/>
  <c r="BD80" i="6"/>
  <c r="DA74" i="14" s="1"/>
  <c r="AZ80" i="6"/>
  <c r="BB80" i="6"/>
  <c r="AY80" i="6"/>
  <c r="BA80" i="6"/>
  <c r="AX80" i="6"/>
  <c r="BD81" i="6" l="1"/>
  <c r="DA75" i="14" s="1"/>
  <c r="BC81" i="6"/>
  <c r="AY81" i="6"/>
  <c r="BB81" i="6"/>
  <c r="AZ81" i="6"/>
  <c r="AX81" i="6"/>
  <c r="BA81" i="6"/>
  <c r="AX82" i="6" l="1"/>
  <c r="AZ82" i="6"/>
  <c r="BD82" i="6"/>
  <c r="DA76" i="14" s="1"/>
  <c r="AY82" i="6"/>
  <c r="BA82" i="6"/>
  <c r="BB82" i="6"/>
  <c r="BC82" i="6"/>
  <c r="BD83" i="6" l="1"/>
  <c r="DA77" i="14" s="1"/>
  <c r="BC83" i="6"/>
  <c r="AX83" i="6"/>
  <c r="AY83" i="6"/>
  <c r="BB83" i="6"/>
  <c r="BA83" i="6"/>
  <c r="AZ83" i="6"/>
  <c r="BB84" i="6" l="1"/>
  <c r="BD84" i="6"/>
  <c r="DA78" i="14" s="1"/>
  <c r="AX84" i="6"/>
  <c r="AZ84" i="6"/>
  <c r="AY84" i="6"/>
  <c r="BC84" i="6"/>
  <c r="BA84" i="6"/>
  <c r="AZ85" i="6" l="1"/>
  <c r="BB85" i="6"/>
  <c r="BA85" i="6"/>
  <c r="AX85" i="6"/>
  <c r="BC85" i="6"/>
  <c r="AY85" i="6"/>
  <c r="BD85" i="6"/>
  <c r="DA79" i="14" s="1"/>
  <c r="AY86" i="6" l="1"/>
  <c r="BD86" i="6"/>
  <c r="DA80" i="14" s="1"/>
  <c r="AZ86" i="6"/>
  <c r="BA86" i="6"/>
  <c r="BC86" i="6"/>
  <c r="BB86" i="6"/>
  <c r="AX86" i="6"/>
  <c r="BA87" i="6" l="1"/>
  <c r="BD87" i="6"/>
  <c r="DA81" i="14" s="1"/>
  <c r="AZ87" i="6"/>
  <c r="AY87" i="6"/>
  <c r="BC87" i="6"/>
  <c r="BB87" i="6"/>
  <c r="AX87" i="6"/>
  <c r="BB88" i="6" l="1"/>
  <c r="BA88" i="6"/>
  <c r="AX88" i="6"/>
  <c r="BD88" i="6"/>
  <c r="DA82" i="14" s="1"/>
  <c r="AZ88" i="6"/>
  <c r="BC88" i="6"/>
  <c r="AY88" i="6"/>
  <c r="BD89" i="6" l="1"/>
  <c r="DA83" i="14" s="1"/>
  <c r="AZ89" i="6"/>
  <c r="BA89" i="6"/>
  <c r="AX89" i="6"/>
  <c r="BB89" i="6"/>
  <c r="AY89" i="6"/>
  <c r="BC89" i="6"/>
  <c r="AX90" i="6" l="1"/>
  <c r="BB90" i="6"/>
  <c r="AY90" i="6"/>
  <c r="BD90" i="6"/>
  <c r="DA84" i="14" s="1"/>
  <c r="AZ90" i="6"/>
  <c r="BA90" i="6"/>
  <c r="BC90" i="6"/>
  <c r="BC91" i="6" l="1"/>
  <c r="AY91" i="6"/>
  <c r="BB91" i="6"/>
  <c r="BA91" i="6"/>
  <c r="AZ91" i="6"/>
  <c r="BD91" i="6"/>
  <c r="DA85" i="14" s="1"/>
  <c r="AX91" i="6"/>
  <c r="AY92" i="6" l="1"/>
  <c r="AZ92" i="6"/>
  <c r="AX92" i="6"/>
  <c r="BC92" i="6"/>
  <c r="BA92" i="6"/>
  <c r="BD92" i="6"/>
  <c r="DA86" i="14" s="1"/>
  <c r="BB92" i="6"/>
  <c r="BC93" i="6" l="1"/>
  <c r="AZ93" i="6"/>
  <c r="BD93" i="6"/>
  <c r="DA87" i="14" s="1"/>
  <c r="BB93" i="6"/>
  <c r="BA93" i="6"/>
  <c r="AY93" i="6"/>
  <c r="AX93" i="6"/>
  <c r="BA94" i="6" l="1"/>
  <c r="BD94" i="6"/>
  <c r="DA88" i="14" s="1"/>
  <c r="BC94" i="6"/>
  <c r="BB94" i="6"/>
  <c r="AY94" i="6"/>
  <c r="AX94" i="6"/>
  <c r="AZ94" i="6"/>
  <c r="AZ95" i="6" l="1"/>
  <c r="BC95" i="6"/>
  <c r="AX95" i="6"/>
  <c r="BD95" i="6"/>
  <c r="DA89" i="14" s="1"/>
  <c r="BB95" i="6"/>
  <c r="AY95" i="6"/>
  <c r="BA95" i="6"/>
  <c r="H18" i="5" l="1"/>
  <c r="AZ96" i="6"/>
  <c r="AY96" i="6"/>
  <c r="BC96" i="6"/>
  <c r="BD96" i="6"/>
  <c r="DA90" i="14" s="1"/>
  <c r="BA96" i="6"/>
  <c r="BB96" i="6"/>
  <c r="AX96" i="6"/>
  <c r="AW98" i="6"/>
  <c r="O5" i="14" s="1"/>
  <c r="H25" i="5" l="1"/>
  <c r="W3" i="52"/>
  <c r="AP3" i="40"/>
</calcChain>
</file>

<file path=xl/comments1.xml><?xml version="1.0" encoding="utf-8"?>
<comments xmlns="http://schemas.openxmlformats.org/spreadsheetml/2006/main">
  <authors>
    <author>RM</author>
    <author>Andreas Wolfsteiner</author>
  </authors>
  <commentList>
    <comment ref="C13" authorId="0" shapeId="0">
      <text>
        <r>
          <rPr>
            <b/>
            <sz val="9"/>
            <color indexed="81"/>
            <rFont val="Segoe UI"/>
            <family val="2"/>
          </rPr>
          <t>RM:</t>
        </r>
        <r>
          <rPr>
            <sz val="9"/>
            <color indexed="81"/>
            <rFont val="Segoe UI"/>
            <family val="2"/>
          </rPr>
          <t xml:space="preserve">
https://www.globalcarbonproject.org/carbonbudget/index.htm</t>
        </r>
      </text>
    </comment>
    <comment ref="D15" authorId="1" shapeId="0">
      <text>
        <r>
          <rPr>
            <sz val="9"/>
            <color indexed="81"/>
            <rFont val="Segoe UI"/>
            <family val="2"/>
          </rPr>
          <t>identifying IPCC ill. paths p1-p4</t>
        </r>
      </text>
    </comment>
    <comment ref="E15" authorId="1" shapeId="0">
      <text>
        <r>
          <rPr>
            <sz val="9"/>
            <color indexed="81"/>
            <rFont val="Segoe UI"/>
            <family val="2"/>
          </rPr>
          <t>original IPCC data</t>
        </r>
      </text>
    </comment>
  </commentList>
</comments>
</file>

<file path=xl/comments2.xml><?xml version="1.0" encoding="utf-8"?>
<comments xmlns="http://schemas.openxmlformats.org/spreadsheetml/2006/main">
  <authors>
    <author>AW</author>
    <author>Andreas Wolfsteiner</author>
    <author>RM</author>
  </authors>
  <commentList>
    <comment ref="F2" authorId="0" shapeId="0">
      <text>
        <r>
          <rPr>
            <sz val="9"/>
            <color indexed="81"/>
            <rFont val="Tahoma"/>
            <family val="2"/>
          </rPr>
          <t>Budget 2020 - 2050 (BG) oder
Zielmenge 2050 (ZM) wird nicht eingehalten.</t>
        </r>
      </text>
    </comment>
    <comment ref="B3" authorId="1" shapeId="0">
      <text>
        <r>
          <rPr>
            <sz val="11"/>
            <color indexed="81"/>
            <rFont val="Times New Roman"/>
            <family val="1"/>
          </rPr>
          <t>In rare cases, Goal Seek does not converge despite of the existence of a solution. We recommend in such cases to input following start value in the cells shaded in grey:
RR_t constant and A = -1%,
ER = 1%
a = 0.</t>
        </r>
      </text>
    </comment>
    <comment ref="A9" authorId="1" shapeId="0">
      <text>
        <r>
          <rPr>
            <sz val="9"/>
            <color indexed="81"/>
            <rFont val="Tahoma"/>
            <family val="2"/>
          </rPr>
          <t xml:space="preserve">
Relative reduction or increase in emissions in 2020 compared to of 2019.</t>
        </r>
      </text>
    </comment>
    <comment ref="H13" authorId="2" shapeId="0">
      <text>
        <r>
          <rPr>
            <b/>
            <sz val="9"/>
            <color indexed="81"/>
            <rFont val="Segoe UI"/>
            <family val="2"/>
          </rPr>
          <t>RM:</t>
        </r>
        <r>
          <rPr>
            <sz val="9"/>
            <color indexed="81"/>
            <rFont val="Segoe UI"/>
            <family val="2"/>
          </rPr>
          <t xml:space="preserve">
Gt p.a.</t>
        </r>
      </text>
    </comment>
    <comment ref="A16" authorId="0" shapeId="0">
      <text>
        <r>
          <rPr>
            <sz val="9"/>
            <color indexed="81"/>
            <rFont val="Tahoma"/>
            <family val="2"/>
          </rPr>
          <t>input value sheet "base data"</t>
        </r>
      </text>
    </comment>
    <comment ref="A19" authorId="0" shapeId="0">
      <text>
        <r>
          <rPr>
            <sz val="9"/>
            <color indexed="81"/>
            <rFont val="Tahoma"/>
            <family val="2"/>
          </rPr>
          <t>input value sheet "base data"</t>
        </r>
      </text>
    </comment>
    <comment ref="A23" authorId="0" shapeId="0">
      <text>
        <r>
          <rPr>
            <sz val="9"/>
            <color indexed="81"/>
            <rFont val="Tahoma"/>
            <family val="2"/>
          </rPr>
          <t>Within the formulae see below.</t>
        </r>
      </text>
    </comment>
    <comment ref="A24" authorId="0" shapeId="0">
      <text>
        <r>
          <rPr>
            <sz val="9"/>
            <color indexed="81"/>
            <rFont val="Tahoma"/>
            <family val="2"/>
          </rPr>
          <t>Within the formulae see below.</t>
        </r>
      </text>
    </comment>
    <comment ref="A28" authorId="1" shapeId="0">
      <text>
        <r>
          <rPr>
            <sz val="10"/>
            <color indexed="81"/>
            <rFont val="Times New Roman"/>
            <family val="1"/>
          </rPr>
          <t xml:space="preserve">Background:
In our view, it makes sense to change the methode at  relatively low global emissions in the scenarios 1-5. Another threshold can be entered here. The absolute reduction of the previous year is then used as a constant annual reduction amount.
</t>
        </r>
      </text>
    </comment>
  </commentList>
</comments>
</file>

<file path=xl/comments3.xml><?xml version="1.0" encoding="utf-8"?>
<comments xmlns="http://schemas.openxmlformats.org/spreadsheetml/2006/main">
  <authors>
    <author>Andreas Wolfsteiner</author>
  </authors>
  <commentList>
    <comment ref="C1" authorId="0" shapeId="0">
      <text>
        <r>
          <rPr>
            <sz val="9"/>
            <color indexed="81"/>
            <rFont val="Segoe UI"/>
            <family val="2"/>
          </rPr>
          <t xml:space="preserve">
added column</t>
        </r>
      </text>
    </comment>
  </commentList>
</comments>
</file>

<file path=xl/sharedStrings.xml><?xml version="1.0" encoding="utf-8"?>
<sst xmlns="http://schemas.openxmlformats.org/spreadsheetml/2006/main" count="1217" uniqueCount="387">
  <si>
    <t>t</t>
  </si>
  <si>
    <t>a</t>
  </si>
  <si>
    <t>S1</t>
  </si>
  <si>
    <t>S2</t>
  </si>
  <si>
    <t>S3</t>
  </si>
  <si>
    <t>S4</t>
  </si>
  <si>
    <t>S5</t>
  </si>
  <si>
    <r>
      <t>E</t>
    </r>
    <r>
      <rPr>
        <i/>
        <vertAlign val="subscript"/>
        <sz val="8"/>
        <rFont val="Times New Roman"/>
        <family val="1"/>
      </rPr>
      <t>t</t>
    </r>
    <r>
      <rPr>
        <i/>
        <sz val="8"/>
        <rFont val="Times New Roman"/>
        <family val="1"/>
      </rPr>
      <t xml:space="preserve"> - E</t>
    </r>
    <r>
      <rPr>
        <i/>
        <vertAlign val="subscript"/>
        <sz val="8"/>
        <rFont val="Times New Roman"/>
        <family val="1"/>
      </rPr>
      <t>t-1</t>
    </r>
  </si>
  <si>
    <t>B</t>
  </si>
  <si>
    <t>Szenario</t>
  </si>
  <si>
    <t>Beschreibung</t>
  </si>
  <si>
    <t>Gt</t>
  </si>
  <si>
    <t>A</t>
  </si>
  <si>
    <t>F</t>
  </si>
  <si>
    <r>
      <t>E</t>
    </r>
    <r>
      <rPr>
        <vertAlign val="subscript"/>
        <sz val="11"/>
        <rFont val="Times New Roman"/>
        <family val="1"/>
      </rPr>
      <t>t</t>
    </r>
  </si>
  <si>
    <t>2041 - 2050</t>
  </si>
  <si>
    <t>blau A1</t>
  </si>
  <si>
    <t>Rot A2</t>
  </si>
  <si>
    <t>Olivgrün A3</t>
  </si>
  <si>
    <t>Lila A4</t>
  </si>
  <si>
    <t>Orange A6</t>
  </si>
  <si>
    <t>to do</t>
  </si>
  <si>
    <t>summary</t>
  </si>
  <si>
    <t>imprint</t>
  </si>
  <si>
    <t>input values</t>
  </si>
  <si>
    <t>base data</t>
  </si>
  <si>
    <t>goal seek</t>
  </si>
  <si>
    <t>Political determination on the basis of scientific findings</t>
  </si>
  <si>
    <t>values can be overwritten</t>
  </si>
  <si>
    <t>input fields</t>
  </si>
  <si>
    <t>year:</t>
  </si>
  <si>
    <t>target is met</t>
  </si>
  <si>
    <t>target is not met</t>
  </si>
  <si>
    <t>determination via "goal seek"</t>
  </si>
  <si>
    <t>only a negative RR_20 possible</t>
  </si>
  <si>
    <t>a positive RR_20 is also possible
(= increasing emissions after 2019)</t>
  </si>
  <si>
    <t>target value of "goal seek"</t>
  </si>
  <si>
    <t>characteristics of the scenario</t>
  </si>
  <si>
    <r>
      <t xml:space="preserve">scenario </t>
    </r>
    <r>
      <rPr>
        <sz val="11"/>
        <rFont val="Calibri"/>
        <family val="2"/>
      </rPr>
      <t>∑</t>
    </r>
    <r>
      <rPr>
        <sz val="11"/>
        <rFont val="Times New Roman"/>
        <family val="1"/>
      </rPr>
      <t xml:space="preserve"> 2020 - 2100</t>
    </r>
  </si>
  <si>
    <t>values from the scenarios</t>
  </si>
  <si>
    <r>
      <t xml:space="preserve">year maximum </t>
    </r>
    <r>
      <rPr>
        <i/>
        <sz val="11"/>
        <rFont val="Times New Roman"/>
        <family val="1"/>
      </rPr>
      <t>RR</t>
    </r>
    <r>
      <rPr>
        <i/>
        <vertAlign val="subscript"/>
        <sz val="11"/>
        <rFont val="Times New Roman"/>
        <family val="1"/>
      </rPr>
      <t>t</t>
    </r>
  </si>
  <si>
    <t>t / capita</t>
  </si>
  <si>
    <t>RR_t</t>
  </si>
  <si>
    <t>average</t>
  </si>
  <si>
    <t>year</t>
  </si>
  <si>
    <t>cumulative budget 2020 - 2100 in Gt</t>
  </si>
  <si>
    <t>scenario emissions in year 2100 in Gt</t>
  </si>
  <si>
    <t>constant annual reduction rate RR_t; modifiable value goal seek</t>
  </si>
  <si>
    <t>absolute
change
vs. prev. yearin
in Gt</t>
  </si>
  <si>
    <t>relative
change
vs. prev.
year</t>
  </si>
  <si>
    <t>relative
change
vs.
1990</t>
  </si>
  <si>
    <t>relative
change
vs.
2019</t>
  </si>
  <si>
    <t>relative
change
vs. 
2013</t>
  </si>
  <si>
    <t>see formula below</t>
  </si>
  <si>
    <r>
      <t>CO</t>
    </r>
    <r>
      <rPr>
        <vertAlign val="subscript"/>
        <sz val="9"/>
        <rFont val="Times New Roman"/>
        <family val="1"/>
      </rPr>
      <t>2</t>
    </r>
    <r>
      <rPr>
        <sz val="9"/>
        <rFont val="Times New Roman"/>
        <family val="1"/>
      </rPr>
      <t xml:space="preserve"> emissions
in Gt</t>
    </r>
  </si>
  <si>
    <r>
      <rPr>
        <i/>
        <sz val="6"/>
        <rFont val="Times New Roman"/>
        <family val="1"/>
      </rPr>
      <t>see formula below</t>
    </r>
    <r>
      <rPr>
        <i/>
        <sz val="8"/>
        <rFont val="Times New Roman"/>
        <family val="1"/>
      </rPr>
      <t xml:space="preserve">
E</t>
    </r>
    <r>
      <rPr>
        <i/>
        <vertAlign val="subscript"/>
        <sz val="8"/>
        <rFont val="Times New Roman"/>
        <family val="1"/>
      </rPr>
      <t>t</t>
    </r>
  </si>
  <si>
    <r>
      <t>actual RR</t>
    </r>
    <r>
      <rPr>
        <i/>
        <vertAlign val="subscript"/>
        <sz val="8"/>
        <rFont val="Times New Roman"/>
        <family val="1"/>
      </rPr>
      <t>t</t>
    </r>
  </si>
  <si>
    <r>
      <t>RR</t>
    </r>
    <r>
      <rPr>
        <i/>
        <vertAlign val="subscript"/>
        <sz val="8"/>
        <rFont val="Times New Roman"/>
        <family val="1"/>
      </rPr>
      <t>t</t>
    </r>
    <r>
      <rPr>
        <i/>
        <sz val="8"/>
        <rFont val="Times New Roman"/>
        <family val="1"/>
      </rPr>
      <t xml:space="preserve"> =
RR</t>
    </r>
    <r>
      <rPr>
        <i/>
        <vertAlign val="subscript"/>
        <sz val="8"/>
        <rFont val="Times New Roman"/>
        <family val="1"/>
      </rPr>
      <t>t-1</t>
    </r>
    <r>
      <rPr>
        <i/>
        <sz val="8"/>
        <rFont val="Times New Roman"/>
        <family val="1"/>
      </rPr>
      <t xml:space="preserve"> + A</t>
    </r>
  </si>
  <si>
    <r>
      <t>actual RR</t>
    </r>
    <r>
      <rPr>
        <vertAlign val="subscript"/>
        <sz val="10"/>
        <rFont val="Times New Roman"/>
        <family val="1"/>
      </rPr>
      <t>t</t>
    </r>
  </si>
  <si>
    <t>global negative emissions in Gt</t>
  </si>
  <si>
    <t>Authors:</t>
  </si>
  <si>
    <t>Professor Manfred Sargl</t>
  </si>
  <si>
    <t>Andreas Wolfsteiner, Master of Economics</t>
  </si>
  <si>
    <t>Günter Wittmann, Master of Mathematics</t>
  </si>
  <si>
    <t>http://www.save-the-climate.info</t>
  </si>
  <si>
    <t>Suggestions and feedback:</t>
  </si>
  <si>
    <t>Underlying world population: UN forecast</t>
  </si>
  <si>
    <t>Free parameters are determined by Goal Seek in such a way as that the budget is adhered to.</t>
  </si>
  <si>
    <r>
      <t>RS</t>
    </r>
    <r>
      <rPr>
        <i/>
        <vertAlign val="subscript"/>
        <sz val="8"/>
        <rFont val="Times New Roman"/>
        <family val="1"/>
      </rPr>
      <t xml:space="preserve">t </t>
    </r>
    <r>
      <rPr>
        <i/>
        <sz val="8"/>
        <rFont val="Times New Roman"/>
        <family val="1"/>
      </rPr>
      <t>= RS</t>
    </r>
    <r>
      <rPr>
        <i/>
        <vertAlign val="subscript"/>
        <sz val="8"/>
        <rFont val="Times New Roman"/>
        <family val="1"/>
      </rPr>
      <t>t-1</t>
    </r>
    <r>
      <rPr>
        <i/>
        <sz val="8"/>
        <rFont val="Times New Roman"/>
        <family val="1"/>
      </rPr>
      <t xml:space="preserve"> * (1+ER</t>
    </r>
    <r>
      <rPr>
        <i/>
        <vertAlign val="subscript"/>
        <sz val="8"/>
        <rFont val="Times New Roman"/>
        <family val="1"/>
      </rPr>
      <t>RR</t>
    </r>
    <r>
      <rPr>
        <i/>
        <sz val="8"/>
        <rFont val="Times New Roman"/>
        <family val="1"/>
      </rPr>
      <t>)</t>
    </r>
  </si>
  <si>
    <r>
      <t xml:space="preserve">In sheet "goal seek" input value </t>
    </r>
    <r>
      <rPr>
        <i/>
        <sz val="10"/>
        <rFont val="Times New Roman"/>
        <family val="1"/>
      </rPr>
      <t>TV</t>
    </r>
    <r>
      <rPr>
        <sz val="10"/>
        <rFont val="Times New Roman"/>
        <family val="1"/>
      </rPr>
      <t xml:space="preserve"> (threshold):</t>
    </r>
  </si>
  <si>
    <r>
      <rPr>
        <b/>
        <sz val="11"/>
        <rFont val="Times New Roman"/>
        <family val="1"/>
      </rPr>
      <t>budget</t>
    </r>
    <r>
      <rPr>
        <sz val="11"/>
        <rFont val="Times New Roman"/>
        <family val="1"/>
      </rPr>
      <t xml:space="preserve"> </t>
    </r>
    <r>
      <rPr>
        <sz val="9"/>
        <rFont val="Times New Roman"/>
        <family val="1"/>
      </rPr>
      <t>∑</t>
    </r>
    <r>
      <rPr>
        <sz val="11"/>
        <rFont val="Times New Roman"/>
        <family val="1"/>
      </rPr>
      <t xml:space="preserve"> 2020 - 2100</t>
    </r>
  </si>
  <si>
    <t>without period with absolute reduction</t>
  </si>
  <si>
    <r>
      <t>RR</t>
    </r>
    <r>
      <rPr>
        <i/>
        <vertAlign val="subscript"/>
        <sz val="8"/>
        <rFont val="Times New Roman"/>
        <family val="1"/>
      </rPr>
      <t xml:space="preserve">t </t>
    </r>
    <r>
      <rPr>
        <i/>
        <sz val="8"/>
        <rFont val="Times New Roman"/>
        <family val="1"/>
      </rPr>
      <t>const resp. actual</t>
    </r>
  </si>
  <si>
    <t>version:</t>
  </si>
  <si>
    <t>Global pathways determined 2020 - 2100</t>
  </si>
  <si>
    <t>Determination of the parameters for the global scenarios 2020 - 2100</t>
  </si>
  <si>
    <t>save-the-climate@online.ms</t>
  </si>
  <si>
    <t>source:</t>
  </si>
  <si>
    <r>
      <t>Minimum CO</t>
    </r>
    <r>
      <rPr>
        <b/>
        <vertAlign val="subscript"/>
        <sz val="11"/>
        <rFont val="Arial"/>
        <family val="2"/>
      </rPr>
      <t>2</t>
    </r>
    <r>
      <rPr>
        <b/>
        <sz val="11"/>
        <rFont val="Arial"/>
        <family val="2"/>
      </rPr>
      <t xml:space="preserve"> emissions in Gt (negative value for global negative emissions possible); </t>
    </r>
    <r>
      <rPr>
        <b/>
        <i/>
        <sz val="11"/>
        <rFont val="Arial"/>
        <family val="2"/>
      </rPr>
      <t>E</t>
    </r>
    <r>
      <rPr>
        <b/>
        <i/>
        <vertAlign val="subscript"/>
        <sz val="11"/>
        <rFont val="Arial"/>
        <family val="2"/>
      </rPr>
      <t>min</t>
    </r>
    <r>
      <rPr>
        <b/>
        <sz val="11"/>
        <rFont val="Arial"/>
        <family val="2"/>
      </rPr>
      <t>:</t>
    </r>
  </si>
  <si>
    <r>
      <t>E_</t>
    </r>
    <r>
      <rPr>
        <vertAlign val="subscript"/>
        <sz val="10"/>
        <color theme="0"/>
        <rFont val="Times New Roman"/>
        <family val="1"/>
      </rPr>
      <t>min</t>
    </r>
    <r>
      <rPr>
        <sz val="10"/>
        <color theme="0"/>
        <rFont val="Times New Roman"/>
        <family val="1"/>
      </rPr>
      <t xml:space="preserve"> in Gt</t>
    </r>
  </si>
  <si>
    <t>scenario cumulative emissions 2020 - 2100</t>
  </si>
  <si>
    <t>reduction rate 2020 (RR_20); input value sheet "goal seek"</t>
  </si>
  <si>
    <r>
      <t>CO</t>
    </r>
    <r>
      <rPr>
        <b/>
        <vertAlign val="subscript"/>
        <sz val="12"/>
        <rFont val="Arial"/>
        <family val="2"/>
      </rPr>
      <t>2</t>
    </r>
    <r>
      <rPr>
        <b/>
        <sz val="12"/>
        <rFont val="Arial"/>
        <family val="2"/>
      </rPr>
      <t xml:space="preserve"> cumulative budget </t>
    </r>
    <r>
      <rPr>
        <b/>
        <u/>
        <sz val="12"/>
        <rFont val="Arial"/>
        <family val="2"/>
      </rPr>
      <t>2020 - 2100</t>
    </r>
    <r>
      <rPr>
        <b/>
        <sz val="12"/>
        <rFont val="Arial"/>
        <family val="2"/>
      </rPr>
      <t xml:space="preserve"> in Gt</t>
    </r>
  </si>
  <si>
    <t>B. Emissions 2012 - 2019</t>
  </si>
  <si>
    <r>
      <t>CO</t>
    </r>
    <r>
      <rPr>
        <b/>
        <vertAlign val="subscript"/>
        <sz val="11"/>
        <rFont val="Arial"/>
        <family val="2"/>
      </rPr>
      <t>2</t>
    </r>
    <r>
      <rPr>
        <b/>
        <sz val="11"/>
        <rFont val="Arial"/>
        <family val="2"/>
      </rPr>
      <t xml:space="preserve"> emissions in the base year 2019 in Gt </t>
    </r>
    <r>
      <rPr>
        <sz val="11"/>
        <rFont val="Arial"/>
        <family val="2"/>
      </rPr>
      <t>(see B.)</t>
    </r>
  </si>
  <si>
    <t>threshold value; TV_S1 in Gt</t>
  </si>
  <si>
    <t>Constant annual reduction rates RR_t.</t>
  </si>
  <si>
    <t>ER</t>
  </si>
  <si>
    <t>escation rate on RR_t (ER); modifiable value "goal seek"</t>
  </si>
  <si>
    <t>Scenario 2 assumes an exponential increase of annual reduction rates. The start value (RR_20) can be entered. This start value is escalated annually. Goal Seek then determines the escalation rate (ER) which adheres to the budget.</t>
  </si>
  <si>
    <t>Scenario 3 assumes a linear increase of annual reduction rates. For the year 2020, a start value (RR_20) can be set. Goal Seek determines the constant negative adaptation amount (A) which ad-heres to the budget.</t>
  </si>
  <si>
    <r>
      <t xml:space="preserve">population
</t>
    </r>
    <r>
      <rPr>
        <sz val="9"/>
        <color theme="1"/>
        <rFont val="Times New Roman"/>
        <family val="1"/>
      </rPr>
      <t>in thousands</t>
    </r>
  </si>
  <si>
    <r>
      <t>minimum emissions; E</t>
    </r>
    <r>
      <rPr>
        <b/>
        <vertAlign val="subscript"/>
        <sz val="11"/>
        <rFont val="Times New Roman"/>
        <family val="1"/>
      </rPr>
      <t>min</t>
    </r>
  </si>
  <si>
    <r>
      <t xml:space="preserve">In sheet "goal seek" input value </t>
    </r>
    <r>
      <rPr>
        <i/>
        <sz val="10"/>
        <rFont val="Times New Roman"/>
        <family val="1"/>
      </rPr>
      <t>TV_S1</t>
    </r>
    <r>
      <rPr>
        <sz val="10"/>
        <rFont val="Times New Roman"/>
        <family val="1"/>
      </rPr>
      <t xml:space="preserve"> (threshold):</t>
    </r>
  </si>
  <si>
    <t>period with absolute reduction = 0%</t>
  </si>
  <si>
    <r>
      <t>emissions 2100 scenario; E</t>
    </r>
    <r>
      <rPr>
        <vertAlign val="subscript"/>
        <sz val="11"/>
        <rFont val="Times New Roman"/>
        <family val="1"/>
      </rPr>
      <t>2100</t>
    </r>
  </si>
  <si>
    <r>
      <rPr>
        <b/>
        <i/>
        <sz val="10"/>
        <color theme="3"/>
        <rFont val="Times New Roman"/>
        <family val="1"/>
      </rPr>
      <t>RR</t>
    </r>
    <r>
      <rPr>
        <b/>
        <i/>
        <vertAlign val="subscript"/>
        <sz val="10"/>
        <color theme="3"/>
        <rFont val="Times New Roman"/>
        <family val="1"/>
      </rPr>
      <t>t</t>
    </r>
    <r>
      <rPr>
        <b/>
        <sz val="10"/>
        <color theme="3"/>
        <rFont val="Times New Roman"/>
        <family val="1"/>
      </rPr>
      <t xml:space="preserve"> const</t>
    </r>
  </si>
  <si>
    <r>
      <rPr>
        <b/>
        <i/>
        <sz val="10"/>
        <color theme="3"/>
        <rFont val="Times New Roman"/>
        <family val="1"/>
      </rPr>
      <t>RR</t>
    </r>
    <r>
      <rPr>
        <b/>
        <i/>
        <vertAlign val="subscript"/>
        <sz val="10"/>
        <color theme="3"/>
        <rFont val="Times New Roman"/>
        <family val="1"/>
      </rPr>
      <t>t</t>
    </r>
    <r>
      <rPr>
        <b/>
        <i/>
        <sz val="10"/>
        <color theme="3"/>
        <rFont val="Times New Roman"/>
        <family val="1"/>
      </rPr>
      <t xml:space="preserve"> </t>
    </r>
    <r>
      <rPr>
        <b/>
        <sz val="10"/>
        <color theme="3"/>
        <rFont val="Times New Roman"/>
        <family val="1"/>
      </rPr>
      <t>exp</t>
    </r>
  </si>
  <si>
    <r>
      <rPr>
        <b/>
        <i/>
        <sz val="10"/>
        <color theme="3"/>
        <rFont val="Times New Roman"/>
        <family val="1"/>
      </rPr>
      <t>RR</t>
    </r>
    <r>
      <rPr>
        <b/>
        <i/>
        <vertAlign val="subscript"/>
        <sz val="10"/>
        <color theme="3"/>
        <rFont val="Times New Roman"/>
        <family val="1"/>
      </rPr>
      <t>t</t>
    </r>
    <r>
      <rPr>
        <b/>
        <sz val="10"/>
        <color theme="3"/>
        <rFont val="Times New Roman"/>
        <family val="1"/>
      </rPr>
      <t xml:space="preserve"> lin</t>
    </r>
  </si>
  <si>
    <r>
      <rPr>
        <b/>
        <i/>
        <sz val="10"/>
        <color theme="3"/>
        <rFont val="Times New Roman"/>
        <family val="1"/>
      </rPr>
      <t>RR</t>
    </r>
    <r>
      <rPr>
        <b/>
        <i/>
        <vertAlign val="subscript"/>
        <sz val="10"/>
        <color theme="3"/>
        <rFont val="Times New Roman"/>
        <family val="1"/>
      </rPr>
      <t>t</t>
    </r>
    <r>
      <rPr>
        <b/>
        <sz val="10"/>
        <color theme="3"/>
        <rFont val="Times New Roman"/>
        <family val="1"/>
      </rPr>
      <t xml:space="preserve"> quadr</t>
    </r>
  </si>
  <si>
    <t>Initial values for free parameter (cells shaded in grey) if Goal Seek does not converge:</t>
  </si>
  <si>
    <r>
      <t>anthropogenic CO</t>
    </r>
    <r>
      <rPr>
        <vertAlign val="subscript"/>
        <sz val="10"/>
        <rFont val="Arial"/>
        <family val="2"/>
      </rPr>
      <t>2</t>
    </r>
    <r>
      <rPr>
        <sz val="10"/>
        <rFont val="Arial"/>
        <family val="2"/>
      </rPr>
      <t xml:space="preserve"> emissions    in Gt</t>
    </r>
  </si>
  <si>
    <r>
      <rPr>
        <b/>
        <i/>
        <sz val="10"/>
        <color theme="8"/>
        <rFont val="Times New Roman"/>
        <family val="1"/>
      </rPr>
      <t>RR</t>
    </r>
    <r>
      <rPr>
        <b/>
        <i/>
        <vertAlign val="subscript"/>
        <sz val="10"/>
        <color theme="8"/>
        <rFont val="Times New Roman"/>
        <family val="1"/>
      </rPr>
      <t>t</t>
    </r>
    <r>
      <rPr>
        <b/>
        <sz val="10"/>
        <color theme="8"/>
        <rFont val="Times New Roman"/>
        <family val="1"/>
      </rPr>
      <t xml:space="preserve"> constant</t>
    </r>
  </si>
  <si>
    <t>D. Emissions in the base year 2019 and minimum emissions 2020 - 2100 (potential global negative emissions)</t>
  </si>
  <si>
    <r>
      <t xml:space="preserve">year </t>
    </r>
    <r>
      <rPr>
        <b/>
        <i/>
        <sz val="11"/>
        <rFont val="Times New Roman"/>
        <family val="1"/>
      </rPr>
      <t>E</t>
    </r>
    <r>
      <rPr>
        <b/>
        <i/>
        <vertAlign val="subscript"/>
        <sz val="11"/>
        <rFont val="Times New Roman"/>
        <family val="1"/>
      </rPr>
      <t>min</t>
    </r>
    <r>
      <rPr>
        <sz val="11"/>
        <rFont val="Times New Roman"/>
        <family val="1"/>
      </rPr>
      <t xml:space="preserve"> is achieved </t>
    </r>
  </si>
  <si>
    <r>
      <t xml:space="preserve">maximum </t>
    </r>
    <r>
      <rPr>
        <i/>
        <sz val="11"/>
        <rFont val="Times New Roman"/>
        <family val="1"/>
      </rPr>
      <t>RR</t>
    </r>
    <r>
      <rPr>
        <i/>
        <vertAlign val="subscript"/>
        <sz val="11"/>
        <rFont val="Times New Roman"/>
        <family val="1"/>
      </rPr>
      <t>t</t>
    </r>
  </si>
  <si>
    <t>T</t>
  </si>
  <si>
    <t>r</t>
  </si>
  <si>
    <t>m</t>
  </si>
  <si>
    <t>Raupach</t>
  </si>
  <si>
    <r>
      <rPr>
        <b/>
        <sz val="11"/>
        <rFont val="Times New Roman"/>
        <family val="1"/>
      </rPr>
      <t>reduction rate 2020 (</t>
    </r>
    <r>
      <rPr>
        <b/>
        <i/>
        <sz val="11"/>
        <rFont val="Times New Roman"/>
        <family val="1"/>
      </rPr>
      <t>RR</t>
    </r>
    <r>
      <rPr>
        <b/>
        <i/>
        <vertAlign val="subscript"/>
        <sz val="11"/>
        <rFont val="Times New Roman"/>
        <family val="1"/>
      </rPr>
      <t>20</t>
    </r>
    <r>
      <rPr>
        <b/>
        <sz val="11"/>
        <rFont val="Times New Roman"/>
        <family val="1"/>
      </rPr>
      <t>) S1-S4</t>
    </r>
  </si>
  <si>
    <r>
      <t xml:space="preserve">scenario cumulative emissions 2020 - </t>
    </r>
    <r>
      <rPr>
        <sz val="10"/>
        <rFont val="Arial Unicode MS"/>
        <family val="2"/>
      </rPr>
      <t>ㆀ</t>
    </r>
  </si>
  <si>
    <t>Smooth Pathways; based on: Raupach et al. (2014) / Sharing a quota on cumulative carbon emissions / nature climate change DOI: 10.1038/NCLIMATE2384</t>
  </si>
  <si>
    <t>mitigation rate</t>
  </si>
  <si>
    <r>
      <t xml:space="preserve">2101 - </t>
    </r>
    <r>
      <rPr>
        <sz val="10"/>
        <rFont val="Arial Unicode MS"/>
        <family val="2"/>
      </rPr>
      <t>ㆀ</t>
    </r>
  </si>
  <si>
    <t>-</t>
  </si>
  <si>
    <t>scenario cumulative emissions 2020 - 2100 in Gt</t>
  </si>
  <si>
    <r>
      <t xml:space="preserve">the emission time defined by the remaining budget and the emission power the end of the </t>
    </r>
    <r>
      <rPr>
        <i/>
        <sz val="10"/>
        <rFont val="Times New Roman"/>
        <family val="1"/>
      </rPr>
      <t>by</t>
    </r>
  </si>
  <si>
    <r>
      <t xml:space="preserve">2020 - </t>
    </r>
    <r>
      <rPr>
        <sz val="10"/>
        <rFont val="Arial Unicode MS"/>
        <family val="2"/>
      </rPr>
      <t>ㆀ</t>
    </r>
  </si>
  <si>
    <r>
      <t xml:space="preserve">Opportunity for its own TV in </t>
    </r>
    <r>
      <rPr>
        <b/>
        <sz val="10"/>
        <rFont val="Times New Roman"/>
        <family val="1"/>
      </rPr>
      <t>scenario 1</t>
    </r>
    <r>
      <rPr>
        <sz val="10"/>
        <rFont val="Times New Roman"/>
        <family val="1"/>
      </rPr>
      <t xml:space="preserve"> to get there earlier to global negative emissions: in Gt</t>
    </r>
  </si>
  <si>
    <t xml:space="preserve">All values in billion tonnes of carbon per year (GtC/yr), for the globe. For values in billion tonnes of carbon dioxide per year (GtCO2/yr) , multiply the numbers below by 3.664. </t>
  </si>
  <si>
    <t>Note: 1 billion tonnes C = 1 petagram of carbon (10^15 gC) = 1 gigatonne C = 3.664 billion tonnes of CO2</t>
  </si>
  <si>
    <t xml:space="preserve">All uncertainties represent ± 1 sigma error (68 % chance of being in the range provided) </t>
  </si>
  <si>
    <t>Emissions from fossil fuel combustion and industrial processes (uncertainty of ±5% for a ± 1 sigma confidence level):</t>
  </si>
  <si>
    <t>Emissions from land-use change (uncertainty of ±0.7 GtC/yr):</t>
  </si>
  <si>
    <r>
      <rPr>
        <b/>
        <sz val="12"/>
        <color indexed="8"/>
        <rFont val="Calibri"/>
        <family val="2"/>
      </rPr>
      <t xml:space="preserve">Cite as: average of two bookkeeping models: </t>
    </r>
    <r>
      <rPr>
        <sz val="12"/>
        <color indexed="8"/>
        <rFont val="Calibri"/>
        <family val="2"/>
      </rPr>
      <t>Houghton, R. A. and Nassikas, A. A.: Global and regional fluxes of carbon from land use and land cover change 1850-2015, Global Biogeochemical Cycles, 31, 456-472, 2017;  Hansis, E., Davis, S. J., and Pongratz, J.: Relevance of methodological choices for accounting of land use change carbon fluxes, Global Biogeochemical Cycles, 29, 1230-1246, 2015.</t>
    </r>
  </si>
  <si>
    <t>The atmospheric CO2 growth rate (variable uncertainty around 0.2 GtC/yr from 1980) is estimated directly from atmospheric CO2 concentration measurements, and provided by the US National Oceanic and Atmospheric Administration Earth System Research Laboratory (NOAA/ESRL).  http://www.esrl.noaa.gov/gmd/ccgg/trends/global.html</t>
  </si>
  <si>
    <t>1959-1980 are based on Mauna Loa and South Pole stations as observed by the CO2 Program at Scripps Institution of Oceanography. http://scrippsco2.ucsd.edu/data/atmospheric_co2/</t>
  </si>
  <si>
    <t>1980 onwards are global averages estimated from multiple stations run by NOAA/ESRL.</t>
  </si>
  <si>
    <r>
      <t xml:space="preserve">The ocean sink (uncertainty of ±0.5 GtC/yr) </t>
    </r>
    <r>
      <rPr>
        <sz val="12"/>
        <rFont val="Calibri"/>
        <family val="2"/>
      </rPr>
      <t xml:space="preserve">is estimated from the average of several global ocean biogeochemistry models that reproduce the observed mean ocean sink of the 1990s. </t>
    </r>
  </si>
  <si>
    <r>
      <t xml:space="preserve">The land sink (uncertainty of ±0.9 GtC/yr on average) </t>
    </r>
    <r>
      <rPr>
        <sz val="12"/>
        <rFont val="Calibri"/>
        <family val="2"/>
      </rPr>
      <t>was estimated from the average of several dynamic global vegetation models that reproduce the observed mean total land sink of the 1990s.</t>
    </r>
  </si>
  <si>
    <r>
      <t xml:space="preserve">The budget imbalance </t>
    </r>
    <r>
      <rPr>
        <sz val="12"/>
        <rFont val="Calibri"/>
        <family val="2"/>
      </rPr>
      <t xml:space="preserve">is the sum of emissions (fossil fuel and industry + land-use change) minus (atmospheric growth + ocean sink + land sink); it is a measure of our imperfect data and understanding of the contemporary carbon cycle. </t>
    </r>
  </si>
  <si>
    <t>Year</t>
  </si>
  <si>
    <t>fossil fuel and industry</t>
  </si>
  <si>
    <t>land-use change emissions</t>
  </si>
  <si>
    <t>atmospheric growth</t>
  </si>
  <si>
    <t>ocean sink</t>
  </si>
  <si>
    <t>land sink</t>
  </si>
  <si>
    <t>budget imbalance</t>
  </si>
  <si>
    <t>See also:</t>
  </si>
  <si>
    <t>Further information is available on: http://www.globalcarbonproject.org/carbonbudget</t>
  </si>
  <si>
    <t xml:space="preserve">2016: Le Quéré, C., Andrew, R. M., Canadell, J. G., Sitch, S., Korsbakken, J. I., Peters, G. P., Manning, A. C., Boden, T. A., Tans, P. P., Houghton, R. A., Keeling, R. F., Alin, S., Andrews, O. D., Anthoni, P., Barbero, L., Bopp, L., Chevallier, F., Chini, L. P., Ciais, P., Currie, K., Delire, C., Doney, S. C., Friedlingstein, P., Gkritzalis, T., Harris, I., Hauck, J., Haverd, V., Hoppema, M., Klein Goldewijk, K., Jain, A. K., Kato, E., Körtzinger, A., Landschützer, P., Lefèvre, N., Lenton, A., Lienert, S., Lombardozzi, D., Melton, J. R., Metzl, N., Millero, F., Monteiro, P. M. S., Munro, D. R., Nabel, J. E. M. S., Nakaoka, S. I., O'Brien, K., Olsen, A., Omar, A. M., Ono, T., Pierrot, D., Poulter, B., Rödenbeck, C., Salisbury, J., Schuster, U., Schwinger, J., Séférian, R., Skjelvan, I., Stocker, B. D., Sutton, A. J., Takahashi, T., Tian, H., Tilbrook, B., van der Laan-Luijkx, I. T., van der Werf, G. R., Viovy, N., Walker, A. P., Wiltshire, A. J., and Zaehle, S.: Global Carbon Budget 2016, Earth Syst. Sci. Data, 8, 605-649, 10.5194/essd-8-605-2016, 2016.
</t>
  </si>
  <si>
    <t>2015: Le Quéré, C, R Moriarty, RM Andrew, JG Canadell, S Sitch, JI Korsbakken, P Friedlingstein, GP Peters, RJ Andres, TA Boden, RA Houghton, JI House, RF Keeling, P Tans, A Arneth, DCE Bakker, L Barbero, L Bopp, J Chang, F Chevallier, LP Chini, P Ciais, M Fader, RA Feely, T Gkritzalis, I Harris, J Hauck, T Ilyina, AK Jain, E Kato, V Kitidis, K Klein Goldewijk, C Koven, P Landschützer, SK Lauvset, N Lefèvre, A Lenton, ID Lima, N Metzl, F Millero, DR Munro, A Murata, JEMS Nabel, S Nakaoka, Y Nojiri, K O'Brien, A Olsen, T Ono, FF Pérez, B Pfeil, D Pierrot, B Poulter, G Rehder, C Rödenbeck, S Saito, U Schuster, J Schwinger, R Séférian, T Steinhoff, BD Stocker, AJ Sutton, T Takahashi, B Tilbrook, IT van der Laan-Luijkx, GR van der Werf, S van Heuven, D Vandemark, N Viovy, A Wiltshire, S Zaehle, and N Zeng 2015 Global Carbon Budget 2015 Earth System Science Data, 7, 349-396 doi:10.5194/essd-7-349-2015</t>
  </si>
  <si>
    <t>2015: Jackson, R. B., Canadell, J. G., Le Quéré, C., Andrew, R. M., Korsbakken, J. I., Peters, G. P., and Nakicenovic, N.: Reaching peak emissions, Nature Climate Change, 6, 7-10, 2016.</t>
  </si>
  <si>
    <t>2014: Le Quéré, C, R Moriarty, R M Andrew, G P Peters, P Ciais, P Friedlingstein, S D Jones, S Sitch, P Tans, A Arneth, T A Boden, L Bopp, Y Bozec, J G Canadell, Chini, L P, F Chevallier, C E Cosca, I Harris, M Hoppema, R A Houghton, J I House, A K Jain, T Johannessen, E Kato, R F Keeling, V Kitidis, K Klein Goldewijk, C Koven, C S Landa, P Landschützer, A Lenton, I D Lima, G Marland, J T Mathis, N Metzl, Y Nojiri, A Olsen, T Ono, S Peng, W Peters, B Pfeil, B Poulter, M R Raupach, P Regnier, C Rödenbeck, S Saito, J E Salisbury, U Schuster, J Schwinger, R Séférian, J Segschneider, T Steinhoff, B D Stocker, A J Sutton, T Takahashi, B Tilbrook, G R van der Werf, N Viovy, Y-P Wang, R Wanninkhof, A Wiltshire, and N Zeng 2015. Global Carbon Budget 2014 Earth System Science Data, 7, 47-85, doi:105194/essd-7-47-2015</t>
  </si>
  <si>
    <t>2014: Friedlingstein, P., Andrew, R. M., Rogelj, J., Peters, G. P., Canadell, J. G., Knutti, R., Luderer, G., Raupach, M. R., Schaeffer, M., van Vuuren, D. P., and Le Quéré, C.: Persistent growth of CO2 emissions and implications for reaching climate targets, Nature Geoscience, 2014. 2014.</t>
  </si>
  <si>
    <t>2013: Le Quéré, C, G P Peters, R J Andres, R M Andrew, T A Boden, P Ciais, P Friedlingstein, R A Houghton, G Marland, R Moriarty, S Sitch, P Tans, A Arneth, A Arvanitis, D C E Bakker, L Bopp, J G Canadell, L P Chini, S C Doney, A Harper, I Harris, J I House, A K Jain, S D Jones, E Kato, R F Keeling, K Klein Goldewijk, A Körtzinger, C Koven, N Lefèvre, F Maignan, A Omar, T Ono, G-H Park, B Pfeil, B Poulter, M R Raupach, P Regnier, C Rödenbeck, S Saito, J Schwinger, J Segschneider, B D Stocker, T Takahashi, B Tilbrook, S van Heuven, N Viovy, R Wanninkhof, A Wiltshire, and S Zaehle, 2014. Global Carbon Budget 2013 Earth Syst Sci Data, 6, 235-263, 2014, doi:105194/essd-6-235-2014, wwwearth-syst-sci-datanet/6/235/2014/</t>
  </si>
  <si>
    <t>2012: Le Quéré, C, R J Andres, T Boden, T Conway, R A Houghton, J I House, G Marland, G P Peters, G R van der Werf, A Ahlström, R M Andrew,  L Bopp, J G Canadell, P Ciais, S C Doney, P Friedlingstein, C Huntingford, A K Jain, C Jourdain, E Kato, R Keeling, K Klein Goldewijk, S Levis, P Levy, M Lomas, B Poulter, M Raupach, J Schwinger, S Sitch, B D Stocker, N Viovy, S Zaehle and N Zeng 2012. The Global Carbon Budget 1959 - 2011 Earth Syst Sci Data, doi:105194/essdd-5-165-2013, 2013 http://www.earth-syst-sci-data-discuss.net/5/165/2013/</t>
  </si>
  <si>
    <t>2012: Peters, G, RM Andrews, T Boden, JG Canadell, P Ciais, C Le Quéré, G Marland, MR Raupach and C Wilson, 2013. The challenge to keep global warming below 2C Nature Climate Change, 3, 4-6</t>
  </si>
  <si>
    <t>2011: Peters, G, Marland, G, Le Quéré, C, Boden, T, Canadell, JG, and Raupach, MR, 2012. Rapid growth in CO2 emissions after the 2008–2009 global financial crisis Nature Climate Change, 2: pp 2-4</t>
  </si>
  <si>
    <t>2010: Friedlingstein, P, Houghton, RA, Marland, G, Hackler, J, Boden, TA, Conway, TJ, Canadell, JG, Raupach, MR, Ciais, P, and Le Quéré, C, 2010. Update on CO2 emissions Nature Geoscience, 3, 811-812</t>
  </si>
  <si>
    <t>2009: Le Quéré, C,  Raupach, MR,  Canadell, JG, Marland, G, Bopp, L, Ciais, P, Conway, TJ,  Doney, SC, Feely, R, Foster, P, Friedlingstein, P, Gurney, K, Houghton, RA, House, JI, Huntingford, C, Levy, PE, Lomas, MR, Majkut, J, Metzl, N, Ometto, JP, Peters, GP, Prentice, IC, Randerson, JT, Running, SW, Sarmiento, JL, Schuster, U, Sitch, S, Takahashi, T, Viovy, N, van der Werf, GR, Woodward, FI, 2009. Trends in the sources and sinks of carbon dioxide Nature Geoscience, 2, 831-836 Requests reprints at: clequere(at)uea.ac.uk</t>
  </si>
  <si>
    <t>2007: Canadell, JC, Le Quéré, C, Raupach, MR, Fields, C, Buitenhuis, ET, Ciais, P, Conway, TJ, Gillett, N, Houghton, RA, and Marland, G, 2007. Contributions to accelerating atmospheric CO2 growth from economic activity, carbon intensity, and efficiency of natural sinks PNAS, 104, 18866-18870</t>
  </si>
  <si>
    <t>2006: Raupach, MR, Marland, G, Ciais, P, Le Quéré, C, Canadell, JG, Klepper, G, and CB Field, CB, 2007. Global and Regional Drivers of Accelerating CO2 Emissions PNAS, 104, 10288-10293</t>
  </si>
  <si>
    <t>see sheet:</t>
  </si>
  <si>
    <t>Global Carbon Budget</t>
  </si>
  <si>
    <t>annual change rate:</t>
  </si>
  <si>
    <t>SPM</t>
  </si>
  <si>
    <t>XL Toolbox Settings</t>
  </si>
  <si>
    <t>export_preset</t>
  </si>
  <si>
    <t>export_path</t>
  </si>
  <si>
    <t>see Table 2.2</t>
  </si>
  <si>
    <r>
      <t xml:space="preserve">sum
</t>
    </r>
    <r>
      <rPr>
        <sz val="8"/>
        <rFont val="Arial"/>
        <family val="2"/>
      </rPr>
      <t>2018 - 2019</t>
    </r>
  </si>
  <si>
    <t>http://www.ipcc.ch/report/sr15/</t>
  </si>
  <si>
    <t>&gt; Chapter 2</t>
  </si>
  <si>
    <t>SPM &gt;</t>
  </si>
  <si>
    <t>overshoot</t>
  </si>
  <si>
    <t>maximum overshoot</t>
  </si>
  <si>
    <t>average overshoot</t>
  </si>
  <si>
    <t>= A - F</t>
  </si>
  <si>
    <t>2018 - 2019</t>
  </si>
  <si>
    <r>
      <t xml:space="preserve">Parameter </t>
    </r>
    <r>
      <rPr>
        <i/>
        <sz val="10"/>
        <rFont val="Times New Roman"/>
        <family val="1"/>
      </rPr>
      <t>a</t>
    </r>
    <r>
      <rPr>
        <sz val="10"/>
        <rFont val="Times New Roman"/>
        <family val="1"/>
      </rPr>
      <t xml:space="preserve"> of the parabola; modifiable value in goal seek</t>
    </r>
  </si>
  <si>
    <r>
      <t>annual deduction (</t>
    </r>
    <r>
      <rPr>
        <i/>
        <sz val="10"/>
        <rFont val="Times New Roman"/>
        <family val="1"/>
      </rPr>
      <t>A</t>
    </r>
    <r>
      <rPr>
        <sz val="10"/>
        <rFont val="Times New Roman"/>
        <family val="1"/>
      </rPr>
      <t>) to RR_t; modifiable value in goal seek</t>
    </r>
  </si>
  <si>
    <r>
      <rPr>
        <b/>
        <i/>
        <sz val="10"/>
        <color theme="3"/>
        <rFont val="Times New Roman"/>
        <family val="1"/>
      </rPr>
      <t>RR</t>
    </r>
    <r>
      <rPr>
        <b/>
        <i/>
        <vertAlign val="subscript"/>
        <sz val="10"/>
        <color theme="3"/>
        <rFont val="Times New Roman"/>
        <family val="1"/>
      </rPr>
      <t>t</t>
    </r>
    <r>
      <rPr>
        <b/>
        <sz val="10"/>
        <color theme="3"/>
        <rFont val="Times New Roman"/>
        <family val="1"/>
      </rPr>
      <t xml:space="preserve"> rad</t>
    </r>
  </si>
  <si>
    <r>
      <t>rate of change of emissions at the end of the base year (</t>
    </r>
    <r>
      <rPr>
        <i/>
        <sz val="11"/>
        <rFont val="Times New Roman"/>
        <family val="1"/>
      </rPr>
      <t>r</t>
    </r>
    <r>
      <rPr>
        <sz val="11"/>
        <rFont val="Times New Roman"/>
        <family val="1"/>
      </rPr>
      <t xml:space="preserve">) : </t>
    </r>
  </si>
  <si>
    <t>reduction 2030 vs. 2010</t>
  </si>
  <si>
    <r>
      <t xml:space="preserve">Radical formula for annual reduction rates (RR_t; see formula below). For the year 2020, a start value (RR_20) can be set. Goal Seek determines the parameter </t>
    </r>
    <r>
      <rPr>
        <i/>
        <sz val="10"/>
        <rFont val="Times New Roman"/>
        <family val="1"/>
      </rPr>
      <t>a</t>
    </r>
    <r>
      <rPr>
        <sz val="10"/>
        <rFont val="Times New Roman"/>
        <family val="1"/>
      </rPr>
      <t xml:space="preserve"> which adheres to the budget.</t>
    </r>
  </si>
  <si>
    <r>
      <t xml:space="preserve">Quadratic formula for annual reduction rates (RR_t; see formula below). For the year 2020, a start value (RR_20) can be set. Goal Seek determines the parameter </t>
    </r>
    <r>
      <rPr>
        <i/>
        <sz val="10"/>
        <rFont val="Times New Roman"/>
        <family val="1"/>
      </rPr>
      <t>a</t>
    </r>
    <r>
      <rPr>
        <sz val="10"/>
        <rFont val="Times New Roman"/>
        <family val="1"/>
      </rPr>
      <t xml:space="preserve"> which adheres to the budget.</t>
    </r>
  </si>
  <si>
    <t>correction factor</t>
  </si>
  <si>
    <t>&lt;?xml version="1.0" encoding="utf-16"?&gt;_x000D_
&lt;Preset xmlns:xsi="http://www.w3.org/2001/XMLSchema-instance" xmlns:xsd="http://www.w3.org/2001/XMLSchema"&gt;_x000D_
  &lt;Name&gt;Png, 600 dpi, RGB, Transparente Leinwand&lt;/Name&gt;_x000D_
  &lt;Dpi&gt;600&lt;/Dpi&gt;_x000D_
  &lt;FileType&gt;Png&lt;/FileType&gt;_x000D_
  &lt;ColorSpace&gt;Rgb&lt;/ColorSpace&gt;_x000D_
  &lt;Transparency&gt;TransparentCanvas&lt;/Transparency&gt;_x000D_
  &lt;UseColorProfile&gt;false&lt;/UseColorProfile&gt;_x000D_
  &lt;ColorProfile&gt;sRGB Color Space Profile&lt;/ColorProfile&gt;_x000D_
&lt;/Preset&gt;</t>
  </si>
  <si>
    <t>sum</t>
  </si>
  <si>
    <t>S3-lin</t>
  </si>
  <si>
    <t>S4-quad</t>
  </si>
  <si>
    <t>S5-rad</t>
  </si>
  <si>
    <t>S1-const</t>
  </si>
  <si>
    <t>SPM-R</t>
  </si>
  <si>
    <t>Model</t>
  </si>
  <si>
    <t>Scenario</t>
  </si>
  <si>
    <t>Region</t>
  </si>
  <si>
    <t>Variable</t>
  </si>
  <si>
    <t>Unit</t>
  </si>
  <si>
    <t>AIM/CGE 2.0</t>
  </si>
  <si>
    <t>ADVANCE_2020_1.5C-2100</t>
  </si>
  <si>
    <t>World</t>
  </si>
  <si>
    <t>Emissions|CO2</t>
  </si>
  <si>
    <t>Mt CO2/yr</t>
  </si>
  <si>
    <t>SSP1-19</t>
  </si>
  <si>
    <t>P2</t>
  </si>
  <si>
    <t/>
  </si>
  <si>
    <t>SSP2-19</t>
  </si>
  <si>
    <t>AIM/CGE 2.1</t>
  </si>
  <si>
    <t>CD-LINKS_NPi2020_400</t>
  </si>
  <si>
    <t>EMF33_WB2C_cost100</t>
  </si>
  <si>
    <t>TERL_15D_LowCarbonTransportPolicy</t>
  </si>
  <si>
    <t>TERL_15D_NoTransportPolicy</t>
  </si>
  <si>
    <t>C-ROADS-5.005</t>
  </si>
  <si>
    <t>Ratchet-1.5-allCDR</t>
  </si>
  <si>
    <t>Ratchet-1.5-limCDR</t>
  </si>
  <si>
    <t>Ratchet-1.5-limCDR-noOS</t>
  </si>
  <si>
    <t>Ratchet-1.5-noCDR</t>
  </si>
  <si>
    <t>Ratchet-1.5-noCDR-noOS</t>
  </si>
  <si>
    <t>GCAM 4.2</t>
  </si>
  <si>
    <t>SSP5-19</t>
  </si>
  <si>
    <t>IMAGE 3.0.1</t>
  </si>
  <si>
    <t>IMA15-AGInt</t>
  </si>
  <si>
    <t>IMA15-Def</t>
  </si>
  <si>
    <t>IMA15-Eff</t>
  </si>
  <si>
    <t>IMA15-LiStCh</t>
  </si>
  <si>
    <t>IMA15-LoNCO2</t>
  </si>
  <si>
    <t>IMA15-Pop</t>
  </si>
  <si>
    <t>IMA15-RenElec</t>
  </si>
  <si>
    <t>IMA15-TOT</t>
  </si>
  <si>
    <t>MESSAGE-GLOBIOM 1.0</t>
  </si>
  <si>
    <t>ADVANCE_2030_Price1.5C</t>
  </si>
  <si>
    <t>EMF33_1.5C_cost100</t>
  </si>
  <si>
    <t>EMF33_1.5C_full</t>
  </si>
  <si>
    <t>EMF33_WB2C_full</t>
  </si>
  <si>
    <t>EMF33_WB2C_limbio</t>
  </si>
  <si>
    <t>EMF33_WB2C_nofuel</t>
  </si>
  <si>
    <t>P3</t>
  </si>
  <si>
    <t>MESSAGEix-GLOBIOM 1.0</t>
  </si>
  <si>
    <t>LowEnergyDemand</t>
  </si>
  <si>
    <t>P1</t>
  </si>
  <si>
    <t>POLES ADVANCE</t>
  </si>
  <si>
    <t>ADVANCE_2020_WB2C</t>
  </si>
  <si>
    <t>ADVANCE_2030_1.5C-2100</t>
  </si>
  <si>
    <t>ADVANCE_2030_WB2C</t>
  </si>
  <si>
    <t>REMIND 1.5</t>
  </si>
  <si>
    <t>EMC_Def_100$</t>
  </si>
  <si>
    <t>EMC_LimSW_100$</t>
  </si>
  <si>
    <t>EMC_NucPO_100$</t>
  </si>
  <si>
    <t>EMC_lowEI_100$</t>
  </si>
  <si>
    <t>REMIND 1.7</t>
  </si>
  <si>
    <t>CEMICS-1.5-CDR12</t>
  </si>
  <si>
    <t>CEMICS-1.5-CDR20</t>
  </si>
  <si>
    <t>CEMICS-1.5-CDR8</t>
  </si>
  <si>
    <t>REMIND-MAgPIE 1.5</t>
  </si>
  <si>
    <t>P4</t>
  </si>
  <si>
    <t>REMIND-MAgPIE 1.7-3.0</t>
  </si>
  <si>
    <t>EMF33_1.5C_nofuel</t>
  </si>
  <si>
    <t>PEP_1p5C_full_NDC</t>
  </si>
  <si>
    <t>PEP_1p5C_full_eff</t>
  </si>
  <si>
    <t>PEP_1p5C_full_goodpractice</t>
  </si>
  <si>
    <t>PEP_1p5C_full_netzero</t>
  </si>
  <si>
    <t>PEP_1p5C_red_eff</t>
  </si>
  <si>
    <t>SMP_1p5C_Def</t>
  </si>
  <si>
    <t>SMP_1p5C_Sust</t>
  </si>
  <si>
    <t>SMP_1p5C_early</t>
  </si>
  <si>
    <t>SMP_1p5C_lifesty</t>
  </si>
  <si>
    <t>SMP_1p5C_regul</t>
  </si>
  <si>
    <t>SMP_2C_Sust</t>
  </si>
  <si>
    <t>SMP_2C_lifesty</t>
  </si>
  <si>
    <t>SMP_2C_regul</t>
  </si>
  <si>
    <t>WITCH-GLOBIOM 3.1</t>
  </si>
  <si>
    <t>SSP4-19</t>
  </si>
  <si>
    <t>WITCH-GLOBIOM 4.2</t>
  </si>
  <si>
    <t>WITCH-GLOBIOM 4.4</t>
  </si>
  <si>
    <t>CD-LINKS_NPi2020_1000</t>
  </si>
  <si>
    <t>© IAMC 1.5°C Scenario Explorer hosted by IIASA https://data.ene.iiasa.ac.at/iamc-1.5c-explorer</t>
  </si>
  <si>
    <t>data</t>
  </si>
  <si>
    <t>interpolated</t>
  </si>
  <si>
    <t>P1 data</t>
  </si>
  <si>
    <t>P2 data</t>
  </si>
  <si>
    <t>P3 data</t>
  </si>
  <si>
    <t>P4 data</t>
  </si>
  <si>
    <t>IPCC SR15 illustrative model pathways</t>
  </si>
  <si>
    <t>without global negative emissions</t>
  </si>
  <si>
    <t>sum 2018 - 2100 in Gt</t>
  </si>
  <si>
    <t>sum neg. emissions in Gt</t>
  </si>
  <si>
    <t>graphs</t>
  </si>
  <si>
    <t>paths P1-P4</t>
  </si>
  <si>
    <t>input frame data</t>
  </si>
  <si>
    <t>determination and input of parameters for global paths</t>
  </si>
  <si>
    <t>calculation of global paths compatible with a given CO2 budget</t>
  </si>
  <si>
    <t>comparison: IPCC SR15 P1 - P4 ill. model paths</t>
  </si>
  <si>
    <t>Is the budget 2020 - 2100 complied with?</t>
  </si>
  <si>
    <t>budget 2018 - 2100 in Gt:</t>
  </si>
  <si>
    <t>budget 2020 - 2100 in Gt:</t>
  </si>
  <si>
    <r>
      <t xml:space="preserve">CO2 budget </t>
    </r>
    <r>
      <rPr>
        <b/>
        <sz val="10"/>
        <rFont val="Arial"/>
        <family val="2"/>
      </rPr>
      <t>from 2018 to 2100</t>
    </r>
    <r>
      <rPr>
        <sz val="10"/>
        <rFont val="Arial"/>
        <family val="2"/>
      </rPr>
      <t xml:space="preserve">
in Gt</t>
    </r>
  </si>
  <si>
    <t>A. Budget from 2018 to 2100</t>
  </si>
  <si>
    <t>C. Budget 2020 - 2100</t>
  </si>
  <si>
    <t>Regensburg Model scenario types</t>
  </si>
  <si>
    <t>contents and navigation</t>
  </si>
  <si>
    <t>IAMC 1.5°C Scenario Explorer and Data hosted by IIASA, release 1.1    _x000D_</t>
  </si>
  <si>
    <t xml:space="preserve">    _x000D_</t>
  </si>
  <si>
    <t>License    _x000D_</t>
  </si>
  <si>
    <t>Copyright 2018-2019 IIASA and IAMC    _x000D_</t>
  </si>
  <si>
    <t>If appropriate reference is made to the data source, it is permitted to use this data for scientific research and science communication.    _x000D_</t>
  </si>
  <si>
    <t>However, redistribution of substantial portions of the data is restricted.    _x000D_</t>
  </si>
  <si>
    <t>Please read the guidelines and legal code at    _x000D_</t>
  </si>
  <si>
    <t>https://data.ene.iiasa.ac.at/iamc-1.5c-explorer/#/license    _x000D_</t>
  </si>
  <si>
    <t>before redistributing this data or adapted material.    _x000D_</t>
  </si>
  <si>
    <t>Version    _x000D_</t>
  </si>
  <si>
    <t>When using this data for any analysis, figures or tables, please clearly state the release version as indicated at the top of this file.    _x000D_</t>
  </si>
  <si>
    <t>Please look at the release notes on the About page (see below) for a list of changes and the history of previous versions.    _x000D_</t>
  </si>
  <si>
    <t>https://data.ene.iiasa.ac.at/iamc-1.5c-explorer/#/about    _x000D_</t>
  </si>
  <si>
    <t>Scientific references    _x000D_</t>
  </si>
  <si>
    <t>When using the scenario ensemble data for own analysis, please cite:    _x000D_</t>
  </si>
  <si>
    <t xml:space="preserve">  Daniel Huppmann, Elmar Kriegler, Volker Krey, Keywan Riahi, Joeri Rogelj, Steven K. Rose, John Weyant, et al.,  _x000D_</t>
  </si>
  <si>
    <t xml:space="preserve">  IAMC 1.5°C Scenario Explorer and Data hosted by IIASA.  _x000D_</t>
  </si>
  <si>
    <t xml:space="preserve">  Integrated Assessment Modeling Consortium &amp; International Institute for Applied Systems Analysis, 2018.    _x000D_</t>
  </si>
  <si>
    <t xml:space="preserve">  doi:   https://doi.org/10.22022/SR15/08-2018.15429_x000D_</t>
  </si>
  <si>
    <t xml:space="preserve">  url:   https://data.ene.iiasa.ac.at/iamc-1.5c-explorer_x000D_</t>
  </si>
  <si>
    <t>You can download this citation and the references for all studies that submitted scenarios to the ensemble in the following formats:    _x000D_</t>
  </si>
  <si>
    <t>Endnote (enl)  https://data.ene.iiasa.ac.at/iamc-1.5c-explorer/iamc_1.5c_scenario_data.enl  _x000D_</t>
  </si>
  <si>
    <t>Reference Manager (ris)  https://data.ene.iiasa.ac.at/iamc-1.5c-explorer/iamc_1.5c_scenario_data.ris  _x000D_</t>
  </si>
  <si>
    <t>BibTex (bib)  https://data.ene.iiasa.ac.at/iamc-1.5c-explorer/iamc_1.5c_scenario_data.bib  _x000D_</t>
  </si>
  <si>
    <t>More information and acknowledgements    _x000D_</t>
  </si>
  <si>
    <t>Please refer to the page linked below for more information on the scenario ensemble, references to contributing studies, and acknowledgements of contributors and funding.    _x000D_</t>
  </si>
  <si>
    <t>SR15 P1</t>
  </si>
  <si>
    <t>SR15 P2</t>
  </si>
  <si>
    <t>SR15 P3</t>
  </si>
  <si>
    <t>SR15 P4</t>
  </si>
  <si>
    <t>RM: budget 2018 - 2100 in Gt:</t>
  </si>
  <si>
    <t>RM: budget 2020 - 2100 in Gt:</t>
  </si>
  <si>
    <t>2018a: Le Quéré, Corinne, Robbie M. Andrew, Pierre Friedlingstein, Stephen Sitch, Julia Pongratz, Andrew C. Manning, Jan Ivar Korsbakken, Glen P. Peters, Josep G. Canadell, Robert B. Jackson, Thomas A. Boden, Pieter P. Tans, Oliver D. Andrews, Vivek Arora, Dorothee C. E. Bakker, Leticia Barbero, Meike Becker, Richard A. Betts, Laurent Bopp, Frédéric Chevallier, Louise P. Chini, Philippe Ciais, Cathy Cosca, Jessica Cross, Kim Currie, Thomas Gasser, Ian Harris, Judith Hauck, Vanessa Haverd, Richard A. Houghton, Christopher W.  Hunt, George Hurtt, Tatiana Ilyina, Atul K. Jain, Etsushi Kato, Markus Kautz, Ralph F. Keeling, Kees Klein Goldewijk, Arne Körtzinger, Peter Landschützer, Nathalie Lefèvre, Andrew Lenton, Sebastian Lienert, Ivan Lima, Danica Lombardozzi, Nicolas Metzl, Frank Millero, Pedro M. S. Monteiro, David R. Munro, Julia E. M. S. Nabel, Shin-ichiro Nakaoka, Yukihiro Nojiri, X. Antoni Padin, Benjamin Pfeil, Denis Pierrot, Benjamin Poulter, Gregor Rehder, Janet Reimer, Christian Rödenbeck, Jörg Schwinger, Roland Séférian, Ingunn Skjelvan, Benjamin D. Stocker, Hanqin Tian, Bronte Tilbrook, Francesco N. Tubiello, Ingrid T. van der Laan-Luijkx, Guido R. van der Werf, Steven M. A. C. van Heuven, Nicolas Viovy, Nicolas Vuichard, Anthony P. Walker, Andrew J. Watson, Andrew J. Wiltshire, Sönke Zaehle, Dan Zhu: Global Carbon Budget 2017, Earth Syst. Sci. Data, 10, 405-499, 2018. https://doi.org/10.5194/essd-10-405-2018</t>
  </si>
  <si>
    <t xml:space="preserve">2017: Peters, G.P., C. Le Quéré, R.M. Andrew, J.G. Canadell, P. Friedlingstein, T. Ilyina, R. Jackson, J.I. Korsbakken, G.A. McKinley, S. Sitch, P. Tans: Towards real-time verification of carbon dioxide emissions, Nature Climate Change, 7, 848-850, 2018. https://doi.org/10.1038/s41558-017-0013-9 </t>
  </si>
  <si>
    <t>conversion factor</t>
  </si>
  <si>
    <t>smooth global paths: RM scenario types + SPM Formula from Raupach</t>
  </si>
  <si>
    <t>RM-1-const</t>
  </si>
  <si>
    <t>RM-4-quad</t>
  </si>
  <si>
    <t>RM-5-rad</t>
  </si>
  <si>
    <t>RM-2-exp</t>
  </si>
  <si>
    <t>RM-3-lin</t>
  </si>
  <si>
    <t>Overshoot</t>
  </si>
  <si>
    <r>
      <rPr>
        <b/>
        <i/>
        <sz val="10"/>
        <color theme="3"/>
        <rFont val="Times New Roman"/>
        <family val="1"/>
      </rPr>
      <t>RA</t>
    </r>
    <r>
      <rPr>
        <b/>
        <i/>
        <vertAlign val="subscript"/>
        <sz val="10"/>
        <color theme="3"/>
        <rFont val="Times New Roman"/>
        <family val="1"/>
      </rPr>
      <t>t</t>
    </r>
    <r>
      <rPr>
        <b/>
        <sz val="10"/>
        <color theme="3"/>
        <rFont val="Times New Roman"/>
        <family val="1"/>
      </rPr>
      <t xml:space="preserve"> const</t>
    </r>
  </si>
  <si>
    <t>global paths: comparison RM and IPCC SR15 illustrative scenarios</t>
  </si>
  <si>
    <t>2014 - 2019</t>
  </si>
  <si>
    <t>IPCC SR15 illustrative model paths P1 - P4 (interpolation of the paths)</t>
  </si>
  <si>
    <t>E:\Klima\Veröffentlichungen\Website\Hilfsdatein_Paris_konkret\Globale_Pfade.png</t>
  </si>
  <si>
    <t>hidden sheets</t>
  </si>
  <si>
    <t>global emission paths and important results</t>
  </si>
  <si>
    <t>Here you can download the most recent version of the tool:</t>
  </si>
  <si>
    <t>scenarios RM 1-6 and Raupach</t>
  </si>
  <si>
    <t>RM-6-abs</t>
  </si>
  <si>
    <t>overshoot 2020 - 2100 in Gt</t>
  </si>
  <si>
    <t>RM 1 - 6:</t>
  </si>
  <si>
    <t>constant annual reduction amount</t>
  </si>
  <si>
    <r>
      <t xml:space="preserve">Parameter </t>
    </r>
    <r>
      <rPr>
        <i/>
        <sz val="10"/>
        <rFont val="Times New Roman"/>
        <family val="1"/>
      </rPr>
      <t xml:space="preserve">B </t>
    </r>
    <r>
      <rPr>
        <sz val="10"/>
        <rFont val="Times New Roman"/>
        <family val="1"/>
      </rPr>
      <t>in Gt; modifiable value in goal seek</t>
    </r>
  </si>
  <si>
    <t>budget 2018 - 2100 in Gt</t>
  </si>
  <si>
    <t>cumulative CO2 emissions start 2018</t>
  </si>
  <si>
    <t>overshoot - 2100 in Gt</t>
  </si>
  <si>
    <t>hellgrau</t>
  </si>
  <si>
    <t>S6</t>
  </si>
  <si>
    <t>RM-2 exp</t>
  </si>
  <si>
    <t>RM-3 lin</t>
  </si>
  <si>
    <t>RM-4 quadr</t>
  </si>
  <si>
    <t>RM-5 rad</t>
  </si>
  <si>
    <t>RM-6 abs</t>
  </si>
  <si>
    <t>RM-1 const</t>
  </si>
  <si>
    <t>IPCC SR15 graphs</t>
  </si>
  <si>
    <t>Global Carbon Project</t>
  </si>
  <si>
    <r>
      <t>Cite as</t>
    </r>
    <r>
      <rPr>
        <sz val="12"/>
        <color theme="1"/>
        <rFont val="Calibri"/>
        <family val="2"/>
      </rPr>
      <t>: Gilfillan, D., Marland, G., Boden, T. and Andres, R.: Global, Regional, and National Fossil-Fuel CO2 Emissions, available at: https://energy.appstate.edu/CDIAC, last access: 27 September 2019.</t>
    </r>
  </si>
  <si>
    <r>
      <t>Cite as:</t>
    </r>
    <r>
      <rPr>
        <sz val="12"/>
        <color indexed="8"/>
        <rFont val="Calibri"/>
        <family val="2"/>
      </rPr>
      <t xml:space="preserve"> Dlugokencky, E. and Tans, P.: Trends in atmospheric carbon dioxide, National Oceanic &amp; Atmospheric Administration, Earth System Research Laboratory (NOAA/ESRL), available at http://www.esrl.noaa.gov/gmd/ccgg/trends/global.html, 2019.</t>
    </r>
  </si>
  <si>
    <r>
      <t xml:space="preserve">Cite as: </t>
    </r>
    <r>
      <rPr>
        <sz val="12"/>
        <color theme="1"/>
        <rFont val="Calibri"/>
        <family val="2"/>
      </rPr>
      <t>Friedlingstein et al. 2019 (see Summary tab).</t>
    </r>
  </si>
  <si>
    <t>own calculation</t>
  </si>
  <si>
    <t>Peters G.P., R.M. Andrew, J.G. Canadell, P. Friedlingstein, R.B. Jackson, J.I. Korsbakken, C. Le Quéré, and A. Peregon (2019). Carbon dioxide emissions continue to grow amidst slowly emerging climate policies. Nature Climate Change. https://doi.org/10.1038/s41558-019-0659-6</t>
  </si>
  <si>
    <t>Jackson, R.B., P. Friedlingstein, R. M. Andrew, J.G. Canadell, C. Le Quéré, G.P. Peters (2019). Persistent Fossil Fuel Emissions Threaten the Paris Agreement and Planetary Health, Environmental Research Letters. https://doi.org/10.1088/1748-9326/ab57b3</t>
  </si>
  <si>
    <t>2018b: Le Quéré Corinne, Robbie M. Andrew, Pierre Friedlingstein, Stephen Sitch, Judith Hauck, Julia Pongratz, Penelope A. Pickers, Jan Ivar Korsbakken, Glen P. Peters, Josep G. Canadell, Almut Arneth, Vivek K. Arora, Leticia Barbero, Ana Bastos, Laurent Bopp, Frédéric Chevallier, Louise P. Chini, Philippe Ciais, Scott C. Doney, Thanos Gkritzalis, Daniel S. Goll, Ian Harris, Vanessa Haverd, Forrest M. Hoffman, Mario Hoppema, Richard A. Houghton, George Hurtt, Tatiana Ilyina, Atul K. Jain, Truls Johannesen, Chris D. Jones, Etsushi Kato, Ralph F. Keeling, Kees Klein Goldewijk, Peter Landschützer, Nathalie Lefèvre, Sebastian Lienert, Zhu Liu, Danica Lombardozzi, Nicolas Metzl, David R. Munro, Julia E. M. S. Nabel, Shin-ichiro Nakaoka, Craig Neill, Are Olsen, Tsueno Ono, Prabir Patra, Anna Peregon, Wouter Peters, Philippe Peylin, Benjamin Pfeil, Denis Pierrot, Benjamin Poulter, Gregor Rehder, Laure Resplandy, Eddy Robertson, Matthias Rocher, Christian Rödenbeck, Ute Schuster, Jörg Schwinger, Roland Séférian, Ingunn Skjelvan, Tobias Steinhoff, Adrienne Sutton, Pieter P. Tans, Hanqin Tian, Bronte Tilbrook, Francesco N Tubiello, Ingrid T. van der Laan-Luijkx, Guido R. van der Werf, Nicolas Viovy, Anthony P. Walker, Andrew J. Wiltshire, Rebecca Wright, Sönke Zaehle, Bo Zheng: Global Carbon Budget 2018, Earth Syst. Sci. Data, 2018b. https://doi.org/10.5194/essd-10-2141-2018</t>
  </si>
  <si>
    <t>Feedbacks and questions on this database should be sent to: p.friedlingstein@exeter.ac.uk</t>
  </si>
  <si>
    <t xml:space="preserve">The Global Carbon Budget 2019 is a collaborative effort of the global carbon cycle science community coordinated by the Global Carbon Project. </t>
  </si>
  <si>
    <t xml:space="preserve">DATA SOURCES &amp; TERMS OF USE:
The use of data is conditional on citing the original data sources. Full details on how to cite the data are given at the top of each page. For research projects, if the data are essential to the work, or if an important result or conclusion depends on the data, co-authorship may need to be considered. The Global Carbon Project facilitates access to data to encourage its use and promote a good understanding of the carbon cycle. Respecting original data sources is key to help secure the support of data providers to enhance, maintain and update valuable data. </t>
  </si>
  <si>
    <t xml:space="preserve">Reference of the full global carbon budget 2019: Pierre Friedlingstein, Matthew W. Jones, Michael O’Sullivan, Robbie M. Andrew, Judith Hauck, Glen P. Peters, Wouter Peters, Julia Pongratz, Stephen Sitch, Corinne Le Quéré, Dorothee C. E. Bakker, Josep G. Canadell, Philippe Ciais, Rob Jackson, Peter  Anthoni, Leticia Barbero, Ana Bastos, Vladislav Bastrikov, Meike Becker, Laurent Bopp, Erik Buitenhuis, Naveen Chandra, Frédéric Chevallier, Louise P. Chini, Kim I. Currie, Richard A. Feely, Marion Gehlen, Dennis Gilfillan, Thanos Gkritzalis, Daniel S. Goll, Nicolas Gruber, Sören Gutekunst, Ian Harris, Vanessa Haverd, Richard A. Houghton, George Hurtt, Tatiana Ilyina, Atul K. Jain, Emilie Joetzjer, Jed O. Kaplan, Etsushi Kato, Kees Klein Goldewijk, Jan Ivar Korsbakken, Peter Landschützer, Siv K. Lauvset, Nathalie Lefèvre, Andrew Lenton, Sebastian Lienert, Danica Lombardozzi, Gregg Marland, Patrick C. McGuire, Joe R. Melton, Nicolas Metzl, David R. Munro, Julia E. M. S. Nabel, Shin-Ichiro Nakaoka, Craig Neill, Abdirahman M. Omar, Tsuneo Ono, Anna Peregon, Denis Pierrot, Benjamin Poulter, Gregor Rehder, Laure Resplandy, Eddy Robertson, Christian Rödenbeck, Roland Séférian, Jörg Schwinger, Naomi Smith, Pieter P. Tans, Hanqin Tian, Bronte Tilbrook, Francesco N Tubiello, Guido R. van der Werf, Andrew J. Wiltshire, Sönke Zaehle. Global Carbon Budget 2019, Earth Syst. Sci. Data, 2019. https://doi.org/10.5194/essd-11-1783-2019 </t>
  </si>
  <si>
    <t xml:space="preserve">References to previous updates of the Global Carbon Budget by the Global Carbon Project: </t>
  </si>
  <si>
    <r>
      <t>anthropogenic CO</t>
    </r>
    <r>
      <rPr>
        <vertAlign val="subscript"/>
        <sz val="10"/>
        <rFont val="Arial"/>
        <family val="2"/>
      </rPr>
      <t xml:space="preserve">2 </t>
    </r>
    <r>
      <rPr>
        <sz val="10"/>
        <rFont val="Arial"/>
        <family val="2"/>
      </rPr>
      <t>emissions exclusive AFOLU    in Gt</t>
    </r>
  </si>
  <si>
    <t>info</t>
  </si>
  <si>
    <t>proportion of minimum negative emissions on global emissions in 2019</t>
  </si>
  <si>
    <r>
      <t xml:space="preserve">At which level of global emissions (threshold value; </t>
    </r>
    <r>
      <rPr>
        <b/>
        <i/>
        <sz val="11"/>
        <rFont val="Times New Roman"/>
        <family val="1"/>
      </rPr>
      <t>TV</t>
    </r>
    <r>
      <rPr>
        <sz val="11"/>
        <rFont val="Times New Roman"/>
        <family val="1"/>
      </rPr>
      <t xml:space="preserve">) shall the annual percentage reduction be change into a constant annual reduction in </t>
    </r>
    <r>
      <rPr>
        <b/>
        <sz val="11"/>
        <rFont val="Times New Roman"/>
        <family val="1"/>
      </rPr>
      <t>scenarios 2 - 5</t>
    </r>
    <r>
      <rPr>
        <sz val="11"/>
        <rFont val="Times New Roman"/>
        <family val="1"/>
      </rPr>
      <t>?   in Gt</t>
    </r>
  </si>
  <si>
    <t>data base global emissions</t>
  </si>
  <si>
    <t>AFOLU</t>
  </si>
  <si>
    <t>in Gt</t>
  </si>
  <si>
    <t>sum net negativ emissions in Gt</t>
  </si>
  <si>
    <r>
      <t xml:space="preserve">To identify </t>
    </r>
    <r>
      <rPr>
        <b/>
        <sz val="12"/>
        <rFont val="Times New Roman"/>
        <family val="1"/>
      </rPr>
      <t>politically</t>
    </r>
    <r>
      <rPr>
        <sz val="12"/>
        <rFont val="Times New Roman"/>
        <family val="1"/>
      </rPr>
      <t xml:space="preserve"> determined global paths, the RM scenario types seem more appropriate than the IPCC scenarios.</t>
    </r>
  </si>
  <si>
    <t>share AFOLU:</t>
  </si>
  <si>
    <t>average global change rates last three years</t>
  </si>
  <si>
    <t>reduction rate 2020</t>
  </si>
  <si>
    <t>6.0</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</si>
</sst>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3" formatCode="_-* #,##0.00\ _€_-;\-* #,##0.00\ _€_-;_-* &quot;-&quot;??\ _€_-;_-@_-"/>
    <numFmt numFmtId="164" formatCode="#,##0.0"/>
    <numFmt numFmtId="165" formatCode="0.0"/>
    <numFmt numFmtId="166" formatCode="#,##0.00000"/>
    <numFmt numFmtId="167" formatCode="0.0%"/>
    <numFmt numFmtId="168" formatCode="#,##0.0000"/>
    <numFmt numFmtId="169" formatCode="0.000"/>
    <numFmt numFmtId="170" formatCode="#,##0.0000000"/>
    <numFmt numFmtId="171" formatCode="#,##0.00000000000"/>
    <numFmt numFmtId="172" formatCode="0.00000000"/>
    <numFmt numFmtId="173" formatCode="0.00000%"/>
    <numFmt numFmtId="174" formatCode="[$-809]dd\ mmmm\ yyyy;@"/>
    <numFmt numFmtId="175" formatCode="#\ ###\ ###\ ##0;\-#\ ###\ ###\ ##0;0"/>
  </numFmts>
  <fonts count="103" x14ac:knownFonts="1">
    <font>
      <sz val="11"/>
      <name val="Times New Roman"/>
      <family val="1"/>
    </font>
    <font>
      <sz val="10"/>
      <name val="Arial"/>
      <family val="2"/>
    </font>
    <font>
      <b/>
      <sz val="10"/>
      <name val="Arial"/>
      <family val="2"/>
    </font>
    <font>
      <vertAlign val="subscript"/>
      <sz val="10"/>
      <name val="Arial"/>
      <family val="2"/>
    </font>
    <font>
      <sz val="10"/>
      <name val="Times New Roman"/>
      <family val="1"/>
    </font>
    <font>
      <vertAlign val="subscript"/>
      <sz val="10"/>
      <name val="Times New Roman"/>
      <family val="1"/>
    </font>
    <font>
      <i/>
      <sz val="10"/>
      <name val="Times New Roman"/>
      <family val="1"/>
    </font>
    <font>
      <i/>
      <sz val="8"/>
      <name val="Times New Roman"/>
      <family val="1"/>
    </font>
    <font>
      <i/>
      <vertAlign val="subscript"/>
      <sz val="8"/>
      <name val="Times New Roman"/>
      <family val="1"/>
    </font>
    <font>
      <sz val="8"/>
      <name val="Times New Roman"/>
      <family val="1"/>
    </font>
    <font>
      <b/>
      <sz val="10"/>
      <name val="Times New Roman"/>
      <family val="1"/>
    </font>
    <font>
      <b/>
      <sz val="12"/>
      <name val="Times New Roman"/>
      <family val="1"/>
    </font>
    <font>
      <sz val="7"/>
      <name val="Times New Roman"/>
      <family val="1"/>
    </font>
    <font>
      <sz val="9"/>
      <name val="Times New Roman"/>
      <family val="1"/>
    </font>
    <font>
      <b/>
      <sz val="9"/>
      <name val="Times New Roman"/>
      <family val="1"/>
    </font>
    <font>
      <sz val="9"/>
      <color indexed="81"/>
      <name val="Tahoma"/>
      <family val="2"/>
    </font>
    <font>
      <sz val="11"/>
      <name val="Times New Roman"/>
      <family val="1"/>
    </font>
    <font>
      <b/>
      <sz val="11"/>
      <name val="Arial"/>
      <family val="2"/>
    </font>
    <font>
      <b/>
      <sz val="12"/>
      <name val="Arial"/>
      <family val="2"/>
    </font>
    <font>
      <b/>
      <vertAlign val="subscript"/>
      <sz val="11"/>
      <name val="Arial"/>
      <family val="2"/>
    </font>
    <font>
      <sz val="12"/>
      <name val="Times New Roman"/>
      <family val="1"/>
    </font>
    <font>
      <sz val="11"/>
      <name val="Arial"/>
      <family val="2"/>
    </font>
    <font>
      <i/>
      <sz val="10"/>
      <name val="Arial"/>
      <family val="2"/>
    </font>
    <font>
      <b/>
      <u val="double"/>
      <sz val="12"/>
      <name val="Arial"/>
      <family val="2"/>
    </font>
    <font>
      <sz val="11"/>
      <name val="Calibri"/>
      <family val="2"/>
    </font>
    <font>
      <vertAlign val="subscript"/>
      <sz val="11"/>
      <name val="Times New Roman"/>
      <family val="1"/>
    </font>
    <font>
      <b/>
      <sz val="11"/>
      <name val="Times New Roman"/>
      <family val="1"/>
    </font>
    <font>
      <b/>
      <u/>
      <sz val="12"/>
      <name val="Arial"/>
      <family val="2"/>
    </font>
    <font>
      <b/>
      <u/>
      <sz val="12"/>
      <name val="Times New Roman"/>
      <family val="1"/>
    </font>
    <font>
      <sz val="9"/>
      <color indexed="81"/>
      <name val="Segoe UI"/>
      <family val="2"/>
    </font>
    <font>
      <sz val="11"/>
      <color indexed="8"/>
      <name val="Times New Roman"/>
      <family val="1"/>
    </font>
    <font>
      <sz val="11"/>
      <name val="Segoe UI Semibold"/>
      <family val="2"/>
    </font>
    <font>
      <sz val="8"/>
      <name val="Arial"/>
      <family val="2"/>
    </font>
    <font>
      <i/>
      <sz val="9"/>
      <name val="Arial"/>
      <family val="2"/>
    </font>
    <font>
      <i/>
      <sz val="11"/>
      <name val="Times New Roman"/>
      <family val="1"/>
    </font>
    <font>
      <i/>
      <vertAlign val="subscript"/>
      <sz val="11"/>
      <name val="Times New Roman"/>
      <family val="1"/>
    </font>
    <font>
      <b/>
      <i/>
      <sz val="11"/>
      <name val="Times New Roman"/>
      <family val="1"/>
    </font>
    <font>
      <b/>
      <i/>
      <vertAlign val="subscript"/>
      <sz val="11"/>
      <name val="Times New Roman"/>
      <family val="1"/>
    </font>
    <font>
      <i/>
      <sz val="12"/>
      <name val="Arial"/>
      <family val="2"/>
    </font>
    <font>
      <sz val="10"/>
      <color indexed="8"/>
      <name val="Arial"/>
      <family val="2"/>
    </font>
    <font>
      <b/>
      <sz val="12"/>
      <name val="Tahoma"/>
      <family val="2"/>
    </font>
    <font>
      <b/>
      <sz val="11"/>
      <color indexed="8"/>
      <name val="Times New Roman"/>
      <family val="1"/>
    </font>
    <font>
      <b/>
      <vertAlign val="subscript"/>
      <sz val="12"/>
      <name val="Arial"/>
      <family val="2"/>
    </font>
    <font>
      <sz val="12"/>
      <name val="Arial"/>
      <family val="2"/>
    </font>
    <font>
      <sz val="11"/>
      <color theme="1"/>
      <name val="Calibri"/>
      <family val="2"/>
      <scheme val="minor"/>
    </font>
    <font>
      <u/>
      <sz val="10"/>
      <color theme="10"/>
      <name val="Arial"/>
      <family val="2"/>
    </font>
    <font>
      <u/>
      <sz val="11"/>
      <color theme="10"/>
      <name val="Times New Roman"/>
      <family val="1"/>
    </font>
    <font>
      <sz val="8"/>
      <color theme="1"/>
      <name val="Calibri"/>
      <family val="2"/>
      <scheme val="minor"/>
    </font>
    <font>
      <sz val="10"/>
      <color theme="0"/>
      <name val="Times New Roman"/>
      <family val="1"/>
    </font>
    <font>
      <u/>
      <sz val="9"/>
      <color theme="10"/>
      <name val="Times New Roman"/>
      <family val="1"/>
    </font>
    <font>
      <sz val="10"/>
      <color rgb="FFFF0000"/>
      <name val="Arial"/>
      <family val="2"/>
    </font>
    <font>
      <b/>
      <sz val="10"/>
      <color theme="5"/>
      <name val="Arial"/>
      <family val="2"/>
    </font>
    <font>
      <u/>
      <sz val="8"/>
      <color theme="10"/>
      <name val="Times New Roman"/>
      <family val="1"/>
    </font>
    <font>
      <u/>
      <sz val="11"/>
      <color rgb="FFC00000"/>
      <name val="Times New Roman"/>
      <family val="1"/>
    </font>
    <font>
      <u/>
      <sz val="11"/>
      <color rgb="FF000000"/>
      <name val="Times New Roman"/>
      <family val="1"/>
    </font>
    <font>
      <sz val="11"/>
      <color rgb="FF000000"/>
      <name val="Times New Roman"/>
      <family val="1"/>
    </font>
    <font>
      <b/>
      <sz val="11"/>
      <color rgb="FF000000"/>
      <name val="Times New Roman"/>
      <family val="1"/>
    </font>
    <font>
      <sz val="9"/>
      <color rgb="FF000000"/>
      <name val="Times New Roman"/>
      <family val="1"/>
    </font>
    <font>
      <sz val="11"/>
      <color rgb="FFC00000"/>
      <name val="Times New Roman"/>
      <family val="1"/>
    </font>
    <font>
      <vertAlign val="subscript"/>
      <sz val="9"/>
      <name val="Times New Roman"/>
      <family val="1"/>
    </font>
    <font>
      <i/>
      <sz val="6"/>
      <name val="Times New Roman"/>
      <family val="1"/>
    </font>
    <font>
      <b/>
      <i/>
      <sz val="11"/>
      <name val="Arial"/>
      <family val="2"/>
    </font>
    <font>
      <b/>
      <i/>
      <vertAlign val="subscript"/>
      <sz val="11"/>
      <name val="Arial"/>
      <family val="2"/>
    </font>
    <font>
      <b/>
      <vertAlign val="subscript"/>
      <sz val="11"/>
      <name val="Times New Roman"/>
      <family val="1"/>
    </font>
    <font>
      <sz val="9"/>
      <color theme="3" tint="-0.499984740745262"/>
      <name val="Times New Roman"/>
      <family val="1"/>
    </font>
    <font>
      <b/>
      <sz val="11"/>
      <color theme="5"/>
      <name val="Times New Roman"/>
      <family val="1"/>
    </font>
    <font>
      <vertAlign val="subscript"/>
      <sz val="10"/>
      <color theme="0"/>
      <name val="Times New Roman"/>
      <family val="1"/>
    </font>
    <font>
      <sz val="11"/>
      <color theme="1"/>
      <name val="Times New Roman"/>
      <family val="1"/>
    </font>
    <font>
      <sz val="9"/>
      <color theme="1"/>
      <name val="Times New Roman"/>
      <family val="1"/>
    </font>
    <font>
      <sz val="10"/>
      <color indexed="81"/>
      <name val="Times New Roman"/>
      <family val="1"/>
    </font>
    <font>
      <sz val="11"/>
      <color indexed="81"/>
      <name val="Times New Roman"/>
      <family val="1"/>
    </font>
    <font>
      <b/>
      <sz val="10"/>
      <color theme="3"/>
      <name val="Times New Roman"/>
      <family val="1"/>
    </font>
    <font>
      <b/>
      <i/>
      <sz val="10"/>
      <color theme="3"/>
      <name val="Times New Roman"/>
      <family val="1"/>
    </font>
    <font>
      <b/>
      <i/>
      <vertAlign val="subscript"/>
      <sz val="10"/>
      <color theme="3"/>
      <name val="Times New Roman"/>
      <family val="1"/>
    </font>
    <font>
      <b/>
      <sz val="10"/>
      <color theme="8"/>
      <name val="Times New Roman"/>
      <family val="1"/>
    </font>
    <font>
      <b/>
      <i/>
      <sz val="10"/>
      <color theme="8"/>
      <name val="Times New Roman"/>
      <family val="1"/>
    </font>
    <font>
      <b/>
      <i/>
      <vertAlign val="subscript"/>
      <sz val="10"/>
      <color theme="8"/>
      <name val="Times New Roman"/>
      <family val="1"/>
    </font>
    <font>
      <sz val="10"/>
      <name val="Arial Unicode MS"/>
      <family val="2"/>
    </font>
    <font>
      <sz val="12"/>
      <color theme="1"/>
      <name val="Calibri"/>
      <family val="2"/>
      <scheme val="minor"/>
    </font>
    <font>
      <sz val="12"/>
      <color indexed="8"/>
      <name val="Calibri"/>
      <family val="2"/>
    </font>
    <font>
      <sz val="12"/>
      <color indexed="14"/>
      <name val="Calibri"/>
      <family val="2"/>
    </font>
    <font>
      <b/>
      <sz val="12"/>
      <color indexed="8"/>
      <name val="Calibri"/>
      <family val="2"/>
    </font>
    <font>
      <b/>
      <sz val="12"/>
      <name val="Calibri"/>
      <family val="2"/>
    </font>
    <font>
      <sz val="12"/>
      <name val="Calibri"/>
      <family val="2"/>
    </font>
    <font>
      <sz val="12"/>
      <color theme="1"/>
      <name val="Calibri"/>
      <family val="2"/>
    </font>
    <font>
      <sz val="12"/>
      <color rgb="FFFF0000"/>
      <name val="Calibri"/>
      <family val="2"/>
    </font>
    <font>
      <sz val="12"/>
      <name val="Calibri"/>
      <family val="2"/>
      <scheme val="minor"/>
    </font>
    <font>
      <b/>
      <u val="doubleAccounting"/>
      <sz val="12"/>
      <name val="Arial"/>
      <family val="2"/>
    </font>
    <font>
      <b/>
      <sz val="14"/>
      <name val="Times New Roman"/>
      <family val="1"/>
    </font>
    <font>
      <sz val="8"/>
      <color theme="0"/>
      <name val="Times New Roman"/>
      <family val="1"/>
    </font>
    <font>
      <b/>
      <u/>
      <sz val="14"/>
      <color theme="1"/>
      <name val="Calibri"/>
      <family val="2"/>
      <scheme val="minor"/>
    </font>
    <font>
      <b/>
      <sz val="12"/>
      <color theme="1" tint="0.499984740745262"/>
      <name val="Calibri"/>
      <family val="2"/>
    </font>
    <font>
      <sz val="12"/>
      <color theme="1" tint="0.499984740745262"/>
      <name val="Calibri"/>
      <family val="2"/>
    </font>
    <font>
      <sz val="12"/>
      <color indexed="8"/>
      <name val="Calibri"/>
      <family val="2"/>
      <scheme val="minor"/>
    </font>
    <font>
      <b/>
      <sz val="9"/>
      <color indexed="81"/>
      <name val="Segoe UI"/>
      <family val="2"/>
    </font>
    <font>
      <b/>
      <sz val="12"/>
      <color theme="1"/>
      <name val="Calibri"/>
      <family val="2"/>
    </font>
    <font>
      <b/>
      <sz val="16"/>
      <color rgb="FF000000"/>
      <name val="Calibri"/>
      <family val="2"/>
    </font>
    <font>
      <sz val="12"/>
      <color rgb="FF000000"/>
      <name val="Calibri"/>
      <family val="2"/>
    </font>
    <font>
      <b/>
      <sz val="12"/>
      <color rgb="FF000000"/>
      <name val="Calibri"/>
      <family val="2"/>
    </font>
    <font>
      <sz val="12"/>
      <color rgb="FFFABF8F"/>
      <name val="Calibri"/>
      <family val="2"/>
    </font>
    <font>
      <b/>
      <sz val="10"/>
      <color rgb="FFFF0000"/>
      <name val="Arial"/>
      <family val="2"/>
    </font>
    <font>
      <b/>
      <u/>
      <sz val="14"/>
      <name val="Arial"/>
      <family val="2"/>
    </font>
    <font>
      <sz val="9"/>
      <color theme="1"/>
      <name val="Arial"/>
      <family val="2"/>
    </font>
  </fonts>
  <fills count="37">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13"/>
        <bgColor indexed="3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
      <patternFill patternType="solid">
        <fgColor rgb="FFFFFF99"/>
        <bgColor indexed="64"/>
      </patternFill>
    </fill>
    <fill>
      <patternFill patternType="solid">
        <fgColor rgb="FFFFFF99"/>
        <bgColor indexed="26"/>
      </patternFill>
    </fill>
    <fill>
      <patternFill patternType="solid">
        <fgColor rgb="FF92D05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39997558519241921"/>
        <bgColor indexed="64"/>
      </patternFill>
    </fill>
    <fill>
      <patternFill patternType="solid">
        <fgColor theme="6"/>
        <bgColor indexed="64"/>
      </patternFill>
    </fill>
    <fill>
      <patternFill patternType="solid">
        <fgColor theme="5"/>
        <bgColor indexed="64"/>
      </patternFill>
    </fill>
    <fill>
      <patternFill patternType="solid">
        <fgColor indexed="51"/>
        <bgColor indexed="64"/>
      </patternFill>
    </fill>
    <fill>
      <patternFill patternType="solid">
        <fgColor theme="9" tint="0.39997558519241921"/>
        <bgColor indexed="64"/>
      </patternFill>
    </fill>
    <fill>
      <patternFill patternType="solid">
        <fgColor indexed="31"/>
        <bgColor indexed="64"/>
      </patternFill>
    </fill>
    <fill>
      <patternFill patternType="solid">
        <fgColor indexed="11"/>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00FF00"/>
        <bgColor indexed="64"/>
      </patternFill>
    </fill>
    <fill>
      <patternFill patternType="solid">
        <fgColor rgb="FFCCC0DA"/>
        <bgColor indexed="64"/>
      </patternFill>
    </fill>
    <fill>
      <patternFill patternType="solid">
        <fgColor rgb="FFFCD5B4"/>
        <bgColor rgb="FF000000"/>
      </patternFill>
    </fill>
  </fills>
  <borders count="88">
    <border>
      <left/>
      <right/>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style="thin">
        <color indexed="64"/>
      </top>
      <bottom/>
      <diagonal/>
    </border>
    <border>
      <left style="thin">
        <color indexed="8"/>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8"/>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8"/>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thin">
        <color indexed="8"/>
      </top>
      <bottom style="thin">
        <color indexed="64"/>
      </bottom>
      <diagonal/>
    </border>
    <border>
      <left style="medium">
        <color indexed="64"/>
      </left>
      <right style="medium">
        <color indexed="64"/>
      </right>
      <top style="medium">
        <color indexed="64"/>
      </top>
      <bottom style="thin">
        <color indexed="8"/>
      </bottom>
      <diagonal/>
    </border>
    <border>
      <left style="medium">
        <color indexed="64"/>
      </left>
      <right/>
      <top/>
      <bottom/>
      <diagonal/>
    </border>
    <border>
      <left style="medium">
        <color indexed="64"/>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top/>
      <bottom style="thin">
        <color indexed="64"/>
      </bottom>
      <diagonal/>
    </border>
    <border>
      <left/>
      <right/>
      <top style="medium">
        <color indexed="64"/>
      </top>
      <bottom style="thin">
        <color indexed="8"/>
      </bottom>
      <diagonal/>
    </border>
    <border>
      <left/>
      <right style="medium">
        <color indexed="64"/>
      </right>
      <top style="medium">
        <color indexed="64"/>
      </top>
      <bottom/>
      <diagonal/>
    </border>
    <border>
      <left style="medium">
        <color indexed="64"/>
      </left>
      <right/>
      <top style="thin">
        <color indexed="8"/>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8"/>
      </top>
      <bottom/>
      <diagonal/>
    </border>
    <border>
      <left/>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indexed="8"/>
      </top>
      <bottom/>
      <diagonal/>
    </border>
    <border>
      <left style="medium">
        <color indexed="64"/>
      </left>
      <right/>
      <top/>
      <bottom style="thin">
        <color indexed="8"/>
      </bottom>
      <diagonal/>
    </border>
    <border>
      <left/>
      <right/>
      <top/>
      <bottom style="thin">
        <color indexed="8"/>
      </bottom>
      <diagonal/>
    </border>
    <border>
      <left/>
      <right style="medium">
        <color indexed="64"/>
      </right>
      <top/>
      <bottom style="thin">
        <color indexed="8"/>
      </bottom>
      <diagonal/>
    </border>
    <border>
      <left style="medium">
        <color indexed="64"/>
      </left>
      <right/>
      <top style="thin">
        <color indexed="8"/>
      </top>
      <bottom style="medium">
        <color indexed="64"/>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auto="1"/>
      </top>
      <bottom/>
      <diagonal/>
    </border>
    <border>
      <left/>
      <right style="medium">
        <color indexed="64"/>
      </right>
      <top style="thin">
        <color indexed="8"/>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s>
  <cellStyleXfs count="15">
    <xf numFmtId="0" fontId="0" fillId="0" borderId="0"/>
    <xf numFmtId="0" fontId="45" fillId="0" borderId="0" applyNumberFormat="0" applyFill="0" applyBorder="0" applyAlignment="0" applyProtection="0"/>
    <xf numFmtId="0" fontId="46" fillId="0" borderId="0" applyNumberFormat="0" applyFill="0" applyBorder="0" applyAlignment="0" applyProtection="0">
      <alignment vertical="top"/>
      <protection locked="0"/>
    </xf>
    <xf numFmtId="0" fontId="4" fillId="0" borderId="0"/>
    <xf numFmtId="0" fontId="39" fillId="0" borderId="0"/>
    <xf numFmtId="9" fontId="1" fillId="0" borderId="0" applyFill="0" applyBorder="0" applyAlignment="0" applyProtection="0"/>
    <xf numFmtId="9" fontId="44" fillId="0" borderId="0" applyFont="0" applyFill="0" applyBorder="0" applyAlignment="0" applyProtection="0"/>
    <xf numFmtId="0" fontId="44" fillId="0" borderId="0"/>
    <xf numFmtId="0" fontId="44" fillId="0" borderId="0"/>
    <xf numFmtId="0" fontId="47" fillId="0" borderId="0"/>
    <xf numFmtId="0" fontId="1" fillId="0" borderId="0"/>
    <xf numFmtId="0" fontId="1" fillId="0" borderId="0"/>
    <xf numFmtId="0" fontId="78" fillId="0" borderId="0"/>
    <xf numFmtId="0" fontId="1" fillId="0" borderId="0"/>
    <xf numFmtId="43" fontId="16" fillId="0" borderId="0" applyFont="0" applyFill="0" applyBorder="0" applyAlignment="0" applyProtection="0"/>
  </cellStyleXfs>
  <cellXfs count="990">
    <xf numFmtId="0" fontId="0" fillId="0" borderId="0" xfId="0"/>
    <xf numFmtId="0" fontId="1" fillId="0" borderId="0" xfId="11"/>
    <xf numFmtId="0" fontId="1" fillId="0" borderId="0" xfId="11" applyFont="1" applyFill="1" applyBorder="1" applyAlignment="1">
      <alignment horizontal="center" vertical="top" wrapText="1"/>
    </xf>
    <xf numFmtId="0" fontId="1" fillId="0" borderId="0" xfId="11" applyFont="1" applyBorder="1"/>
    <xf numFmtId="2" fontId="1" fillId="0" borderId="0" xfId="11" applyNumberFormat="1"/>
    <xf numFmtId="9" fontId="1" fillId="0" borderId="0" xfId="11" applyNumberFormat="1"/>
    <xf numFmtId="0" fontId="4" fillId="0" borderId="0" xfId="0" applyFont="1"/>
    <xf numFmtId="0" fontId="4" fillId="0" borderId="0" xfId="0" applyFont="1" applyFill="1"/>
    <xf numFmtId="164" fontId="4" fillId="0" borderId="0" xfId="0" applyNumberFormat="1" applyFont="1" applyFill="1" applyBorder="1"/>
    <xf numFmtId="10" fontId="4" fillId="0" borderId="0" xfId="0" applyNumberFormat="1" applyFont="1" applyFill="1" applyBorder="1"/>
    <xf numFmtId="4" fontId="4" fillId="0" borderId="0" xfId="0" applyNumberFormat="1" applyFont="1"/>
    <xf numFmtId="0" fontId="9" fillId="0" borderId="0" xfId="0" applyFont="1"/>
    <xf numFmtId="4" fontId="4" fillId="0" borderId="0" xfId="0" applyNumberFormat="1" applyFont="1" applyBorder="1"/>
    <xf numFmtId="9" fontId="1" fillId="0" borderId="0" xfId="5" applyFill="1" applyBorder="1" applyAlignment="1" applyProtection="1"/>
    <xf numFmtId="2" fontId="4" fillId="0" borderId="0" xfId="0" applyNumberFormat="1" applyFont="1" applyBorder="1"/>
    <xf numFmtId="0" fontId="4" fillId="0" borderId="0" xfId="0" applyFont="1" applyFill="1" applyBorder="1"/>
    <xf numFmtId="0" fontId="13" fillId="0" borderId="0" xfId="0" applyFont="1"/>
    <xf numFmtId="0" fontId="4" fillId="0" borderId="0" xfId="0" applyFont="1" applyAlignment="1">
      <alignment vertical="center"/>
    </xf>
    <xf numFmtId="9" fontId="4" fillId="0" borderId="0" xfId="5" applyFont="1" applyFill="1" applyBorder="1" applyAlignment="1" applyProtection="1"/>
    <xf numFmtId="0" fontId="4" fillId="0" borderId="6" xfId="0" applyFont="1" applyBorder="1"/>
    <xf numFmtId="0" fontId="4" fillId="0" borderId="7" xfId="0" applyFont="1" applyBorder="1"/>
    <xf numFmtId="0" fontId="4" fillId="0" borderId="8" xfId="0" applyFont="1" applyBorder="1"/>
    <xf numFmtId="0" fontId="4" fillId="0" borderId="10" xfId="0" applyFont="1" applyBorder="1"/>
    <xf numFmtId="0" fontId="4" fillId="0" borderId="12" xfId="0" applyFont="1" applyBorder="1"/>
    <xf numFmtId="0" fontId="46" fillId="0" borderId="0" xfId="2" applyAlignment="1" applyProtection="1"/>
    <xf numFmtId="0" fontId="1" fillId="0" borderId="0" xfId="11" applyBorder="1"/>
    <xf numFmtId="2" fontId="1" fillId="0" borderId="0" xfId="11" applyNumberFormat="1" applyFont="1" applyFill="1" applyBorder="1" applyAlignment="1">
      <alignment horizontal="center" vertical="center" wrapText="1"/>
    </xf>
    <xf numFmtId="0" fontId="4" fillId="0" borderId="16" xfId="0" applyFont="1" applyBorder="1"/>
    <xf numFmtId="0" fontId="4" fillId="0" borderId="0" xfId="0" applyFont="1" applyAlignment="1">
      <alignment vertical="top" wrapText="1"/>
    </xf>
    <xf numFmtId="0" fontId="0" fillId="0" borderId="0" xfId="0" applyAlignment="1">
      <alignment horizontal="center"/>
    </xf>
    <xf numFmtId="0" fontId="4" fillId="0" borderId="0" xfId="0" applyFont="1" applyBorder="1"/>
    <xf numFmtId="0" fontId="4" fillId="0" borderId="22" xfId="0" applyFont="1" applyBorder="1" applyAlignment="1">
      <alignment vertical="center"/>
    </xf>
    <xf numFmtId="0" fontId="4" fillId="0" borderId="16" xfId="0" applyFont="1" applyBorder="1" applyAlignment="1">
      <alignment vertical="center"/>
    </xf>
    <xf numFmtId="0" fontId="11" fillId="0" borderId="0" xfId="0" applyFont="1" applyAlignment="1">
      <alignment vertical="top"/>
    </xf>
    <xf numFmtId="4" fontId="4" fillId="0" borderId="16" xfId="0" applyNumberFormat="1" applyFont="1" applyBorder="1"/>
    <xf numFmtId="0" fontId="9" fillId="0" borderId="8" xfId="0" applyFont="1" applyBorder="1" applyAlignment="1">
      <alignment vertical="center"/>
    </xf>
    <xf numFmtId="0" fontId="9" fillId="0" borderId="8" xfId="0" applyFont="1" applyBorder="1"/>
    <xf numFmtId="0" fontId="9" fillId="0" borderId="12" xfId="0" applyFont="1" applyBorder="1"/>
    <xf numFmtId="4" fontId="1" fillId="0" borderId="0" xfId="11" applyNumberFormat="1" applyFont="1" applyFill="1" applyBorder="1" applyAlignment="1">
      <alignment horizontal="left" vertical="center"/>
    </xf>
    <xf numFmtId="0" fontId="27" fillId="0" borderId="0" xfId="11" applyFont="1"/>
    <xf numFmtId="0" fontId="17" fillId="0" borderId="0" xfId="11" applyFont="1" applyBorder="1"/>
    <xf numFmtId="0" fontId="18" fillId="0" borderId="0" xfId="11" applyFont="1" applyBorder="1"/>
    <xf numFmtId="165" fontId="23" fillId="0" borderId="0" xfId="11" applyNumberFormat="1" applyFont="1" applyFill="1" applyBorder="1" applyAlignment="1">
      <alignment horizontal="center"/>
    </xf>
    <xf numFmtId="0" fontId="1" fillId="0" borderId="0" xfId="11" applyFont="1" applyFill="1" applyBorder="1" applyAlignment="1">
      <alignment vertical="center" wrapText="1"/>
    </xf>
    <xf numFmtId="0" fontId="2" fillId="0" borderId="0" xfId="11" applyFont="1" applyFill="1" applyBorder="1" applyAlignment="1">
      <alignment vertical="center" wrapText="1"/>
    </xf>
    <xf numFmtId="2" fontId="23" fillId="0" borderId="0" xfId="11" applyNumberFormat="1" applyFont="1" applyFill="1" applyBorder="1" applyAlignment="1">
      <alignment horizontal="center" vertical="center" wrapText="1"/>
    </xf>
    <xf numFmtId="0" fontId="1" fillId="0" borderId="0" xfId="11" applyFill="1" applyBorder="1" applyAlignment="1">
      <alignment horizontal="center"/>
    </xf>
    <xf numFmtId="4" fontId="1" fillId="3" borderId="0" xfId="11" applyNumberFormat="1" applyFont="1" applyFill="1" applyBorder="1" applyAlignment="1">
      <alignment horizontal="left" vertical="center"/>
    </xf>
    <xf numFmtId="0" fontId="2" fillId="0" borderId="0" xfId="11" applyFont="1"/>
    <xf numFmtId="0" fontId="1" fillId="0" borderId="0" xfId="11" applyAlignment="1">
      <alignment vertical="center"/>
    </xf>
    <xf numFmtId="0" fontId="18" fillId="0" borderId="1" xfId="11" applyFont="1" applyBorder="1" applyAlignment="1">
      <alignment vertical="center"/>
    </xf>
    <xf numFmtId="0" fontId="4" fillId="0" borderId="8" xfId="0" applyFont="1" applyBorder="1" applyAlignment="1">
      <alignment vertical="center"/>
    </xf>
    <xf numFmtId="0" fontId="4" fillId="0" borderId="10" xfId="0" applyFont="1" applyBorder="1" applyAlignment="1">
      <alignment vertical="center"/>
    </xf>
    <xf numFmtId="0" fontId="4" fillId="0" borderId="11" xfId="0" applyFont="1" applyBorder="1" applyAlignment="1">
      <alignment vertical="center"/>
    </xf>
    <xf numFmtId="0" fontId="4" fillId="0" borderId="12" xfId="0" applyFont="1" applyBorder="1" applyAlignment="1">
      <alignment vertical="center"/>
    </xf>
    <xf numFmtId="0" fontId="46" fillId="0" borderId="0" xfId="2" applyFill="1" applyBorder="1" applyAlignment="1" applyProtection="1">
      <alignment horizontal="center"/>
    </xf>
    <xf numFmtId="0" fontId="0" fillId="0" borderId="0" xfId="0" applyProtection="1"/>
    <xf numFmtId="0" fontId="0" fillId="0" borderId="22" xfId="0" applyBorder="1" applyAlignment="1" applyProtection="1">
      <alignment vertical="center"/>
    </xf>
    <xf numFmtId="0" fontId="0" fillId="0" borderId="0" xfId="0" applyAlignment="1" applyProtection="1">
      <alignment vertical="center"/>
    </xf>
    <xf numFmtId="0" fontId="0" fillId="0" borderId="8" xfId="0" applyBorder="1" applyAlignment="1" applyProtection="1">
      <alignment vertical="center"/>
    </xf>
    <xf numFmtId="0" fontId="0" fillId="0" borderId="0" xfId="0" applyBorder="1" applyAlignment="1" applyProtection="1">
      <alignment vertical="center"/>
    </xf>
    <xf numFmtId="164" fontId="0" fillId="0" borderId="27" xfId="0" applyNumberFormat="1" applyBorder="1" applyProtection="1"/>
    <xf numFmtId="0" fontId="4" fillId="0" borderId="27" xfId="0" applyFont="1" applyBorder="1" applyAlignment="1" applyProtection="1">
      <alignment horizontal="center" vertical="center"/>
    </xf>
    <xf numFmtId="0" fontId="0" fillId="0" borderId="0" xfId="0" applyBorder="1" applyProtection="1"/>
    <xf numFmtId="0" fontId="0" fillId="0" borderId="17" xfId="0" applyBorder="1"/>
    <xf numFmtId="0" fontId="0" fillId="0" borderId="13" xfId="0" applyBorder="1"/>
    <xf numFmtId="0" fontId="0" fillId="0" borderId="18" xfId="0" applyBorder="1"/>
    <xf numFmtId="0" fontId="13" fillId="0" borderId="10" xfId="0" applyFont="1" applyBorder="1" applyAlignment="1" applyProtection="1">
      <alignment horizontal="center" vertical="center"/>
    </xf>
    <xf numFmtId="0" fontId="13" fillId="0" borderId="6" xfId="0" applyFont="1" applyBorder="1" applyAlignment="1" applyProtection="1">
      <alignment horizontal="center" vertical="center"/>
    </xf>
    <xf numFmtId="0" fontId="20" fillId="0" borderId="0" xfId="0" applyFont="1" applyProtection="1"/>
    <xf numFmtId="0" fontId="26" fillId="0" borderId="10" xfId="0" applyFont="1" applyBorder="1" applyAlignment="1" applyProtection="1">
      <alignment vertical="center"/>
    </xf>
    <xf numFmtId="9" fontId="4" fillId="0" borderId="12" xfId="5" applyFont="1" applyFill="1" applyBorder="1" applyAlignment="1" applyProtection="1"/>
    <xf numFmtId="0" fontId="9" fillId="0" borderId="0" xfId="0" applyFont="1" applyBorder="1" applyAlignment="1">
      <alignment vertical="center"/>
    </xf>
    <xf numFmtId="10" fontId="10" fillId="7" borderId="27" xfId="0" applyNumberFormat="1" applyFont="1" applyFill="1" applyBorder="1" applyProtection="1">
      <protection locked="0"/>
    </xf>
    <xf numFmtId="168" fontId="10" fillId="7" borderId="29" xfId="0" applyNumberFormat="1" applyFont="1" applyFill="1" applyBorder="1"/>
    <xf numFmtId="10" fontId="10" fillId="7" borderId="28" xfId="0" applyNumberFormat="1" applyFont="1" applyFill="1" applyBorder="1" applyProtection="1">
      <protection locked="0"/>
    </xf>
    <xf numFmtId="0" fontId="46" fillId="0" borderId="0" xfId="2" applyFill="1" applyBorder="1" applyAlignment="1" applyProtection="1"/>
    <xf numFmtId="0" fontId="0" fillId="0" borderId="0" xfId="0" applyFill="1" applyBorder="1"/>
    <xf numFmtId="0" fontId="0" fillId="0" borderId="27" xfId="0" applyBorder="1" applyAlignment="1">
      <alignment horizontal="center"/>
    </xf>
    <xf numFmtId="0" fontId="0" fillId="0" borderId="28" xfId="0" applyBorder="1"/>
    <xf numFmtId="0" fontId="0" fillId="0" borderId="29" xfId="0" applyBorder="1"/>
    <xf numFmtId="0" fontId="0" fillId="0" borderId="29" xfId="0" applyBorder="1" applyAlignment="1">
      <alignment horizontal="center"/>
    </xf>
    <xf numFmtId="0" fontId="17" fillId="3" borderId="0" xfId="11" applyFont="1" applyFill="1" applyBorder="1" applyAlignment="1">
      <alignment horizontal="left" vertical="center"/>
    </xf>
    <xf numFmtId="0" fontId="1" fillId="3" borderId="0" xfId="11" applyFill="1" applyAlignment="1">
      <alignment horizontal="left" vertical="center"/>
    </xf>
    <xf numFmtId="0" fontId="21" fillId="3" borderId="0" xfId="11" applyFont="1" applyFill="1" applyAlignment="1">
      <alignment horizontal="left" vertical="center"/>
    </xf>
    <xf numFmtId="0" fontId="1" fillId="3" borderId="0" xfId="11" applyFont="1" applyFill="1" applyBorder="1" applyAlignment="1">
      <alignment horizontal="left" vertical="center"/>
    </xf>
    <xf numFmtId="0" fontId="17" fillId="3" borderId="0" xfId="11" applyFont="1" applyFill="1" applyBorder="1" applyAlignment="1">
      <alignment vertical="center"/>
    </xf>
    <xf numFmtId="0" fontId="18" fillId="3" borderId="0" xfId="11" applyFont="1" applyFill="1" applyBorder="1" applyAlignment="1">
      <alignment vertical="center"/>
    </xf>
    <xf numFmtId="0" fontId="1" fillId="3" borderId="0" xfId="11" applyFill="1" applyBorder="1" applyAlignment="1">
      <alignment horizontal="center" vertical="center"/>
    </xf>
    <xf numFmtId="165" fontId="23" fillId="3" borderId="0" xfId="11" applyNumberFormat="1" applyFont="1" applyFill="1" applyBorder="1" applyAlignment="1">
      <alignment horizontal="center" vertical="center"/>
    </xf>
    <xf numFmtId="0" fontId="1" fillId="3" borderId="0" xfId="11" applyFill="1" applyAlignment="1">
      <alignment vertical="center"/>
    </xf>
    <xf numFmtId="0" fontId="30" fillId="0" borderId="0" xfId="0" applyFont="1" applyAlignment="1">
      <alignment horizontal="left" readingOrder="1"/>
    </xf>
    <xf numFmtId="0" fontId="0" fillId="0" borderId="0" xfId="0" applyFont="1"/>
    <xf numFmtId="0" fontId="31" fillId="0" borderId="0" xfId="0" applyFont="1" applyAlignment="1">
      <alignment horizontal="center" vertical="center"/>
    </xf>
    <xf numFmtId="0" fontId="31" fillId="0" borderId="0" xfId="0" applyFont="1" applyAlignment="1">
      <alignment vertical="center"/>
    </xf>
    <xf numFmtId="0" fontId="0" fillId="0" borderId="0" xfId="0" applyFill="1" applyProtection="1"/>
    <xf numFmtId="3" fontId="0" fillId="0" borderId="0" xfId="0" applyNumberFormat="1" applyFill="1" applyBorder="1" applyAlignment="1" applyProtection="1">
      <alignment horizontal="right"/>
    </xf>
    <xf numFmtId="0" fontId="4" fillId="0" borderId="0" xfId="0" applyFont="1" applyBorder="1" applyAlignment="1">
      <alignment vertical="center"/>
    </xf>
    <xf numFmtId="0" fontId="4" fillId="0" borderId="0" xfId="0" applyFont="1" applyFill="1" applyBorder="1" applyAlignment="1">
      <alignment vertical="center"/>
    </xf>
    <xf numFmtId="0" fontId="2" fillId="0" borderId="0" xfId="11" applyFont="1" applyFill="1" applyBorder="1" applyAlignment="1">
      <alignment horizontal="center" vertical="center" wrapText="1"/>
    </xf>
    <xf numFmtId="0" fontId="9" fillId="0" borderId="12" xfId="0" applyFont="1" applyBorder="1" applyAlignment="1">
      <alignment vertical="center"/>
    </xf>
    <xf numFmtId="9" fontId="4" fillId="0" borderId="24" xfId="5" applyFont="1" applyFill="1" applyBorder="1" applyAlignment="1" applyProtection="1"/>
    <xf numFmtId="9" fontId="4" fillId="0" borderId="0" xfId="5" applyNumberFormat="1" applyFont="1" applyFill="1" applyBorder="1" applyAlignment="1" applyProtection="1"/>
    <xf numFmtId="3" fontId="1" fillId="0" borderId="0" xfId="11" applyNumberFormat="1" applyBorder="1" applyAlignment="1">
      <alignment horizontal="center"/>
    </xf>
    <xf numFmtId="1" fontId="1" fillId="0" borderId="32" xfId="11" applyNumberFormat="1" applyBorder="1" applyAlignment="1">
      <alignment horizontal="center" wrapText="1"/>
    </xf>
    <xf numFmtId="9" fontId="1" fillId="0" borderId="0" xfId="11" applyNumberFormat="1" applyBorder="1" applyAlignment="1">
      <alignment horizontal="center"/>
    </xf>
    <xf numFmtId="1" fontId="23" fillId="0" borderId="19" xfId="11" applyNumberFormat="1" applyFont="1" applyFill="1" applyBorder="1" applyAlignment="1">
      <alignment horizontal="center" vertical="center"/>
    </xf>
    <xf numFmtId="0" fontId="0" fillId="0" borderId="8" xfId="0" applyBorder="1" applyAlignment="1" applyProtection="1">
      <alignment wrapText="1"/>
    </xf>
    <xf numFmtId="0" fontId="0" fillId="0" borderId="0" xfId="0" applyBorder="1" applyAlignment="1" applyProtection="1">
      <alignment horizontal="center" wrapText="1"/>
    </xf>
    <xf numFmtId="0" fontId="1" fillId="0" borderId="0" xfId="11" applyFont="1" applyFill="1" applyBorder="1" applyAlignment="1">
      <alignment vertical="center"/>
    </xf>
    <xf numFmtId="0" fontId="1" fillId="0" borderId="0" xfId="11" applyFill="1" applyBorder="1" applyAlignment="1">
      <alignment vertical="center"/>
    </xf>
    <xf numFmtId="165" fontId="33" fillId="0" borderId="0" xfId="11" applyNumberFormat="1" applyFont="1" applyFill="1" applyBorder="1" applyAlignment="1">
      <alignment horizontal="center" vertical="center"/>
    </xf>
    <xf numFmtId="165" fontId="1" fillId="0" borderId="0" xfId="11" applyNumberFormat="1" applyFill="1" applyBorder="1" applyAlignment="1">
      <alignment horizontal="center" vertical="center"/>
    </xf>
    <xf numFmtId="1" fontId="1" fillId="0" borderId="0" xfId="11" applyNumberFormat="1" applyFill="1" applyBorder="1" applyAlignment="1">
      <alignment horizontal="center" vertical="center"/>
    </xf>
    <xf numFmtId="0" fontId="1" fillId="0" borderId="0" xfId="11" applyFill="1" applyAlignment="1">
      <alignment vertical="center"/>
    </xf>
    <xf numFmtId="0" fontId="1" fillId="0" borderId="0" xfId="11" applyFont="1"/>
    <xf numFmtId="0" fontId="0" fillId="0" borderId="26" xfId="0" applyBorder="1" applyProtection="1"/>
    <xf numFmtId="0" fontId="1" fillId="0" borderId="0" xfId="11" applyFont="1" applyFill="1" applyBorder="1" applyAlignment="1">
      <alignment wrapText="1"/>
    </xf>
    <xf numFmtId="0" fontId="13" fillId="0" borderId="16" xfId="0" applyFont="1" applyFill="1" applyBorder="1" applyAlignment="1" applyProtection="1">
      <alignment horizontal="center" vertical="center"/>
    </xf>
    <xf numFmtId="0" fontId="13" fillId="0" borderId="29" xfId="0" applyFont="1" applyBorder="1" applyAlignment="1" applyProtection="1">
      <alignment horizontal="center" vertical="center"/>
    </xf>
    <xf numFmtId="0" fontId="1" fillId="0" borderId="0" xfId="11" applyBorder="1" applyAlignment="1">
      <alignment horizontal="center" vertical="center"/>
    </xf>
    <xf numFmtId="0" fontId="26" fillId="0" borderId="0" xfId="0" applyFont="1"/>
    <xf numFmtId="0" fontId="4" fillId="0" borderId="0" xfId="0" applyFont="1" applyAlignment="1">
      <alignment horizontal="left" vertical="top" wrapText="1"/>
    </xf>
    <xf numFmtId="3" fontId="4" fillId="9" borderId="27" xfId="0" applyNumberFormat="1" applyFont="1" applyFill="1" applyBorder="1" applyAlignment="1">
      <alignment horizontal="right" vertical="center"/>
    </xf>
    <xf numFmtId="1" fontId="22" fillId="0" borderId="34" xfId="11" applyNumberFormat="1" applyFont="1" applyBorder="1" applyAlignment="1">
      <alignment horizontal="center"/>
    </xf>
    <xf numFmtId="0" fontId="1" fillId="0" borderId="0" xfId="11" applyFont="1" applyFill="1" applyBorder="1" applyAlignment="1">
      <alignment horizontal="right" vertical="top" wrapText="1"/>
    </xf>
    <xf numFmtId="0" fontId="1" fillId="0" borderId="0" xfId="11" applyFont="1" applyFill="1" applyBorder="1" applyAlignment="1">
      <alignment vertical="top" wrapText="1"/>
    </xf>
    <xf numFmtId="0" fontId="0" fillId="0" borderId="26" xfId="0" applyBorder="1"/>
    <xf numFmtId="10" fontId="10" fillId="7" borderId="0" xfId="0" applyNumberFormat="1" applyFont="1" applyFill="1" applyBorder="1"/>
    <xf numFmtId="166" fontId="4" fillId="0" borderId="0" xfId="0" applyNumberFormat="1" applyFont="1" applyFill="1" applyBorder="1"/>
    <xf numFmtId="0" fontId="46" fillId="0" borderId="0" xfId="2" applyAlignment="1" applyProtection="1">
      <alignment horizontal="left" readingOrder="1"/>
    </xf>
    <xf numFmtId="0" fontId="0" fillId="0" borderId="17" xfId="0" applyFont="1" applyBorder="1" applyAlignment="1">
      <alignment horizontal="right"/>
    </xf>
    <xf numFmtId="0" fontId="4" fillId="0" borderId="16" xfId="0" applyFont="1" applyBorder="1" applyAlignment="1">
      <alignment horizontal="right" wrapText="1"/>
    </xf>
    <xf numFmtId="0" fontId="0" fillId="0" borderId="0" xfId="0" applyFill="1"/>
    <xf numFmtId="0" fontId="4" fillId="0" borderId="0" xfId="0" applyFont="1" applyFill="1" applyBorder="1" applyAlignment="1">
      <alignment horizontal="center"/>
    </xf>
    <xf numFmtId="10" fontId="4" fillId="11" borderId="0" xfId="0" applyNumberFormat="1" applyFont="1" applyFill="1" applyBorder="1"/>
    <xf numFmtId="4" fontId="4" fillId="0" borderId="28" xfId="0" applyNumberFormat="1" applyFont="1" applyBorder="1" applyAlignment="1">
      <alignment wrapText="1"/>
    </xf>
    <xf numFmtId="0" fontId="0" fillId="0" borderId="16" xfId="0" applyBorder="1" applyAlignment="1" applyProtection="1">
      <alignment vertical="center"/>
    </xf>
    <xf numFmtId="0" fontId="4" fillId="0" borderId="6" xfId="0" applyFont="1" applyBorder="1" applyAlignment="1">
      <alignment vertical="center"/>
    </xf>
    <xf numFmtId="0" fontId="0" fillId="0" borderId="0" xfId="0" applyFill="1" applyBorder="1" applyProtection="1"/>
    <xf numFmtId="0" fontId="0" fillId="0" borderId="8" xfId="0" applyBorder="1" applyProtection="1"/>
    <xf numFmtId="0" fontId="0" fillId="0" borderId="22" xfId="0" applyBorder="1"/>
    <xf numFmtId="0" fontId="0" fillId="0" borderId="6" xfId="0" applyBorder="1" applyAlignment="1" applyProtection="1">
      <alignment vertical="center"/>
    </xf>
    <xf numFmtId="0" fontId="0" fillId="0" borderId="21" xfId="0" applyBorder="1" applyAlignment="1" applyProtection="1">
      <alignment vertical="center"/>
    </xf>
    <xf numFmtId="0" fontId="36" fillId="0" borderId="22" xfId="0" applyFont="1" applyBorder="1" applyAlignment="1" applyProtection="1">
      <alignment vertical="center"/>
    </xf>
    <xf numFmtId="0" fontId="34" fillId="0" borderId="10" xfId="0" applyFont="1" applyBorder="1" applyAlignment="1" applyProtection="1">
      <alignment vertical="center"/>
    </xf>
    <xf numFmtId="0" fontId="0" fillId="0" borderId="36" xfId="0" applyBorder="1" applyAlignment="1" applyProtection="1">
      <alignment vertical="center"/>
    </xf>
    <xf numFmtId="165" fontId="0" fillId="0" borderId="0" xfId="0" applyNumberFormat="1" applyFill="1" applyBorder="1" applyAlignment="1">
      <alignment horizontal="center" vertical="center"/>
    </xf>
    <xf numFmtId="10" fontId="0" fillId="0" borderId="29" xfId="0" applyNumberFormat="1" applyFill="1" applyBorder="1" applyProtection="1"/>
    <xf numFmtId="0" fontId="0" fillId="0" borderId="0" xfId="0" applyFill="1" applyBorder="1" applyAlignment="1" applyProtection="1">
      <alignment vertical="center"/>
    </xf>
    <xf numFmtId="0" fontId="0" fillId="12" borderId="27" xfId="0" applyFill="1" applyBorder="1" applyProtection="1">
      <protection locked="0"/>
    </xf>
    <xf numFmtId="0" fontId="0" fillId="12" borderId="29" xfId="0" applyFill="1" applyBorder="1" applyProtection="1">
      <protection locked="0"/>
    </xf>
    <xf numFmtId="169" fontId="0" fillId="12" borderId="29" xfId="0" applyNumberFormat="1" applyFill="1" applyBorder="1" applyProtection="1">
      <protection locked="0"/>
    </xf>
    <xf numFmtId="0" fontId="22" fillId="0" borderId="0" xfId="11" applyFont="1" applyBorder="1" applyAlignment="1">
      <alignment horizontal="center"/>
    </xf>
    <xf numFmtId="3" fontId="50" fillId="0" borderId="0" xfId="11" applyNumberFormat="1" applyFont="1" applyFill="1" applyBorder="1" applyAlignment="1">
      <alignment horizontal="center"/>
    </xf>
    <xf numFmtId="3" fontId="1" fillId="0" borderId="0" xfId="11" applyNumberFormat="1" applyFill="1" applyBorder="1" applyAlignment="1">
      <alignment horizontal="center"/>
    </xf>
    <xf numFmtId="0" fontId="1" fillId="0" borderId="0" xfId="11" applyBorder="1" applyAlignment="1">
      <alignment horizontal="center"/>
    </xf>
    <xf numFmtId="0" fontId="16" fillId="0" borderId="0" xfId="11" applyFont="1"/>
    <xf numFmtId="0" fontId="11" fillId="0" borderId="0" xfId="11" applyFont="1"/>
    <xf numFmtId="0" fontId="26" fillId="0" borderId="0" xfId="11" applyFont="1" applyAlignment="1">
      <alignment vertical="center"/>
    </xf>
    <xf numFmtId="165" fontId="51" fillId="0" borderId="0" xfId="11" applyNumberFormat="1" applyFont="1" applyFill="1" applyBorder="1" applyAlignment="1">
      <alignment horizontal="center" vertical="center"/>
    </xf>
    <xf numFmtId="165" fontId="1" fillId="0" borderId="0" xfId="11" applyNumberFormat="1" applyFont="1" applyFill="1" applyBorder="1" applyAlignment="1">
      <alignment horizontal="center" vertical="center"/>
    </xf>
    <xf numFmtId="0" fontId="20" fillId="0" borderId="0" xfId="11" applyFont="1" applyAlignment="1">
      <alignment vertical="top" wrapText="1"/>
    </xf>
    <xf numFmtId="0" fontId="1" fillId="0" borderId="0" xfId="11" applyAlignment="1">
      <alignment vertical="top" wrapText="1"/>
    </xf>
    <xf numFmtId="0" fontId="52" fillId="0" borderId="0" xfId="2" applyFont="1" applyAlignment="1" applyProtection="1">
      <alignment horizontal="left"/>
    </xf>
    <xf numFmtId="0" fontId="1" fillId="0" borderId="34" xfId="11" applyBorder="1"/>
    <xf numFmtId="0" fontId="1" fillId="0" borderId="37" xfId="11" applyFont="1" applyBorder="1" applyAlignment="1">
      <alignment horizontal="right"/>
    </xf>
    <xf numFmtId="1" fontId="1" fillId="0" borderId="37" xfId="11" applyNumberFormat="1" applyBorder="1" applyAlignment="1">
      <alignment horizontal="center"/>
    </xf>
    <xf numFmtId="0" fontId="17" fillId="0" borderId="0" xfId="11" applyFont="1" applyFill="1" applyBorder="1" applyAlignment="1">
      <alignment horizontal="left" vertical="center"/>
    </xf>
    <xf numFmtId="0" fontId="1" fillId="0" borderId="0" xfId="11" applyFill="1" applyAlignment="1">
      <alignment horizontal="left" vertical="center"/>
    </xf>
    <xf numFmtId="0" fontId="21" fillId="0" borderId="0" xfId="11" applyFont="1" applyFill="1" applyAlignment="1">
      <alignment horizontal="left" vertical="center"/>
    </xf>
    <xf numFmtId="0" fontId="1" fillId="0" borderId="0" xfId="11" applyFont="1" applyFill="1" applyBorder="1" applyAlignment="1">
      <alignment horizontal="left" vertical="center"/>
    </xf>
    <xf numFmtId="3" fontId="1" fillId="0" borderId="0" xfId="11" applyNumberFormat="1" applyFont="1" applyFill="1" applyBorder="1" applyAlignment="1">
      <alignment horizontal="center" vertical="center" wrapText="1"/>
    </xf>
    <xf numFmtId="0" fontId="1" fillId="0" borderId="0" xfId="11" applyFill="1"/>
    <xf numFmtId="170" fontId="0" fillId="0" borderId="0" xfId="0" applyNumberFormat="1" applyBorder="1" applyAlignment="1" applyProtection="1">
      <alignment horizontal="center" wrapText="1"/>
    </xf>
    <xf numFmtId="171" fontId="0" fillId="0" borderId="0" xfId="0" applyNumberFormat="1" applyBorder="1" applyAlignment="1" applyProtection="1">
      <alignment horizontal="center" wrapText="1"/>
    </xf>
    <xf numFmtId="0" fontId="1" fillId="0" borderId="39" xfId="11" applyFont="1" applyBorder="1" applyAlignment="1">
      <alignment vertical="center"/>
    </xf>
    <xf numFmtId="0" fontId="1" fillId="0" borderId="25" xfId="11" applyBorder="1" applyAlignment="1">
      <alignment vertical="center"/>
    </xf>
    <xf numFmtId="1" fontId="1" fillId="0" borderId="31" xfId="11" applyNumberFormat="1" applyFill="1" applyBorder="1" applyAlignment="1">
      <alignment horizontal="center" vertical="center"/>
    </xf>
    <xf numFmtId="0" fontId="0" fillId="0" borderId="0" xfId="0" applyAlignment="1">
      <alignment vertical="center"/>
    </xf>
    <xf numFmtId="0" fontId="10" fillId="0" borderId="22" xfId="0" applyFont="1" applyBorder="1" applyAlignment="1" applyProtection="1">
      <alignment vertical="center"/>
    </xf>
    <xf numFmtId="0" fontId="13" fillId="0" borderId="0" xfId="0" applyFont="1" applyBorder="1" applyAlignment="1">
      <alignment horizontal="center"/>
    </xf>
    <xf numFmtId="165" fontId="23" fillId="0" borderId="19" xfId="11" applyNumberFormat="1" applyFont="1" applyFill="1" applyBorder="1" applyAlignment="1">
      <alignment horizontal="center" vertical="center"/>
    </xf>
    <xf numFmtId="0" fontId="0" fillId="0" borderId="29" xfId="0" applyBorder="1" applyProtection="1"/>
    <xf numFmtId="0" fontId="0" fillId="0" borderId="27" xfId="0" applyBorder="1" applyAlignment="1" applyProtection="1">
      <alignment vertical="center"/>
    </xf>
    <xf numFmtId="0" fontId="26" fillId="0" borderId="28" xfId="0" applyFont="1" applyBorder="1"/>
    <xf numFmtId="0" fontId="0" fillId="0" borderId="0" xfId="0" applyBorder="1"/>
    <xf numFmtId="10" fontId="16" fillId="11" borderId="27" xfId="5" applyNumberFormat="1" applyFont="1" applyFill="1" applyBorder="1" applyAlignment="1" applyProtection="1">
      <alignment vertical="center"/>
      <protection locked="0"/>
    </xf>
    <xf numFmtId="0" fontId="20" fillId="0" borderId="0" xfId="0" applyFont="1" applyAlignment="1">
      <alignment vertical="center"/>
    </xf>
    <xf numFmtId="0" fontId="0" fillId="0" borderId="26" xfId="0" applyBorder="1" applyAlignment="1">
      <alignment horizontal="center"/>
    </xf>
    <xf numFmtId="0" fontId="4" fillId="0" borderId="26" xfId="0" applyFont="1" applyFill="1" applyBorder="1" applyAlignment="1">
      <alignment horizontal="center"/>
    </xf>
    <xf numFmtId="0" fontId="0" fillId="0" borderId="10" xfId="0" applyBorder="1"/>
    <xf numFmtId="0" fontId="0" fillId="0" borderId="0" xfId="0" applyBorder="1" applyAlignment="1">
      <alignment horizontal="center"/>
    </xf>
    <xf numFmtId="4" fontId="26" fillId="0" borderId="0" xfId="0" applyNumberFormat="1" applyFont="1" applyFill="1" applyBorder="1"/>
    <xf numFmtId="167" fontId="1" fillId="0" borderId="0" xfId="5" applyNumberFormat="1" applyFill="1" applyBorder="1"/>
    <xf numFmtId="0" fontId="0" fillId="0" borderId="21" xfId="0" applyBorder="1"/>
    <xf numFmtId="0" fontId="46" fillId="2" borderId="17" xfId="2" applyFill="1" applyBorder="1" applyAlignment="1" applyProtection="1">
      <alignment horizontal="center"/>
    </xf>
    <xf numFmtId="0" fontId="11" fillId="0" borderId="0" xfId="0" applyFont="1" applyAlignment="1">
      <alignment horizontal="center" vertical="center"/>
    </xf>
    <xf numFmtId="0" fontId="46" fillId="11" borderId="19" xfId="2" applyFill="1" applyBorder="1" applyAlignment="1" applyProtection="1">
      <alignment horizontal="center" vertical="center"/>
    </xf>
    <xf numFmtId="0" fontId="41" fillId="0" borderId="0" xfId="0" applyFont="1" applyAlignment="1">
      <alignment horizontal="left" readingOrder="1"/>
    </xf>
    <xf numFmtId="0" fontId="4" fillId="0" borderId="24" xfId="0" applyFont="1" applyBorder="1"/>
    <xf numFmtId="9" fontId="4" fillId="0" borderId="16" xfId="5" applyFont="1" applyFill="1" applyBorder="1" applyAlignment="1" applyProtection="1"/>
    <xf numFmtId="9" fontId="1" fillId="0" borderId="16" xfId="5" applyFill="1" applyBorder="1" applyAlignment="1" applyProtection="1"/>
    <xf numFmtId="0" fontId="0" fillId="0" borderId="0" xfId="0" applyFont="1" applyFill="1" applyBorder="1" applyAlignment="1" applyProtection="1">
      <alignment vertical="center" wrapText="1"/>
    </xf>
    <xf numFmtId="0" fontId="26" fillId="0" borderId="0" xfId="0" applyFont="1" applyBorder="1" applyAlignment="1" applyProtection="1">
      <alignment horizontal="center" vertical="center"/>
    </xf>
    <xf numFmtId="0" fontId="18" fillId="0" borderId="2" xfId="11" applyFont="1" applyBorder="1" applyAlignment="1">
      <alignment vertical="center"/>
    </xf>
    <xf numFmtId="0" fontId="43" fillId="0" borderId="0" xfId="11" applyFont="1" applyAlignment="1">
      <alignment vertical="center"/>
    </xf>
    <xf numFmtId="0" fontId="18" fillId="0" borderId="0" xfId="11" applyFont="1"/>
    <xf numFmtId="0" fontId="43" fillId="0" borderId="0" xfId="11" applyFont="1"/>
    <xf numFmtId="0" fontId="0" fillId="0" borderId="0" xfId="0" applyFill="1" applyBorder="1" applyAlignment="1">
      <alignment horizontal="center"/>
    </xf>
    <xf numFmtId="3" fontId="1" fillId="0" borderId="0" xfId="11" applyNumberFormat="1" applyAlignment="1">
      <alignment vertical="center"/>
    </xf>
    <xf numFmtId="4" fontId="0" fillId="0" borderId="0" xfId="0" applyNumberFormat="1" applyBorder="1"/>
    <xf numFmtId="0" fontId="26" fillId="0" borderId="0" xfId="0" applyFont="1" applyFill="1" applyBorder="1" applyAlignment="1" applyProtection="1">
      <alignment vertical="center"/>
    </xf>
    <xf numFmtId="172" fontId="0" fillId="11" borderId="29" xfId="0" applyNumberFormat="1" applyFill="1" applyBorder="1" applyProtection="1">
      <protection locked="0"/>
    </xf>
    <xf numFmtId="164" fontId="23" fillId="0" borderId="0" xfId="5" applyNumberFormat="1" applyFont="1" applyFill="1" applyBorder="1" applyAlignment="1" applyProtection="1">
      <alignment horizontal="center" vertical="center"/>
    </xf>
    <xf numFmtId="0" fontId="46" fillId="0" borderId="0" xfId="2" applyAlignment="1" applyProtection="1">
      <alignment horizontal="left"/>
    </xf>
    <xf numFmtId="0" fontId="9" fillId="0" borderId="0" xfId="0" applyFont="1" applyFill="1" applyBorder="1" applyAlignment="1">
      <alignment horizontal="center" vertical="center" wrapText="1"/>
    </xf>
    <xf numFmtId="167" fontId="0" fillId="0" borderId="0" xfId="0" applyNumberFormat="1"/>
    <xf numFmtId="0" fontId="9" fillId="0" borderId="0" xfId="0" applyFont="1" applyFill="1" applyBorder="1" applyAlignment="1">
      <alignment vertical="center" wrapText="1"/>
    </xf>
    <xf numFmtId="0" fontId="58" fillId="0" borderId="0" xfId="0" applyFont="1" applyProtection="1"/>
    <xf numFmtId="9" fontId="1" fillId="0" borderId="0" xfId="11" applyNumberFormat="1" applyFont="1" applyFill="1" applyBorder="1" applyAlignment="1">
      <alignment horizontal="center" vertical="center" wrapText="1"/>
    </xf>
    <xf numFmtId="0" fontId="13" fillId="0" borderId="22" xfId="0" applyFont="1" applyBorder="1" applyAlignment="1">
      <alignment horizontal="center" wrapText="1"/>
    </xf>
    <xf numFmtId="4" fontId="4" fillId="0" borderId="26" xfId="0" applyNumberFormat="1" applyFont="1" applyBorder="1" applyAlignment="1">
      <alignment wrapText="1"/>
    </xf>
    <xf numFmtId="0" fontId="4" fillId="0" borderId="26" xfId="0" applyFont="1" applyBorder="1"/>
    <xf numFmtId="165" fontId="1" fillId="0" borderId="0" xfId="11" applyNumberFormat="1" applyFont="1" applyFill="1" applyBorder="1" applyAlignment="1">
      <alignment horizontal="center" vertical="center" wrapText="1"/>
    </xf>
    <xf numFmtId="0" fontId="1" fillId="0" borderId="0" xfId="11" applyFill="1" applyBorder="1"/>
    <xf numFmtId="0" fontId="4" fillId="0" borderId="0" xfId="0" applyFont="1" applyFill="1" applyBorder="1" applyAlignment="1">
      <alignment horizontal="center" vertical="center" wrapText="1"/>
    </xf>
    <xf numFmtId="164" fontId="23" fillId="6" borderId="19" xfId="5" applyNumberFormat="1" applyFont="1" applyFill="1" applyBorder="1" applyAlignment="1" applyProtection="1">
      <alignment horizontal="center" vertical="center"/>
    </xf>
    <xf numFmtId="0" fontId="4" fillId="5" borderId="22" xfId="0" applyFont="1" applyFill="1" applyBorder="1" applyAlignment="1">
      <alignment horizontal="center"/>
    </xf>
    <xf numFmtId="0" fontId="7" fillId="0" borderId="0" xfId="0" applyFont="1" applyBorder="1" applyAlignment="1">
      <alignment horizontal="center" wrapText="1"/>
    </xf>
    <xf numFmtId="0" fontId="12" fillId="0" borderId="0" xfId="0" applyFont="1" applyBorder="1" applyAlignment="1">
      <alignment horizontal="center" wrapText="1"/>
    </xf>
    <xf numFmtId="2" fontId="4" fillId="0" borderId="0" xfId="0" applyNumberFormat="1" applyFont="1" applyBorder="1" applyAlignment="1">
      <alignment horizontal="center" wrapText="1"/>
    </xf>
    <xf numFmtId="0" fontId="4" fillId="0" borderId="24" xfId="0" applyFont="1" applyFill="1" applyBorder="1"/>
    <xf numFmtId="9" fontId="1" fillId="0" borderId="24" xfId="5" applyFill="1" applyBorder="1" applyAlignment="1" applyProtection="1"/>
    <xf numFmtId="10" fontId="10" fillId="7" borderId="29" xfId="0" applyNumberFormat="1" applyFont="1" applyFill="1" applyBorder="1" applyProtection="1">
      <protection locked="0"/>
    </xf>
    <xf numFmtId="164" fontId="4" fillId="0" borderId="0" xfId="0" applyNumberFormat="1" applyFont="1" applyFill="1" applyBorder="1" applyAlignment="1">
      <alignment horizontal="center" vertical="center"/>
    </xf>
    <xf numFmtId="0" fontId="13" fillId="0" borderId="26" xfId="0" applyFont="1" applyBorder="1" applyAlignment="1">
      <alignment horizontal="center"/>
    </xf>
    <xf numFmtId="0" fontId="7" fillId="0" borderId="28" xfId="0" applyFont="1" applyBorder="1" applyAlignment="1">
      <alignment horizontal="center"/>
    </xf>
    <xf numFmtId="0" fontId="4" fillId="0" borderId="26" xfId="0" applyFont="1" applyBorder="1" applyAlignment="1">
      <alignment horizontal="right"/>
    </xf>
    <xf numFmtId="0" fontId="4" fillId="0" borderId="28" xfId="0" applyFont="1" applyBorder="1"/>
    <xf numFmtId="0" fontId="4" fillId="0" borderId="29" xfId="0" applyFont="1" applyBorder="1"/>
    <xf numFmtId="0" fontId="7" fillId="0" borderId="21" xfId="0" applyFont="1" applyBorder="1" applyAlignment="1">
      <alignment horizontal="center" wrapText="1"/>
    </xf>
    <xf numFmtId="4" fontId="4" fillId="0" borderId="22" xfId="0" applyNumberFormat="1" applyFont="1" applyBorder="1"/>
    <xf numFmtId="4" fontId="4" fillId="0" borderId="21" xfId="0" applyNumberFormat="1" applyFont="1" applyBorder="1"/>
    <xf numFmtId="3" fontId="10" fillId="0" borderId="22" xfId="0" applyNumberFormat="1" applyFont="1" applyBorder="1" applyAlignment="1">
      <alignment horizontal="right" wrapText="1"/>
    </xf>
    <xf numFmtId="3" fontId="4" fillId="0" borderId="29" xfId="0" applyNumberFormat="1" applyFont="1" applyBorder="1" applyAlignment="1" applyProtection="1">
      <alignment vertical="center"/>
    </xf>
    <xf numFmtId="164" fontId="4" fillId="0" borderId="29" xfId="0" applyNumberFormat="1" applyFont="1" applyFill="1" applyBorder="1" applyAlignment="1">
      <alignment horizontal="right"/>
    </xf>
    <xf numFmtId="0" fontId="7" fillId="0" borderId="0" xfId="0" applyFont="1" applyBorder="1" applyAlignment="1">
      <alignment horizontal="center"/>
    </xf>
    <xf numFmtId="0" fontId="4" fillId="0" borderId="0" xfId="0" applyFont="1" applyBorder="1" applyAlignment="1">
      <alignment horizontal="right"/>
    </xf>
    <xf numFmtId="10" fontId="4" fillId="0" borderId="6" xfId="0" applyNumberFormat="1" applyFont="1" applyFill="1" applyBorder="1" applyAlignment="1">
      <alignment vertical="center"/>
    </xf>
    <xf numFmtId="0" fontId="4" fillId="0" borderId="9" xfId="0" applyFont="1" applyBorder="1"/>
    <xf numFmtId="10" fontId="4" fillId="7" borderId="29" xfId="0" applyNumberFormat="1" applyFont="1" applyFill="1" applyBorder="1" applyAlignment="1">
      <alignment vertical="top" wrapText="1"/>
    </xf>
    <xf numFmtId="0" fontId="4" fillId="0" borderId="12" xfId="0" applyFont="1" applyFill="1" applyBorder="1"/>
    <xf numFmtId="0" fontId="0" fillId="0" borderId="0" xfId="0" applyFont="1" applyBorder="1" applyAlignment="1">
      <alignment vertical="center" wrapText="1"/>
    </xf>
    <xf numFmtId="4" fontId="4" fillId="0" borderId="21" xfId="0" applyNumberFormat="1" applyFont="1" applyFill="1" applyBorder="1"/>
    <xf numFmtId="10" fontId="4" fillId="0" borderId="10" xfId="0" applyNumberFormat="1" applyFont="1" applyFill="1" applyBorder="1" applyAlignment="1">
      <alignment vertical="center"/>
    </xf>
    <xf numFmtId="0" fontId="4" fillId="0" borderId="24" xfId="0" applyFont="1" applyBorder="1" applyAlignment="1">
      <alignment vertical="center"/>
    </xf>
    <xf numFmtId="0" fontId="49" fillId="0" borderId="0" xfId="2" applyFont="1" applyFill="1" applyBorder="1" applyAlignment="1" applyProtection="1">
      <alignment vertical="top" wrapText="1"/>
    </xf>
    <xf numFmtId="164" fontId="4" fillId="0" borderId="21" xfId="0" applyNumberFormat="1" applyFont="1" applyFill="1" applyBorder="1" applyAlignment="1">
      <alignment horizontal="right" vertical="center"/>
    </xf>
    <xf numFmtId="0" fontId="11" fillId="0" borderId="0" xfId="0" applyFont="1" applyFill="1" applyBorder="1" applyAlignment="1">
      <alignment horizontal="center" vertical="top"/>
    </xf>
    <xf numFmtId="0" fontId="0" fillId="0" borderId="0" xfId="0" applyFont="1" applyFill="1" applyBorder="1" applyAlignment="1">
      <alignment horizontal="center" vertical="center" wrapText="1"/>
    </xf>
    <xf numFmtId="3" fontId="4" fillId="0" borderId="0" xfId="0" applyNumberFormat="1" applyFont="1" applyFill="1" applyBorder="1" applyAlignment="1">
      <alignment horizontal="right" vertical="center"/>
    </xf>
    <xf numFmtId="3" fontId="4" fillId="0" borderId="21" xfId="0" applyNumberFormat="1" applyFont="1" applyFill="1" applyBorder="1" applyAlignment="1">
      <alignment vertical="center"/>
    </xf>
    <xf numFmtId="4" fontId="4" fillId="0" borderId="0" xfId="0" applyNumberFormat="1" applyFont="1" applyFill="1" applyBorder="1" applyAlignment="1">
      <alignment wrapText="1"/>
    </xf>
    <xf numFmtId="10" fontId="4" fillId="0" borderId="21" xfId="0" applyNumberFormat="1" applyFont="1" applyFill="1" applyBorder="1" applyAlignment="1">
      <alignment vertical="top" wrapText="1"/>
    </xf>
    <xf numFmtId="10" fontId="10" fillId="7" borderId="29" xfId="0" applyNumberFormat="1" applyFont="1" applyFill="1" applyBorder="1" applyAlignment="1" applyProtection="1">
      <alignment vertical="center"/>
      <protection locked="0"/>
    </xf>
    <xf numFmtId="0" fontId="4" fillId="0" borderId="23" xfId="0" applyFont="1" applyBorder="1"/>
    <xf numFmtId="0" fontId="10" fillId="0" borderId="33" xfId="0" applyFont="1" applyBorder="1" applyAlignment="1"/>
    <xf numFmtId="0" fontId="4" fillId="0" borderId="0" xfId="0" applyFont="1" applyBorder="1" applyAlignment="1">
      <alignment vertical="center" wrapText="1"/>
    </xf>
    <xf numFmtId="0" fontId="4" fillId="0" borderId="16" xfId="0" applyFont="1" applyFill="1" applyBorder="1" applyAlignment="1">
      <alignment horizontal="center"/>
    </xf>
    <xf numFmtId="0" fontId="4" fillId="0" borderId="12" xfId="0" applyFont="1" applyBorder="1" applyAlignment="1">
      <alignment horizontal="center" vertical="top" wrapText="1"/>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pplyProtection="1">
      <alignment horizontal="center"/>
    </xf>
    <xf numFmtId="0" fontId="4" fillId="0" borderId="0" xfId="0" applyFont="1" applyBorder="1" applyAlignment="1" applyProtection="1">
      <alignment vertical="center"/>
    </xf>
    <xf numFmtId="0" fontId="0" fillId="0" borderId="0" xfId="0" applyBorder="1" applyAlignment="1" applyProtection="1">
      <alignment wrapText="1"/>
    </xf>
    <xf numFmtId="0" fontId="10" fillId="0" borderId="0" xfId="0" applyFont="1" applyBorder="1" applyAlignment="1" applyProtection="1">
      <alignment vertical="center"/>
    </xf>
    <xf numFmtId="0" fontId="46" fillId="0" borderId="0" xfId="2" applyAlignment="1" applyProtection="1">
      <alignment horizontal="left"/>
    </xf>
    <xf numFmtId="167" fontId="1" fillId="0" borderId="20" xfId="5" applyNumberFormat="1" applyFill="1" applyBorder="1"/>
    <xf numFmtId="4" fontId="0" fillId="0" borderId="24" xfId="0" applyNumberFormat="1" applyFont="1" applyFill="1" applyBorder="1"/>
    <xf numFmtId="4" fontId="0" fillId="0" borderId="20" xfId="0" applyNumberFormat="1" applyFont="1" applyFill="1" applyBorder="1"/>
    <xf numFmtId="9" fontId="1" fillId="0" borderId="28" xfId="5" applyNumberFormat="1" applyFill="1" applyBorder="1"/>
    <xf numFmtId="9" fontId="1" fillId="0" borderId="29" xfId="5" applyFill="1" applyBorder="1"/>
    <xf numFmtId="4" fontId="0" fillId="0" borderId="26" xfId="0" applyNumberFormat="1" applyFont="1" applyFill="1" applyBorder="1"/>
    <xf numFmtId="0" fontId="0" fillId="0" borderId="26" xfId="0" applyFont="1" applyFill="1" applyBorder="1" applyAlignment="1">
      <alignment horizontal="center"/>
    </xf>
    <xf numFmtId="0" fontId="13" fillId="0" borderId="25" xfId="0" applyFont="1" applyBorder="1" applyAlignment="1">
      <alignment horizontal="center" wrapText="1"/>
    </xf>
    <xf numFmtId="10" fontId="4" fillId="0" borderId="0" xfId="5" applyNumberFormat="1" applyFont="1" applyBorder="1"/>
    <xf numFmtId="4" fontId="4" fillId="0" borderId="0" xfId="0" applyNumberFormat="1" applyFont="1" applyFill="1" applyBorder="1" applyAlignment="1">
      <alignment horizontal="right"/>
    </xf>
    <xf numFmtId="0" fontId="0" fillId="0" borderId="0" xfId="0" applyFill="1" applyBorder="1" applyAlignment="1" applyProtection="1">
      <alignment vertical="center" wrapText="1"/>
    </xf>
    <xf numFmtId="0" fontId="0" fillId="0" borderId="0" xfId="0" applyBorder="1" applyAlignment="1" applyProtection="1">
      <alignment vertical="center" wrapText="1"/>
    </xf>
    <xf numFmtId="3" fontId="4" fillId="0" borderId="26" xfId="0" applyNumberFormat="1" applyFont="1" applyBorder="1"/>
    <xf numFmtId="0" fontId="4" fillId="0" borderId="22" xfId="0" applyFont="1" applyBorder="1"/>
    <xf numFmtId="165" fontId="4" fillId="0" borderId="16" xfId="0" applyNumberFormat="1" applyFont="1" applyBorder="1"/>
    <xf numFmtId="4" fontId="0" fillId="0" borderId="20" xfId="0" applyNumberFormat="1" applyBorder="1"/>
    <xf numFmtId="4" fontId="0" fillId="0" borderId="23" xfId="0" applyNumberFormat="1" applyBorder="1"/>
    <xf numFmtId="4" fontId="0" fillId="0" borderId="12" xfId="0" applyNumberFormat="1" applyBorder="1"/>
    <xf numFmtId="0" fontId="0" fillId="0" borderId="27" xfId="0" applyBorder="1"/>
    <xf numFmtId="0" fontId="0" fillId="0" borderId="20" xfId="0" applyBorder="1"/>
    <xf numFmtId="4" fontId="0" fillId="0" borderId="10" xfId="0" applyNumberFormat="1" applyBorder="1"/>
    <xf numFmtId="4" fontId="0" fillId="0" borderId="21" xfId="0" applyNumberFormat="1" applyBorder="1"/>
    <xf numFmtId="0" fontId="4" fillId="5" borderId="8" xfId="0" applyFont="1" applyFill="1" applyBorder="1" applyAlignment="1">
      <alignment horizontal="center"/>
    </xf>
    <xf numFmtId="4" fontId="0" fillId="0" borderId="23" xfId="0" applyNumberFormat="1" applyFont="1" applyFill="1" applyBorder="1"/>
    <xf numFmtId="4" fontId="0" fillId="0" borderId="22" xfId="0" applyNumberFormat="1" applyBorder="1"/>
    <xf numFmtId="0" fontId="13" fillId="0" borderId="24" xfId="0" applyFont="1" applyBorder="1" applyAlignment="1">
      <alignment horizontal="center" wrapText="1"/>
    </xf>
    <xf numFmtId="0" fontId="4" fillId="0" borderId="10" xfId="0" applyFont="1" applyFill="1" applyBorder="1" applyAlignment="1">
      <alignment vertical="center"/>
    </xf>
    <xf numFmtId="0" fontId="1" fillId="0" borderId="0" xfId="11" applyFill="1" applyAlignment="1">
      <alignment vertical="top" wrapText="1"/>
    </xf>
    <xf numFmtId="0" fontId="4" fillId="0" borderId="8" xfId="0" applyFont="1" applyBorder="1" applyAlignment="1"/>
    <xf numFmtId="4" fontId="4" fillId="0" borderId="0" xfId="0" applyNumberFormat="1" applyFont="1" applyFill="1" applyBorder="1"/>
    <xf numFmtId="0" fontId="64" fillId="0" borderId="0" xfId="0" applyFont="1" applyBorder="1" applyAlignment="1">
      <alignment horizontal="center"/>
    </xf>
    <xf numFmtId="0" fontId="64" fillId="0" borderId="0" xfId="0" applyFont="1" applyBorder="1"/>
    <xf numFmtId="0" fontId="14" fillId="0" borderId="22" xfId="0" applyFont="1" applyFill="1" applyBorder="1" applyAlignment="1">
      <alignment horizontal="center"/>
    </xf>
    <xf numFmtId="0" fontId="0" fillId="0" borderId="0" xfId="0"/>
    <xf numFmtId="167" fontId="1" fillId="0" borderId="23" xfId="5" applyNumberFormat="1" applyFill="1" applyBorder="1"/>
    <xf numFmtId="0" fontId="46" fillId="7" borderId="17" xfId="2" applyFill="1" applyBorder="1" applyAlignment="1" applyProtection="1">
      <alignment horizontal="center"/>
    </xf>
    <xf numFmtId="0" fontId="0" fillId="0" borderId="0" xfId="0"/>
    <xf numFmtId="4" fontId="26" fillId="0" borderId="20" xfId="0" applyNumberFormat="1" applyFont="1" applyFill="1" applyBorder="1"/>
    <xf numFmtId="167" fontId="2" fillId="0" borderId="20" xfId="5" applyNumberFormat="1" applyFont="1" applyFill="1" applyBorder="1"/>
    <xf numFmtId="4" fontId="26" fillId="0" borderId="21" xfId="0" applyNumberFormat="1" applyFont="1" applyBorder="1"/>
    <xf numFmtId="4" fontId="26" fillId="0" borderId="0" xfId="0" applyNumberFormat="1" applyFont="1" applyBorder="1"/>
    <xf numFmtId="0" fontId="7" fillId="0" borderId="0" xfId="0" applyFont="1" applyAlignment="1" applyProtection="1"/>
    <xf numFmtId="0" fontId="7" fillId="0" borderId="0" xfId="0" applyFont="1" applyFill="1" applyBorder="1" applyAlignment="1" applyProtection="1">
      <alignment wrapText="1"/>
    </xf>
    <xf numFmtId="0" fontId="7" fillId="0" borderId="0" xfId="0" applyFont="1" applyBorder="1" applyAlignment="1" applyProtection="1"/>
    <xf numFmtId="0" fontId="7" fillId="0" borderId="0" xfId="0" applyFont="1" applyBorder="1" applyAlignment="1" applyProtection="1">
      <alignment wrapText="1"/>
    </xf>
    <xf numFmtId="173" fontId="16" fillId="11" borderId="27" xfId="5" applyNumberFormat="1" applyFont="1" applyFill="1" applyBorder="1" applyAlignment="1" applyProtection="1">
      <alignment vertical="center"/>
      <protection locked="0"/>
    </xf>
    <xf numFmtId="0" fontId="0" fillId="0" borderId="22" xfId="0" applyBorder="1" applyAlignment="1">
      <alignment horizontal="center"/>
    </xf>
    <xf numFmtId="3" fontId="1" fillId="0" borderId="28" xfId="5" applyNumberFormat="1" applyFill="1" applyBorder="1"/>
    <xf numFmtId="3" fontId="1" fillId="0" borderId="29" xfId="5" applyNumberFormat="1" applyFill="1" applyBorder="1"/>
    <xf numFmtId="0" fontId="0" fillId="0" borderId="0" xfId="0"/>
    <xf numFmtId="0" fontId="0" fillId="0" borderId="16" xfId="0" applyBorder="1" applyAlignment="1">
      <alignment horizontal="center"/>
    </xf>
    <xf numFmtId="4" fontId="0" fillId="0" borderId="0" xfId="0" applyNumberFormat="1"/>
    <xf numFmtId="165" fontId="1" fillId="0" borderId="4" xfId="11" applyNumberFormat="1" applyFont="1" applyFill="1" applyBorder="1" applyAlignment="1">
      <alignment horizontal="center" vertical="center"/>
    </xf>
    <xf numFmtId="1" fontId="1" fillId="0" borderId="43" xfId="11" applyNumberFormat="1" applyFill="1" applyBorder="1" applyAlignment="1">
      <alignment horizontal="center" vertical="center"/>
    </xf>
    <xf numFmtId="0" fontId="46" fillId="0" borderId="0" xfId="2" applyFill="1" applyBorder="1" applyAlignment="1" applyProtection="1">
      <alignment horizontal="center" vertical="center"/>
    </xf>
    <xf numFmtId="0" fontId="40" fillId="0" borderId="0" xfId="0" applyFont="1" applyBorder="1" applyAlignment="1">
      <alignment vertical="center"/>
    </xf>
    <xf numFmtId="2" fontId="9" fillId="0" borderId="0" xfId="0" applyNumberFormat="1" applyFont="1" applyBorder="1" applyAlignment="1">
      <alignment horizontal="center" wrapText="1"/>
    </xf>
    <xf numFmtId="174" fontId="0" fillId="0" borderId="18" xfId="0" applyNumberFormat="1" applyBorder="1" applyAlignment="1">
      <alignment horizontal="center"/>
    </xf>
    <xf numFmtId="0" fontId="0" fillId="0" borderId="42" xfId="0" applyBorder="1"/>
    <xf numFmtId="165" fontId="0" fillId="0" borderId="40" xfId="0" applyNumberFormat="1" applyFill="1" applyBorder="1" applyAlignment="1">
      <alignment horizontal="center" vertical="center"/>
    </xf>
    <xf numFmtId="165" fontId="0" fillId="0" borderId="41" xfId="0" applyNumberFormat="1" applyFill="1" applyBorder="1" applyAlignment="1">
      <alignment horizontal="center" vertical="center"/>
    </xf>
    <xf numFmtId="10" fontId="48" fillId="0" borderId="0" xfId="0" applyNumberFormat="1" applyFont="1" applyFill="1" applyBorder="1" applyProtection="1"/>
    <xf numFmtId="0" fontId="48" fillId="0" borderId="0" xfId="0" applyFont="1" applyBorder="1" applyProtection="1"/>
    <xf numFmtId="0" fontId="4" fillId="0" borderId="0" xfId="0" applyFont="1" applyBorder="1" applyProtection="1"/>
    <xf numFmtId="0" fontId="38" fillId="0" borderId="42" xfId="11" applyFont="1" applyBorder="1" applyAlignment="1">
      <alignment horizontal="center" vertical="center"/>
    </xf>
    <xf numFmtId="0" fontId="0" fillId="0" borderId="0" xfId="0" applyFill="1" applyBorder="1" applyAlignment="1">
      <alignment horizontal="center" vertical="center" wrapText="1"/>
    </xf>
    <xf numFmtId="0" fontId="13" fillId="0" borderId="0" xfId="0" applyFont="1" applyFill="1" applyBorder="1" applyAlignment="1">
      <alignment horizontal="center" vertical="center"/>
    </xf>
    <xf numFmtId="0" fontId="65" fillId="0" borderId="33" xfId="0" applyFont="1" applyBorder="1" applyAlignment="1"/>
    <xf numFmtId="0" fontId="65" fillId="0" borderId="0" xfId="0" applyFont="1" applyBorder="1" applyAlignment="1"/>
    <xf numFmtId="4" fontId="0" fillId="0" borderId="0" xfId="0" applyNumberFormat="1" applyBorder="1" applyAlignment="1">
      <alignment horizontal="right"/>
    </xf>
    <xf numFmtId="4" fontId="0" fillId="0" borderId="21" xfId="0" applyNumberFormat="1" applyBorder="1" applyAlignment="1">
      <alignment horizontal="right"/>
    </xf>
    <xf numFmtId="4" fontId="0" fillId="0" borderId="20" xfId="0" applyNumberFormat="1" applyBorder="1" applyAlignment="1">
      <alignment horizontal="right"/>
    </xf>
    <xf numFmtId="0" fontId="4" fillId="0" borderId="22" xfId="0" applyFont="1" applyFill="1" applyBorder="1"/>
    <xf numFmtId="0" fontId="4" fillId="0" borderId="16" xfId="0" applyFont="1" applyFill="1" applyBorder="1" applyAlignment="1">
      <alignment vertical="center"/>
    </xf>
    <xf numFmtId="0" fontId="9" fillId="0" borderId="16" xfId="0" applyFont="1" applyFill="1" applyBorder="1" applyAlignment="1">
      <alignment vertical="center"/>
    </xf>
    <xf numFmtId="164" fontId="4" fillId="9" borderId="26" xfId="0" applyNumberFormat="1" applyFont="1" applyFill="1" applyBorder="1" applyAlignment="1">
      <alignment vertical="center"/>
    </xf>
    <xf numFmtId="0" fontId="67" fillId="0" borderId="26" xfId="2" applyFont="1" applyBorder="1" applyAlignment="1" applyProtection="1">
      <alignment horizontal="center" wrapText="1"/>
    </xf>
    <xf numFmtId="164" fontId="0" fillId="6" borderId="26" xfId="0" applyNumberFormat="1" applyFill="1" applyBorder="1" applyAlignment="1" applyProtection="1">
      <alignment horizontal="center" vertical="center"/>
      <protection locked="0"/>
    </xf>
    <xf numFmtId="0" fontId="0" fillId="0" borderId="0" xfId="0" applyFont="1" applyFill="1" applyBorder="1" applyAlignment="1">
      <alignment horizontal="center"/>
    </xf>
    <xf numFmtId="9" fontId="1" fillId="0" borderId="0" xfId="5" applyNumberFormat="1" applyFill="1" applyBorder="1"/>
    <xf numFmtId="9" fontId="1" fillId="0" borderId="0" xfId="5" applyFill="1" applyBorder="1"/>
    <xf numFmtId="4" fontId="0" fillId="0" borderId="0" xfId="0" applyNumberFormat="1" applyFont="1" applyFill="1" applyBorder="1"/>
    <xf numFmtId="167" fontId="0" fillId="0" borderId="0" xfId="0" applyNumberFormat="1" applyBorder="1"/>
    <xf numFmtId="9" fontId="0" fillId="0" borderId="28" xfId="0" applyNumberFormat="1" applyBorder="1" applyAlignment="1">
      <alignment horizontal="center" vertical="center"/>
    </xf>
    <xf numFmtId="167" fontId="0" fillId="0" borderId="28" xfId="0" applyNumberFormat="1" applyFill="1" applyBorder="1" applyAlignment="1">
      <alignment horizontal="center" vertical="center"/>
    </xf>
    <xf numFmtId="0" fontId="10" fillId="19" borderId="26" xfId="0" applyFont="1" applyFill="1" applyBorder="1" applyAlignment="1" applyProtection="1">
      <alignment horizontal="center" vertical="center"/>
    </xf>
    <xf numFmtId="0" fontId="10" fillId="20" borderId="26" xfId="0" applyFont="1" applyFill="1" applyBorder="1" applyAlignment="1" applyProtection="1">
      <alignment horizontal="center" vertical="center"/>
    </xf>
    <xf numFmtId="0" fontId="71" fillId="19" borderId="26" xfId="0" applyFont="1" applyFill="1" applyBorder="1" applyAlignment="1" applyProtection="1">
      <alignment horizontal="center" vertical="center"/>
    </xf>
    <xf numFmtId="0" fontId="71" fillId="20" borderId="26" xfId="0" applyFont="1" applyFill="1" applyBorder="1" applyAlignment="1" applyProtection="1">
      <alignment horizontal="center" vertical="center"/>
    </xf>
    <xf numFmtId="0" fontId="71" fillId="18" borderId="26" xfId="0" applyFont="1" applyFill="1" applyBorder="1" applyAlignment="1" applyProtection="1">
      <alignment horizontal="center" vertical="center"/>
    </xf>
    <xf numFmtId="3" fontId="0" fillId="0" borderId="44" xfId="0" applyNumberFormat="1" applyBorder="1" applyProtection="1"/>
    <xf numFmtId="3" fontId="0" fillId="0" borderId="45" xfId="0" applyNumberFormat="1" applyBorder="1" applyProtection="1"/>
    <xf numFmtId="0" fontId="71" fillId="21" borderId="26" xfId="0" applyFont="1" applyFill="1" applyBorder="1" applyAlignment="1" applyProtection="1">
      <alignment horizontal="center" vertical="center"/>
    </xf>
    <xf numFmtId="0" fontId="10" fillId="21" borderId="26" xfId="0" applyFont="1" applyFill="1" applyBorder="1" applyAlignment="1" applyProtection="1">
      <alignment horizontal="center" vertical="center"/>
    </xf>
    <xf numFmtId="0" fontId="74" fillId="0" borderId="26" xfId="0" applyFont="1" applyBorder="1" applyAlignment="1" applyProtection="1">
      <alignment horizontal="center" vertical="center"/>
    </xf>
    <xf numFmtId="0" fontId="75" fillId="0" borderId="28" xfId="0" applyFont="1" applyBorder="1" applyAlignment="1" applyProtection="1">
      <alignment horizontal="center"/>
      <protection locked="0"/>
    </xf>
    <xf numFmtId="0" fontId="4" fillId="0" borderId="0" xfId="0" applyFont="1" applyAlignment="1" applyProtection="1">
      <alignment vertical="center"/>
    </xf>
    <xf numFmtId="0" fontId="28" fillId="0" borderId="0" xfId="0" applyFont="1" applyFill="1" applyAlignment="1" applyProtection="1">
      <alignment vertical="top"/>
    </xf>
    <xf numFmtId="0" fontId="4" fillId="15" borderId="45" xfId="0" applyFont="1" applyFill="1" applyBorder="1" applyAlignment="1" applyProtection="1">
      <alignment horizontal="center"/>
    </xf>
    <xf numFmtId="0" fontId="4" fillId="10" borderId="45" xfId="0" applyFont="1" applyFill="1" applyBorder="1" applyAlignment="1" applyProtection="1">
      <alignment horizontal="center" vertical="center"/>
    </xf>
    <xf numFmtId="165" fontId="0" fillId="0" borderId="42" xfId="0" applyNumberFormat="1" applyFill="1" applyBorder="1" applyAlignment="1">
      <alignment horizontal="center" vertical="center"/>
    </xf>
    <xf numFmtId="0" fontId="46" fillId="8" borderId="40" xfId="2" applyFill="1" applyBorder="1" applyAlignment="1" applyProtection="1">
      <alignment horizontal="center"/>
    </xf>
    <xf numFmtId="0" fontId="0" fillId="0" borderId="30" xfId="0" applyFill="1" applyBorder="1"/>
    <xf numFmtId="0" fontId="46" fillId="0" borderId="14" xfId="2" applyFill="1" applyBorder="1" applyAlignment="1" applyProtection="1"/>
    <xf numFmtId="0" fontId="10" fillId="6" borderId="45" xfId="0" applyFont="1" applyFill="1" applyBorder="1" applyAlignment="1" applyProtection="1">
      <alignment horizontal="center" vertical="center"/>
    </xf>
    <xf numFmtId="0" fontId="0" fillId="0" borderId="0" xfId="0" applyBorder="1" applyAlignment="1">
      <alignment horizontal="center" vertical="center"/>
    </xf>
    <xf numFmtId="0" fontId="0" fillId="0" borderId="21" xfId="0" applyFill="1" applyBorder="1" applyAlignment="1" applyProtection="1">
      <alignment vertical="center"/>
    </xf>
    <xf numFmtId="0" fontId="0" fillId="12" borderId="28" xfId="0" applyFill="1" applyBorder="1" applyAlignment="1">
      <alignment horizontal="center" vertical="center"/>
    </xf>
    <xf numFmtId="0" fontId="0" fillId="0" borderId="28" xfId="0" applyBorder="1" applyAlignment="1">
      <alignment horizontal="center" vertical="center"/>
    </xf>
    <xf numFmtId="0" fontId="0" fillId="0" borderId="12" xfId="0" applyFill="1" applyBorder="1" applyAlignment="1" applyProtection="1">
      <alignment vertical="center"/>
    </xf>
    <xf numFmtId="0" fontId="0" fillId="0" borderId="12" xfId="0" applyBorder="1" applyAlignment="1" applyProtection="1">
      <alignment horizontal="center"/>
    </xf>
    <xf numFmtId="0" fontId="0" fillId="0" borderId="48" xfId="0" applyBorder="1" applyAlignment="1">
      <alignment horizontal="center" vertical="center"/>
    </xf>
    <xf numFmtId="3" fontId="0" fillId="0" borderId="29" xfId="0" applyNumberFormat="1" applyFill="1" applyBorder="1" applyAlignment="1">
      <alignment horizontal="center" vertical="center"/>
    </xf>
    <xf numFmtId="0" fontId="0" fillId="0" borderId="49" xfId="0" applyBorder="1" applyAlignment="1">
      <alignment horizontal="center" vertical="center"/>
    </xf>
    <xf numFmtId="9" fontId="0" fillId="0" borderId="0" xfId="0" applyNumberFormat="1" applyBorder="1" applyAlignment="1">
      <alignment horizontal="center" vertical="center"/>
    </xf>
    <xf numFmtId="0" fontId="10" fillId="18" borderId="44" xfId="0" applyFont="1" applyFill="1" applyBorder="1" applyAlignment="1" applyProtection="1">
      <alignment horizontal="center" vertical="center"/>
    </xf>
    <xf numFmtId="0" fontId="0" fillId="0" borderId="40" xfId="0" applyBorder="1"/>
    <xf numFmtId="1" fontId="0" fillId="0" borderId="19" xfId="0" applyNumberFormat="1" applyBorder="1" applyAlignment="1">
      <alignment horizontal="center"/>
    </xf>
    <xf numFmtId="0" fontId="14" fillId="0" borderId="44" xfId="0" applyFont="1" applyFill="1" applyBorder="1" applyAlignment="1">
      <alignment horizontal="center"/>
    </xf>
    <xf numFmtId="0" fontId="4" fillId="5" borderId="44" xfId="0" applyFont="1" applyFill="1" applyBorder="1" applyAlignment="1">
      <alignment horizontal="center"/>
    </xf>
    <xf numFmtId="4" fontId="0" fillId="0" borderId="44" xfId="0" applyNumberFormat="1" applyFont="1" applyFill="1" applyBorder="1"/>
    <xf numFmtId="4" fontId="0" fillId="0" borderId="28" xfId="0" applyNumberFormat="1" applyFont="1" applyFill="1" applyBorder="1"/>
    <xf numFmtId="4" fontId="26" fillId="0" borderId="28" xfId="0" applyNumberFormat="1" applyFont="1" applyFill="1" applyBorder="1"/>
    <xf numFmtId="4" fontId="0" fillId="0" borderId="29" xfId="0" applyNumberFormat="1" applyFont="1" applyFill="1" applyBorder="1"/>
    <xf numFmtId="167" fontId="1" fillId="0" borderId="28" xfId="5" applyNumberFormat="1" applyFill="1" applyBorder="1"/>
    <xf numFmtId="167" fontId="2" fillId="0" borderId="28" xfId="5" applyNumberFormat="1" applyFont="1" applyFill="1" applyBorder="1"/>
    <xf numFmtId="167" fontId="1" fillId="0" borderId="29" xfId="5" applyNumberFormat="1" applyFill="1" applyBorder="1"/>
    <xf numFmtId="0" fontId="4" fillId="5" borderId="48" xfId="0" applyFont="1" applyFill="1" applyBorder="1" applyAlignment="1">
      <alignment horizontal="center"/>
    </xf>
    <xf numFmtId="4" fontId="0" fillId="0" borderId="44" xfId="0" applyNumberFormat="1" applyBorder="1"/>
    <xf numFmtId="4" fontId="0" fillId="0" borderId="28" xfId="0" applyNumberFormat="1" applyBorder="1"/>
    <xf numFmtId="4" fontId="26" fillId="0" borderId="28" xfId="0" applyNumberFormat="1" applyFont="1" applyBorder="1"/>
    <xf numFmtId="4" fontId="0" fillId="0" borderId="29" xfId="0" applyNumberFormat="1" applyBorder="1"/>
    <xf numFmtId="0" fontId="14" fillId="0" borderId="47" xfId="0" applyFont="1" applyFill="1" applyBorder="1" applyAlignment="1">
      <alignment horizontal="center"/>
    </xf>
    <xf numFmtId="0" fontId="4" fillId="5" borderId="49" xfId="0" applyFont="1" applyFill="1" applyBorder="1" applyAlignment="1">
      <alignment horizontal="center"/>
    </xf>
    <xf numFmtId="4" fontId="0" fillId="0" borderId="47" xfId="0" applyNumberFormat="1" applyBorder="1"/>
    <xf numFmtId="0" fontId="4" fillId="0" borderId="0" xfId="0" applyFont="1" applyBorder="1" applyAlignment="1">
      <alignment horizontal="center"/>
    </xf>
    <xf numFmtId="164" fontId="0" fillId="0" borderId="0" xfId="0" applyNumberFormat="1" applyFill="1" applyBorder="1" applyAlignment="1" applyProtection="1">
      <alignment horizontal="center" vertical="center"/>
      <protection locked="0"/>
    </xf>
    <xf numFmtId="0" fontId="9" fillId="0" borderId="0" xfId="0" applyFont="1" applyFill="1" applyBorder="1" applyAlignment="1">
      <alignment vertical="center"/>
    </xf>
    <xf numFmtId="0" fontId="9" fillId="0" borderId="0" xfId="0" applyFont="1" applyBorder="1"/>
    <xf numFmtId="164" fontId="4" fillId="0" borderId="0" xfId="0" applyNumberFormat="1" applyFont="1" applyFill="1" applyBorder="1" applyAlignment="1">
      <alignment vertical="center"/>
    </xf>
    <xf numFmtId="0" fontId="4" fillId="0" borderId="49" xfId="0" applyFont="1" applyBorder="1"/>
    <xf numFmtId="0" fontId="9" fillId="0" borderId="49" xfId="0" applyFont="1" applyBorder="1"/>
    <xf numFmtId="164" fontId="4" fillId="0" borderId="21" xfId="0" applyNumberFormat="1" applyFont="1" applyFill="1" applyBorder="1" applyAlignment="1">
      <alignment vertical="center"/>
    </xf>
    <xf numFmtId="164" fontId="4" fillId="0" borderId="10" xfId="0" applyNumberFormat="1" applyFont="1" applyFill="1" applyBorder="1" applyAlignment="1">
      <alignment vertical="center"/>
    </xf>
    <xf numFmtId="168" fontId="10" fillId="0" borderId="0" xfId="0" applyNumberFormat="1" applyFont="1" applyFill="1" applyBorder="1"/>
    <xf numFmtId="10" fontId="10" fillId="0" borderId="0" xfId="0" applyNumberFormat="1" applyFont="1" applyFill="1" applyBorder="1" applyProtection="1">
      <protection locked="0"/>
    </xf>
    <xf numFmtId="10" fontId="10" fillId="0" borderId="0" xfId="0" applyNumberFormat="1" applyFont="1" applyFill="1" applyBorder="1" applyAlignment="1" applyProtection="1">
      <alignment vertical="center"/>
      <protection locked="0"/>
    </xf>
    <xf numFmtId="0" fontId="0" fillId="0" borderId="45" xfId="0" applyBorder="1" applyAlignment="1">
      <alignment horizontal="center"/>
    </xf>
    <xf numFmtId="0" fontId="0" fillId="0" borderId="47" xfId="0" applyBorder="1" applyAlignment="1">
      <alignment horizontal="center"/>
    </xf>
    <xf numFmtId="0" fontId="0" fillId="0" borderId="46" xfId="0" applyBorder="1" applyAlignment="1">
      <alignment horizontal="center"/>
    </xf>
    <xf numFmtId="0" fontId="9" fillId="0" borderId="0" xfId="0" applyFont="1" applyFill="1" applyBorder="1" applyAlignment="1" applyProtection="1">
      <alignment horizontal="center" vertical="center"/>
    </xf>
    <xf numFmtId="0" fontId="4" fillId="0" borderId="21" xfId="0" applyFont="1" applyFill="1" applyBorder="1" applyAlignment="1" applyProtection="1">
      <alignment horizontal="center" vertical="center"/>
    </xf>
    <xf numFmtId="0" fontId="4" fillId="0" borderId="0" xfId="0" applyFont="1" applyFill="1" applyBorder="1" applyAlignment="1" applyProtection="1">
      <alignment horizontal="center" vertical="center"/>
    </xf>
    <xf numFmtId="0" fontId="75" fillId="0" borderId="28" xfId="0" applyFont="1" applyFill="1" applyBorder="1" applyAlignment="1" applyProtection="1">
      <alignment horizontal="center"/>
      <protection locked="0"/>
    </xf>
    <xf numFmtId="10" fontId="16" fillId="0" borderId="27" xfId="5" applyNumberFormat="1" applyFont="1" applyFill="1" applyBorder="1" applyAlignment="1" applyProtection="1">
      <alignment vertical="center"/>
      <protection locked="0"/>
    </xf>
    <xf numFmtId="0" fontId="0" fillId="0" borderId="29" xfId="0" applyFill="1" applyBorder="1" applyProtection="1">
      <protection locked="0"/>
    </xf>
    <xf numFmtId="167" fontId="26" fillId="0" borderId="28" xfId="0" applyNumberFormat="1" applyFont="1" applyFill="1" applyBorder="1" applyAlignment="1" applyProtection="1">
      <alignment vertical="center"/>
      <protection locked="0"/>
    </xf>
    <xf numFmtId="164" fontId="4" fillId="0" borderId="28" xfId="0" applyNumberFormat="1" applyFont="1" applyFill="1" applyBorder="1" applyAlignment="1">
      <alignment vertical="center"/>
    </xf>
    <xf numFmtId="10" fontId="4" fillId="7" borderId="28" xfId="0" applyNumberFormat="1" applyFont="1" applyFill="1" applyBorder="1" applyAlignment="1">
      <alignment vertical="center"/>
    </xf>
    <xf numFmtId="164" fontId="4" fillId="0" borderId="29" xfId="0" applyNumberFormat="1" applyFont="1" applyFill="1" applyBorder="1" applyAlignment="1">
      <alignment vertical="center"/>
    </xf>
    <xf numFmtId="4" fontId="4" fillId="0" borderId="10" xfId="0" applyNumberFormat="1" applyFont="1" applyBorder="1"/>
    <xf numFmtId="2" fontId="4" fillId="0" borderId="12" xfId="0" applyNumberFormat="1" applyFont="1" applyBorder="1"/>
    <xf numFmtId="10" fontId="4" fillId="0" borderId="12" xfId="0" applyNumberFormat="1" applyFont="1" applyFill="1" applyBorder="1"/>
    <xf numFmtId="9" fontId="4" fillId="0" borderId="12" xfId="5" applyNumberFormat="1" applyFont="1" applyFill="1" applyBorder="1" applyAlignment="1" applyProtection="1"/>
    <xf numFmtId="4" fontId="4" fillId="0" borderId="29" xfId="0" applyNumberFormat="1" applyFont="1" applyBorder="1" applyAlignment="1">
      <alignment wrapText="1"/>
    </xf>
    <xf numFmtId="4" fontId="10" fillId="0" borderId="22" xfId="0" applyNumberFormat="1" applyFont="1" applyBorder="1" applyAlignment="1">
      <alignment horizontal="right" wrapText="1"/>
    </xf>
    <xf numFmtId="4" fontId="10" fillId="0" borderId="50" xfId="0" applyNumberFormat="1" applyFont="1" applyBorder="1"/>
    <xf numFmtId="0" fontId="4" fillId="0" borderId="51" xfId="0" applyFont="1" applyFill="1" applyBorder="1"/>
    <xf numFmtId="0" fontId="4" fillId="0" borderId="48" xfId="0" applyFont="1" applyFill="1" applyBorder="1"/>
    <xf numFmtId="0" fontId="0" fillId="0" borderId="44" xfId="0" applyBorder="1" applyAlignment="1">
      <alignment horizontal="center"/>
    </xf>
    <xf numFmtId="0" fontId="4" fillId="0" borderId="0" xfId="0" applyFont="1" applyFill="1" applyBorder="1" applyAlignment="1" applyProtection="1">
      <alignment vertical="center"/>
    </xf>
    <xf numFmtId="165" fontId="0" fillId="0" borderId="0" xfId="0" applyNumberFormat="1" applyFill="1" applyBorder="1" applyAlignment="1" applyProtection="1">
      <alignment horizontal="center" vertical="center"/>
      <protection locked="0"/>
    </xf>
    <xf numFmtId="10" fontId="26" fillId="6" borderId="28" xfId="0" applyNumberFormat="1" applyFont="1" applyFill="1" applyBorder="1" applyProtection="1"/>
    <xf numFmtId="0" fontId="0" fillId="0" borderId="40" xfId="0" applyBorder="1" applyAlignment="1">
      <alignment horizontal="center"/>
    </xf>
    <xf numFmtId="0" fontId="0" fillId="0" borderId="41" xfId="0" applyBorder="1" applyAlignment="1">
      <alignment horizontal="center"/>
    </xf>
    <xf numFmtId="0" fontId="0" fillId="0" borderId="19" xfId="0" applyBorder="1" applyAlignment="1">
      <alignment horizontal="center"/>
    </xf>
    <xf numFmtId="10" fontId="4" fillId="0" borderId="21" xfId="0" applyNumberFormat="1" applyFont="1" applyFill="1" applyBorder="1" applyAlignment="1">
      <alignment vertical="center"/>
    </xf>
    <xf numFmtId="0" fontId="4" fillId="0" borderId="48" xfId="0" applyFont="1" applyBorder="1" applyAlignment="1">
      <alignment horizontal="right"/>
    </xf>
    <xf numFmtId="0" fontId="4" fillId="0" borderId="29" xfId="0" applyFont="1" applyBorder="1" applyAlignment="1">
      <alignment horizontal="right"/>
    </xf>
    <xf numFmtId="4" fontId="0" fillId="0" borderId="29" xfId="0" applyNumberFormat="1" applyBorder="1" applyAlignment="1" applyProtection="1">
      <alignment horizontal="center" vertical="center"/>
    </xf>
    <xf numFmtId="0" fontId="79" fillId="0" borderId="0" xfId="12" applyFont="1" applyFill="1"/>
    <xf numFmtId="0" fontId="80" fillId="22" borderId="0" xfId="12" applyFont="1" applyFill="1" applyBorder="1"/>
    <xf numFmtId="0" fontId="79" fillId="22" borderId="0" xfId="12" applyFont="1" applyFill="1"/>
    <xf numFmtId="2" fontId="79" fillId="22" borderId="0" xfId="12" applyNumberFormat="1" applyFont="1" applyFill="1"/>
    <xf numFmtId="0" fontId="79" fillId="0" borderId="0" xfId="12" applyFont="1"/>
    <xf numFmtId="0" fontId="80" fillId="0" borderId="0" xfId="12" applyFont="1" applyFill="1"/>
    <xf numFmtId="0" fontId="80" fillId="22" borderId="0" xfId="12" applyFont="1" applyFill="1"/>
    <xf numFmtId="2" fontId="80" fillId="22" borderId="0" xfId="12" applyNumberFormat="1" applyFont="1" applyFill="1"/>
    <xf numFmtId="0" fontId="80" fillId="0" borderId="0" xfId="12" applyFont="1"/>
    <xf numFmtId="0" fontId="79" fillId="22" borderId="0" xfId="12" applyFont="1" applyFill="1" applyBorder="1"/>
    <xf numFmtId="0" fontId="81" fillId="3" borderId="0" xfId="12" applyFont="1" applyFill="1" applyBorder="1"/>
    <xf numFmtId="0" fontId="79" fillId="3" borderId="0" xfId="12" applyFont="1" applyFill="1" applyBorder="1"/>
    <xf numFmtId="2" fontId="79" fillId="3" borderId="0" xfId="12" applyNumberFormat="1" applyFont="1" applyFill="1" applyBorder="1"/>
    <xf numFmtId="0" fontId="82" fillId="3" borderId="0" xfId="12" applyFont="1" applyFill="1" applyBorder="1"/>
    <xf numFmtId="0" fontId="84" fillId="3" borderId="0" xfId="12" applyFont="1" applyFill="1" applyBorder="1"/>
    <xf numFmtId="0" fontId="79" fillId="3" borderId="0" xfId="12" applyFont="1" applyFill="1"/>
    <xf numFmtId="2" fontId="79" fillId="3" borderId="0" xfId="12" applyNumberFormat="1" applyFont="1" applyFill="1"/>
    <xf numFmtId="0" fontId="81" fillId="23" borderId="0" xfId="12" applyFont="1" applyFill="1" applyBorder="1"/>
    <xf numFmtId="0" fontId="79" fillId="23" borderId="0" xfId="12" applyFont="1" applyFill="1" applyBorder="1"/>
    <xf numFmtId="0" fontId="79" fillId="23" borderId="0" xfId="12" applyFont="1" applyFill="1"/>
    <xf numFmtId="2" fontId="79" fillId="23" borderId="0" xfId="12" applyNumberFormat="1" applyFont="1" applyFill="1"/>
    <xf numFmtId="0" fontId="82" fillId="24" borderId="0" xfId="12" applyFont="1" applyFill="1" applyBorder="1"/>
    <xf numFmtId="0" fontId="81" fillId="24" borderId="0" xfId="12" applyFont="1" applyFill="1" applyBorder="1"/>
    <xf numFmtId="2" fontId="81" fillId="24" borderId="0" xfId="12" applyNumberFormat="1" applyFont="1" applyFill="1" applyBorder="1"/>
    <xf numFmtId="0" fontId="82" fillId="25" borderId="0" xfId="12" applyFont="1" applyFill="1" applyBorder="1"/>
    <xf numFmtId="0" fontId="79" fillId="25" borderId="0" xfId="12" applyFont="1" applyFill="1" applyBorder="1"/>
    <xf numFmtId="0" fontId="81" fillId="25" borderId="0" xfId="12" applyFont="1" applyFill="1" applyBorder="1"/>
    <xf numFmtId="2" fontId="81" fillId="25" borderId="0" xfId="12" applyNumberFormat="1" applyFont="1" applyFill="1" applyBorder="1"/>
    <xf numFmtId="0" fontId="82" fillId="26" borderId="0" xfId="12" applyFont="1" applyFill="1" applyBorder="1"/>
    <xf numFmtId="0" fontId="79" fillId="26" borderId="0" xfId="12" applyFont="1" applyFill="1" applyBorder="1"/>
    <xf numFmtId="0" fontId="81" fillId="26" borderId="0" xfId="12" applyFont="1" applyFill="1" applyBorder="1"/>
    <xf numFmtId="2" fontId="81" fillId="26" borderId="0" xfId="12" applyNumberFormat="1" applyFont="1" applyFill="1" applyBorder="1"/>
    <xf numFmtId="0" fontId="79" fillId="26" borderId="0" xfId="12" applyFont="1" applyFill="1"/>
    <xf numFmtId="0" fontId="79" fillId="0" borderId="0" xfId="12" applyFont="1" applyAlignment="1">
      <alignment wrapText="1"/>
    </xf>
    <xf numFmtId="2" fontId="79" fillId="0" borderId="0" xfId="12" applyNumberFormat="1" applyFont="1"/>
    <xf numFmtId="0" fontId="81" fillId="0" borderId="0" xfId="12" applyFont="1" applyFill="1" applyAlignment="1">
      <alignment horizontal="right"/>
    </xf>
    <xf numFmtId="2" fontId="81" fillId="0" borderId="0" xfId="12" applyNumberFormat="1" applyFont="1" applyFill="1" applyAlignment="1">
      <alignment horizontal="right"/>
    </xf>
    <xf numFmtId="2" fontId="82" fillId="0" borderId="0" xfId="12" applyNumberFormat="1" applyFont="1" applyFill="1" applyAlignment="1">
      <alignment horizontal="right"/>
    </xf>
    <xf numFmtId="0" fontId="81" fillId="0" borderId="0" xfId="12" applyFont="1" applyFill="1"/>
    <xf numFmtId="2" fontId="79" fillId="0" borderId="0" xfId="12" applyNumberFormat="1" applyFont="1" applyFill="1"/>
    <xf numFmtId="2" fontId="83" fillId="0" borderId="0" xfId="12" applyNumberFormat="1" applyFont="1" applyFill="1"/>
    <xf numFmtId="2" fontId="84" fillId="0" borderId="0" xfId="12" applyNumberFormat="1" applyFont="1" applyFill="1"/>
    <xf numFmtId="2" fontId="83" fillId="0" borderId="0" xfId="12" applyNumberFormat="1" applyFont="1" applyFill="1" applyAlignment="1">
      <alignment wrapText="1"/>
    </xf>
    <xf numFmtId="0" fontId="78" fillId="0" borderId="0" xfId="12"/>
    <xf numFmtId="2" fontId="78" fillId="0" borderId="0" xfId="12" applyNumberFormat="1"/>
    <xf numFmtId="0" fontId="79" fillId="0" borderId="0" xfId="12" applyFont="1" applyFill="1" applyAlignment="1">
      <alignment wrapText="1"/>
    </xf>
    <xf numFmtId="167" fontId="1" fillId="0" borderId="41" xfId="5" applyNumberFormat="1" applyBorder="1" applyAlignment="1"/>
    <xf numFmtId="1" fontId="22" fillId="0" borderId="37" xfId="11" applyNumberFormat="1" applyFont="1" applyBorder="1" applyAlignment="1">
      <alignment horizontal="center"/>
    </xf>
    <xf numFmtId="1" fontId="1" fillId="0" borderId="35" xfId="11" applyNumberFormat="1" applyBorder="1" applyAlignment="1">
      <alignment horizontal="center"/>
    </xf>
    <xf numFmtId="2" fontId="0" fillId="0" borderId="6" xfId="0" applyNumberFormat="1" applyBorder="1" applyAlignment="1">
      <alignment horizontal="right"/>
    </xf>
    <xf numFmtId="2" fontId="0" fillId="0" borderId="8" xfId="0" applyNumberFormat="1" applyBorder="1" applyAlignment="1">
      <alignment horizontal="right"/>
    </xf>
    <xf numFmtId="2" fontId="0" fillId="0" borderId="49" xfId="0" applyNumberFormat="1" applyBorder="1" applyAlignment="1">
      <alignment horizontal="right"/>
    </xf>
    <xf numFmtId="2" fontId="0" fillId="0" borderId="51" xfId="0" applyNumberFormat="1" applyBorder="1" applyAlignment="1">
      <alignment horizontal="right"/>
    </xf>
    <xf numFmtId="0" fontId="0" fillId="0" borderId="40" xfId="0" applyFill="1" applyBorder="1" applyAlignment="1">
      <alignment horizontal="left" vertical="center" wrapText="1"/>
    </xf>
    <xf numFmtId="9" fontId="9" fillId="0" borderId="44" xfId="0" applyNumberFormat="1" applyFont="1" applyFill="1" applyBorder="1" applyAlignment="1" applyProtection="1">
      <alignment horizontal="center"/>
      <protection locked="0"/>
    </xf>
    <xf numFmtId="0" fontId="0" fillId="0" borderId="0" xfId="0" applyAlignment="1">
      <alignment wrapText="1"/>
    </xf>
    <xf numFmtId="3" fontId="22" fillId="0" borderId="0" xfId="11" applyNumberFormat="1" applyFont="1" applyBorder="1" applyAlignment="1">
      <alignment horizontal="center"/>
    </xf>
    <xf numFmtId="3" fontId="2" fillId="0" borderId="0" xfId="11" applyNumberFormat="1" applyFont="1" applyBorder="1" applyAlignment="1">
      <alignment horizontal="center"/>
    </xf>
    <xf numFmtId="0" fontId="1" fillId="0" borderId="0" xfId="11" applyAlignment="1">
      <alignment vertical="center" wrapText="1"/>
    </xf>
    <xf numFmtId="0" fontId="1" fillId="0" borderId="0" xfId="11" applyFill="1" applyAlignment="1">
      <alignment vertical="center" wrapText="1"/>
    </xf>
    <xf numFmtId="0" fontId="4" fillId="0" borderId="40" xfId="0" applyFont="1" applyBorder="1" applyAlignment="1">
      <alignment horizontal="center"/>
    </xf>
    <xf numFmtId="0" fontId="4" fillId="0" borderId="41" xfId="0" applyFont="1" applyBorder="1" applyAlignment="1">
      <alignment horizontal="center"/>
    </xf>
    <xf numFmtId="0" fontId="4" fillId="0" borderId="42" xfId="0" applyFont="1" applyBorder="1" applyAlignment="1">
      <alignment horizontal="center"/>
    </xf>
    <xf numFmtId="0" fontId="13" fillId="0" borderId="40" xfId="0" applyFont="1" applyBorder="1" applyAlignment="1">
      <alignment vertical="center"/>
    </xf>
    <xf numFmtId="0" fontId="13" fillId="0" borderId="41" xfId="0" applyFont="1" applyBorder="1" applyAlignment="1">
      <alignment vertical="center"/>
    </xf>
    <xf numFmtId="0" fontId="13" fillId="0" borderId="42" xfId="0" applyFont="1" applyBorder="1" applyAlignment="1">
      <alignment vertical="center"/>
    </xf>
    <xf numFmtId="0" fontId="13" fillId="0" borderId="33" xfId="0" applyFont="1" applyBorder="1" applyAlignment="1">
      <alignment vertical="center"/>
    </xf>
    <xf numFmtId="0" fontId="13" fillId="0" borderId="0" xfId="0" applyFont="1" applyBorder="1" applyAlignment="1">
      <alignment vertical="center"/>
    </xf>
    <xf numFmtId="0" fontId="13" fillId="0" borderId="15" xfId="0" applyFont="1" applyBorder="1" applyAlignment="1">
      <alignment vertical="center"/>
    </xf>
    <xf numFmtId="0" fontId="13" fillId="0" borderId="5" xfId="0" applyFont="1" applyBorder="1"/>
    <xf numFmtId="0" fontId="13" fillId="0" borderId="3" xfId="0" applyFont="1" applyBorder="1"/>
    <xf numFmtId="0" fontId="13" fillId="0" borderId="4" xfId="0" applyFont="1" applyBorder="1"/>
    <xf numFmtId="0" fontId="13" fillId="0" borderId="52" xfId="0" applyFont="1" applyBorder="1" applyAlignment="1">
      <alignment horizontal="center" wrapText="1"/>
    </xf>
    <xf numFmtId="0" fontId="13" fillId="0" borderId="53" xfId="0" applyFont="1" applyBorder="1" applyAlignment="1">
      <alignment horizontal="center" wrapText="1"/>
    </xf>
    <xf numFmtId="3" fontId="4" fillId="0" borderId="30" xfId="0" applyNumberFormat="1" applyFont="1" applyFill="1" applyBorder="1"/>
    <xf numFmtId="3" fontId="4" fillId="0" borderId="14" xfId="0" applyNumberFormat="1" applyFont="1" applyFill="1" applyBorder="1"/>
    <xf numFmtId="3" fontId="4" fillId="0" borderId="38" xfId="0" applyNumberFormat="1" applyFont="1" applyFill="1" applyBorder="1"/>
    <xf numFmtId="0" fontId="13" fillId="0" borderId="5" xfId="0" applyFont="1" applyFill="1" applyBorder="1"/>
    <xf numFmtId="0" fontId="13" fillId="0" borderId="3" xfId="0" applyFont="1" applyFill="1" applyBorder="1"/>
    <xf numFmtId="3" fontId="4" fillId="0" borderId="40" xfId="0" applyNumberFormat="1" applyFont="1" applyFill="1" applyBorder="1"/>
    <xf numFmtId="3" fontId="4" fillId="0" borderId="41" xfId="0" applyNumberFormat="1" applyFont="1" applyFill="1" applyBorder="1"/>
    <xf numFmtId="3" fontId="4" fillId="0" borderId="42" xfId="0" applyNumberFormat="1" applyFont="1" applyFill="1" applyBorder="1"/>
    <xf numFmtId="3" fontId="4" fillId="0" borderId="33" xfId="0" applyNumberFormat="1" applyFont="1" applyFill="1" applyBorder="1"/>
    <xf numFmtId="3" fontId="4" fillId="0" borderId="0" xfId="0" applyNumberFormat="1" applyFont="1" applyFill="1" applyBorder="1"/>
    <xf numFmtId="3" fontId="4" fillId="0" borderId="15" xfId="0" applyNumberFormat="1" applyFont="1" applyFill="1" applyBorder="1"/>
    <xf numFmtId="3" fontId="4" fillId="0" borderId="5" xfId="0" applyNumberFormat="1" applyFont="1" applyFill="1" applyBorder="1"/>
    <xf numFmtId="3" fontId="4" fillId="0" borderId="3" xfId="0" applyNumberFormat="1" applyFont="1" applyFill="1" applyBorder="1"/>
    <xf numFmtId="3" fontId="4" fillId="0" borderId="4" xfId="0" applyNumberFormat="1" applyFont="1" applyFill="1" applyBorder="1"/>
    <xf numFmtId="3" fontId="4" fillId="0" borderId="0" xfId="0" applyNumberFormat="1" applyFont="1" applyBorder="1" applyAlignment="1">
      <alignment horizontal="right" vertical="center" wrapText="1"/>
    </xf>
    <xf numFmtId="3" fontId="4" fillId="0" borderId="40" xfId="0" applyNumberFormat="1" applyFont="1" applyBorder="1" applyAlignment="1">
      <alignment horizontal="right" vertical="center" wrapText="1"/>
    </xf>
    <xf numFmtId="3" fontId="4" fillId="0" borderId="41" xfId="0" applyNumberFormat="1" applyFont="1" applyBorder="1" applyAlignment="1">
      <alignment horizontal="right" vertical="center" wrapText="1"/>
    </xf>
    <xf numFmtId="0" fontId="89" fillId="0" borderId="0" xfId="0" applyFont="1"/>
    <xf numFmtId="0" fontId="9" fillId="0" borderId="19" xfId="0" applyFont="1" applyBorder="1"/>
    <xf numFmtId="0" fontId="13" fillId="0" borderId="33" xfId="0" applyFont="1" applyFill="1" applyBorder="1"/>
    <xf numFmtId="0" fontId="13" fillId="0" borderId="0" xfId="0" applyFont="1" applyFill="1" applyBorder="1"/>
    <xf numFmtId="0" fontId="13" fillId="0" borderId="15" xfId="0" applyFont="1" applyFill="1" applyBorder="1"/>
    <xf numFmtId="3" fontId="4" fillId="0" borderId="5" xfId="0" applyNumberFormat="1" applyFont="1" applyBorder="1" applyAlignment="1">
      <alignment horizontal="right" vertical="center" wrapText="1"/>
    </xf>
    <xf numFmtId="3" fontId="4" fillId="0" borderId="3" xfId="0" applyNumberFormat="1" applyFont="1" applyBorder="1" applyAlignment="1">
      <alignment horizontal="right" vertical="center" wrapText="1"/>
    </xf>
    <xf numFmtId="167" fontId="26" fillId="0" borderId="0" xfId="0" applyNumberFormat="1" applyFont="1" applyAlignment="1" applyProtection="1">
      <alignment vertical="center"/>
    </xf>
    <xf numFmtId="3" fontId="0" fillId="0" borderId="4" xfId="0" applyNumberFormat="1" applyFill="1" applyBorder="1" applyAlignment="1">
      <alignment horizontal="center"/>
    </xf>
    <xf numFmtId="0" fontId="0" fillId="0" borderId="47" xfId="0" applyBorder="1" applyAlignment="1">
      <alignment horizontal="center"/>
    </xf>
    <xf numFmtId="0" fontId="0" fillId="0" borderId="56" xfId="0" applyBorder="1" applyAlignment="1">
      <alignment horizontal="center"/>
    </xf>
    <xf numFmtId="0" fontId="0" fillId="12" borderId="58" xfId="0" applyFill="1" applyBorder="1" applyProtection="1">
      <protection locked="0"/>
    </xf>
    <xf numFmtId="3" fontId="0" fillId="0" borderId="55" xfId="0" applyNumberFormat="1" applyBorder="1" applyProtection="1"/>
    <xf numFmtId="0" fontId="71" fillId="28" borderId="26" xfId="0" applyFont="1" applyFill="1" applyBorder="1" applyAlignment="1" applyProtection="1">
      <alignment horizontal="center" vertical="center"/>
    </xf>
    <xf numFmtId="0" fontId="71" fillId="7" borderId="26" xfId="0" applyFont="1" applyFill="1" applyBorder="1" applyAlignment="1" applyProtection="1">
      <alignment horizontal="center" vertical="center"/>
    </xf>
    <xf numFmtId="0" fontId="10" fillId="7" borderId="26" xfId="0" applyFont="1" applyFill="1" applyBorder="1" applyAlignment="1" applyProtection="1">
      <alignment horizontal="center" vertical="center"/>
    </xf>
    <xf numFmtId="0" fontId="10" fillId="28" borderId="26" xfId="0" applyFont="1" applyFill="1" applyBorder="1" applyAlignment="1" applyProtection="1">
      <alignment horizontal="center" vertical="center"/>
    </xf>
    <xf numFmtId="9" fontId="1" fillId="0" borderId="0" xfId="5" applyNumberFormat="1" applyFill="1" applyBorder="1" applyAlignment="1" applyProtection="1">
      <alignment horizontal="center" vertical="center"/>
      <protection locked="0"/>
    </xf>
    <xf numFmtId="0" fontId="0" fillId="0" borderId="55" xfId="0" applyFill="1" applyBorder="1" applyAlignment="1" applyProtection="1">
      <alignment vertical="center"/>
    </xf>
    <xf numFmtId="0" fontId="0" fillId="0" borderId="59" xfId="0" applyBorder="1" applyAlignment="1" applyProtection="1">
      <alignment horizontal="center"/>
    </xf>
    <xf numFmtId="9" fontId="1" fillId="0" borderId="54" xfId="5" applyFill="1" applyBorder="1" applyAlignment="1">
      <alignment horizontal="center" vertical="center"/>
    </xf>
    <xf numFmtId="4" fontId="0" fillId="0" borderId="58" xfId="0" applyNumberFormat="1" applyBorder="1"/>
    <xf numFmtId="0" fontId="4" fillId="0" borderId="61" xfId="0" applyFont="1" applyBorder="1" applyAlignment="1">
      <alignment vertical="center"/>
    </xf>
    <xf numFmtId="10" fontId="4" fillId="0" borderId="60" xfId="0" applyNumberFormat="1" applyFont="1" applyFill="1" applyBorder="1" applyAlignment="1">
      <alignment vertical="center"/>
    </xf>
    <xf numFmtId="3" fontId="0" fillId="9" borderId="12" xfId="0" applyNumberFormat="1" applyFill="1" applyBorder="1" applyProtection="1"/>
    <xf numFmtId="3" fontId="0" fillId="9" borderId="44" xfId="0" applyNumberFormat="1" applyFill="1" applyBorder="1" applyProtection="1"/>
    <xf numFmtId="3" fontId="0" fillId="9" borderId="29" xfId="0" applyNumberFormat="1" applyFill="1" applyBorder="1" applyProtection="1"/>
    <xf numFmtId="9" fontId="1" fillId="0" borderId="54" xfId="5" applyNumberFormat="1" applyFill="1" applyBorder="1" applyAlignment="1">
      <alignment horizontal="center" vertical="center"/>
    </xf>
    <xf numFmtId="0" fontId="4" fillId="13" borderId="26" xfId="0" applyFont="1" applyFill="1" applyBorder="1" applyAlignment="1">
      <alignment horizontal="center" vertical="top" wrapText="1"/>
    </xf>
    <xf numFmtId="10" fontId="4" fillId="7" borderId="0" xfId="0" applyNumberFormat="1" applyFont="1" applyFill="1" applyBorder="1"/>
    <xf numFmtId="0" fontId="0" fillId="0" borderId="47" xfId="0" applyBorder="1" applyAlignment="1">
      <alignment horizontal="center"/>
    </xf>
    <xf numFmtId="0" fontId="0" fillId="0" borderId="46" xfId="0" applyBorder="1" applyAlignment="1">
      <alignment horizontal="center"/>
    </xf>
    <xf numFmtId="0" fontId="78" fillId="0" borderId="0" xfId="12" applyNumberFormat="1"/>
    <xf numFmtId="1" fontId="78" fillId="0" borderId="0" xfId="12" applyNumberFormat="1" applyAlignment="1">
      <alignment horizontal="center"/>
    </xf>
    <xf numFmtId="0" fontId="78" fillId="9" borderId="0" xfId="12" applyNumberFormat="1" applyFill="1"/>
    <xf numFmtId="0" fontId="78" fillId="29" borderId="0" xfId="12" applyNumberFormat="1" applyFill="1" applyAlignment="1">
      <alignment horizontal="center"/>
    </xf>
    <xf numFmtId="0" fontId="78" fillId="0" borderId="58" xfId="12" applyNumberFormat="1" applyBorder="1"/>
    <xf numFmtId="0" fontId="78" fillId="0" borderId="61" xfId="12" applyNumberFormat="1" applyBorder="1" applyAlignment="1">
      <alignment horizontal="center"/>
    </xf>
    <xf numFmtId="0" fontId="78" fillId="0" borderId="57" xfId="12" applyNumberFormat="1" applyBorder="1" applyAlignment="1">
      <alignment horizontal="center"/>
    </xf>
    <xf numFmtId="0" fontId="78" fillId="29" borderId="58" xfId="12" applyNumberFormat="1" applyFill="1" applyBorder="1"/>
    <xf numFmtId="164" fontId="78" fillId="29" borderId="61" xfId="12" applyNumberFormat="1" applyFill="1" applyBorder="1"/>
    <xf numFmtId="164" fontId="78" fillId="29" borderId="57" xfId="12" applyNumberFormat="1" applyFill="1" applyBorder="1"/>
    <xf numFmtId="0" fontId="78" fillId="0" borderId="28" xfId="12" applyNumberFormat="1" applyBorder="1"/>
    <xf numFmtId="165" fontId="78" fillId="0" borderId="0" xfId="12" applyNumberFormat="1" applyBorder="1"/>
    <xf numFmtId="165" fontId="78" fillId="30" borderId="0" xfId="12" applyNumberFormat="1" applyFill="1" applyBorder="1"/>
    <xf numFmtId="164" fontId="78" fillId="30" borderId="0" xfId="12" applyNumberFormat="1" applyFill="1" applyBorder="1"/>
    <xf numFmtId="165" fontId="78" fillId="30" borderId="20" xfId="12" applyNumberFormat="1" applyFill="1" applyBorder="1"/>
    <xf numFmtId="0" fontId="78" fillId="29" borderId="28" xfId="12" applyNumberFormat="1" applyFill="1" applyBorder="1"/>
    <xf numFmtId="164" fontId="78" fillId="29" borderId="0" xfId="12" applyNumberFormat="1" applyFill="1" applyBorder="1"/>
    <xf numFmtId="164" fontId="78" fillId="29" borderId="20" xfId="12" applyNumberFormat="1" applyFill="1" applyBorder="1"/>
    <xf numFmtId="0" fontId="78" fillId="29" borderId="29" xfId="12" applyNumberFormat="1" applyFill="1" applyBorder="1"/>
    <xf numFmtId="164" fontId="78" fillId="29" borderId="12" xfId="12" applyNumberFormat="1" applyFill="1" applyBorder="1"/>
    <xf numFmtId="164" fontId="78" fillId="29" borderId="23" xfId="12" applyNumberFormat="1" applyFill="1" applyBorder="1"/>
    <xf numFmtId="0" fontId="78" fillId="0" borderId="0" xfId="12" applyNumberFormat="1" applyBorder="1"/>
    <xf numFmtId="1" fontId="78" fillId="0" borderId="0" xfId="12" applyNumberFormat="1" applyBorder="1"/>
    <xf numFmtId="1" fontId="78" fillId="0" borderId="20" xfId="12" applyNumberFormat="1" applyBorder="1"/>
    <xf numFmtId="0" fontId="78" fillId="0" borderId="29" xfId="12" applyNumberFormat="1" applyBorder="1"/>
    <xf numFmtId="0" fontId="78" fillId="0" borderId="12" xfId="12" applyNumberFormat="1" applyBorder="1"/>
    <xf numFmtId="1" fontId="78" fillId="0" borderId="12" xfId="12" applyNumberFormat="1" applyBorder="1"/>
    <xf numFmtId="1" fontId="78" fillId="0" borderId="23" xfId="12" applyNumberFormat="1" applyBorder="1"/>
    <xf numFmtId="0" fontId="14" fillId="0" borderId="54" xfId="0" applyFont="1" applyFill="1" applyBorder="1" applyAlignment="1">
      <alignment horizontal="center"/>
    </xf>
    <xf numFmtId="0" fontId="4" fillId="5" borderId="54" xfId="0" applyFont="1" applyFill="1" applyBorder="1" applyAlignment="1">
      <alignment horizontal="center"/>
    </xf>
    <xf numFmtId="4" fontId="0" fillId="0" borderId="54" xfId="0" applyNumberFormat="1" applyFont="1" applyFill="1" applyBorder="1"/>
    <xf numFmtId="0" fontId="4" fillId="31" borderId="54" xfId="0" applyFont="1" applyFill="1" applyBorder="1" applyAlignment="1">
      <alignment horizontal="center"/>
    </xf>
    <xf numFmtId="164" fontId="4" fillId="0" borderId="54" xfId="0" applyNumberFormat="1" applyFont="1" applyFill="1" applyBorder="1" applyAlignment="1">
      <alignment horizontal="right"/>
    </xf>
    <xf numFmtId="4" fontId="0" fillId="0" borderId="58" xfId="0" applyNumberFormat="1" applyFont="1" applyFill="1" applyBorder="1"/>
    <xf numFmtId="164" fontId="4" fillId="0" borderId="58" xfId="0" applyNumberFormat="1" applyFont="1" applyFill="1" applyBorder="1" applyAlignment="1">
      <alignment horizontal="right"/>
    </xf>
    <xf numFmtId="164" fontId="4" fillId="0" borderId="28" xfId="0" applyNumberFormat="1" applyFont="1" applyFill="1" applyBorder="1" applyAlignment="1">
      <alignment horizontal="right"/>
    </xf>
    <xf numFmtId="0" fontId="4" fillId="31" borderId="55" xfId="0" applyFont="1" applyFill="1" applyBorder="1" applyAlignment="1">
      <alignment horizontal="center"/>
    </xf>
    <xf numFmtId="0" fontId="4" fillId="31" borderId="59" xfId="0" applyFont="1" applyFill="1" applyBorder="1" applyAlignment="1">
      <alignment horizontal="center"/>
    </xf>
    <xf numFmtId="167" fontId="1" fillId="0" borderId="60" xfId="5" applyNumberFormat="1" applyFill="1" applyBorder="1"/>
    <xf numFmtId="167" fontId="1" fillId="0" borderId="58" xfId="5" applyNumberFormat="1" applyFill="1" applyBorder="1"/>
    <xf numFmtId="167" fontId="1" fillId="0" borderId="61" xfId="5" applyNumberFormat="1" applyFill="1" applyBorder="1"/>
    <xf numFmtId="167" fontId="1" fillId="0" borderId="21" xfId="5" applyNumberFormat="1" applyFill="1" applyBorder="1"/>
    <xf numFmtId="167" fontId="1" fillId="0" borderId="10" xfId="5" applyNumberFormat="1" applyFill="1" applyBorder="1"/>
    <xf numFmtId="167" fontId="1" fillId="0" borderId="12" xfId="5" applyNumberFormat="1" applyFill="1" applyBorder="1"/>
    <xf numFmtId="0" fontId="4" fillId="31" borderId="58" xfId="0" applyFont="1" applyFill="1" applyBorder="1" applyAlignment="1">
      <alignment horizontal="center"/>
    </xf>
    <xf numFmtId="4" fontId="0" fillId="0" borderId="28" xfId="0" applyNumberFormat="1" applyFill="1" applyBorder="1"/>
    <xf numFmtId="4" fontId="0" fillId="0" borderId="54" xfId="0" applyNumberFormat="1" applyFill="1" applyBorder="1"/>
    <xf numFmtId="165" fontId="0" fillId="0" borderId="21" xfId="0" applyNumberFormat="1" applyBorder="1"/>
    <xf numFmtId="165" fontId="0" fillId="0" borderId="0" xfId="0" applyNumberFormat="1" applyBorder="1"/>
    <xf numFmtId="165" fontId="0" fillId="0" borderId="20" xfId="0" applyNumberFormat="1" applyBorder="1"/>
    <xf numFmtId="164" fontId="0" fillId="0" borderId="21" xfId="0" applyNumberFormat="1" applyBorder="1"/>
    <xf numFmtId="164" fontId="0" fillId="0" borderId="0" xfId="0" applyNumberFormat="1" applyBorder="1"/>
    <xf numFmtId="164" fontId="0" fillId="0" borderId="20" xfId="0" applyNumberFormat="1" applyBorder="1"/>
    <xf numFmtId="164" fontId="0" fillId="0" borderId="10" xfId="0" applyNumberFormat="1" applyBorder="1"/>
    <xf numFmtId="164" fontId="0" fillId="0" borderId="12" xfId="0" applyNumberFormat="1" applyBorder="1"/>
    <xf numFmtId="164" fontId="0" fillId="0" borderId="23" xfId="0" applyNumberFormat="1" applyBorder="1"/>
    <xf numFmtId="0" fontId="0" fillId="31" borderId="55" xfId="0" applyFill="1" applyBorder="1" applyAlignment="1">
      <alignment horizontal="center"/>
    </xf>
    <xf numFmtId="0" fontId="0" fillId="31" borderId="59" xfId="0" applyFill="1" applyBorder="1" applyAlignment="1">
      <alignment horizontal="center"/>
    </xf>
    <xf numFmtId="0" fontId="0" fillId="31" borderId="56" xfId="0" applyFill="1" applyBorder="1" applyAlignment="1">
      <alignment horizontal="center"/>
    </xf>
    <xf numFmtId="0" fontId="0" fillId="0" borderId="30" xfId="0" applyBorder="1"/>
    <xf numFmtId="1" fontId="0" fillId="0" borderId="40" xfId="0" applyNumberFormat="1" applyBorder="1" applyAlignment="1">
      <alignment horizontal="center"/>
    </xf>
    <xf numFmtId="1" fontId="0" fillId="0" borderId="41" xfId="0" applyNumberFormat="1" applyBorder="1" applyAlignment="1">
      <alignment horizontal="center"/>
    </xf>
    <xf numFmtId="1" fontId="0" fillId="0" borderId="42" xfId="0" applyNumberFormat="1" applyBorder="1" applyAlignment="1">
      <alignment horizontal="center"/>
    </xf>
    <xf numFmtId="3" fontId="0" fillId="16" borderId="5" xfId="0" applyNumberFormat="1" applyFill="1" applyBorder="1" applyAlignment="1">
      <alignment horizontal="center"/>
    </xf>
    <xf numFmtId="3" fontId="0" fillId="16" borderId="3" xfId="0" applyNumberFormat="1" applyFill="1" applyBorder="1" applyAlignment="1">
      <alignment horizontal="center"/>
    </xf>
    <xf numFmtId="3" fontId="0" fillId="16" borderId="4" xfId="0" applyNumberFormat="1" applyFill="1" applyBorder="1" applyAlignment="1">
      <alignment horizontal="center"/>
    </xf>
    <xf numFmtId="0" fontId="90" fillId="0" borderId="0" xfId="12" applyNumberFormat="1" applyFont="1"/>
    <xf numFmtId="0" fontId="46" fillId="31" borderId="40" xfId="2" applyFill="1" applyBorder="1" applyAlignment="1" applyProtection="1">
      <alignment horizontal="center"/>
    </xf>
    <xf numFmtId="0" fontId="0" fillId="31" borderId="30" xfId="0" applyFill="1" applyBorder="1" applyAlignment="1">
      <alignment horizontal="center"/>
    </xf>
    <xf numFmtId="0" fontId="0" fillId="31" borderId="14" xfId="0" applyFill="1" applyBorder="1" applyAlignment="1">
      <alignment horizontal="center"/>
    </xf>
    <xf numFmtId="0" fontId="0" fillId="31" borderId="38" xfId="0" applyFill="1" applyBorder="1" applyAlignment="1">
      <alignment horizontal="center"/>
    </xf>
    <xf numFmtId="0" fontId="0" fillId="5" borderId="40" xfId="0" applyFill="1" applyBorder="1" applyAlignment="1">
      <alignment horizontal="center"/>
    </xf>
    <xf numFmtId="0" fontId="0" fillId="5" borderId="41" xfId="0" applyFill="1" applyBorder="1" applyAlignment="1">
      <alignment horizontal="center"/>
    </xf>
    <xf numFmtId="0" fontId="10" fillId="0" borderId="0" xfId="0" applyFont="1" applyBorder="1" applyAlignment="1">
      <alignment horizontal="center"/>
    </xf>
    <xf numFmtId="0" fontId="78" fillId="0" borderId="60" xfId="12" applyNumberFormat="1" applyBorder="1" applyAlignment="1">
      <alignment horizontal="center"/>
    </xf>
    <xf numFmtId="164" fontId="78" fillId="29" borderId="60" xfId="12" applyNumberFormat="1" applyFill="1" applyBorder="1"/>
    <xf numFmtId="164" fontId="78" fillId="30" borderId="21" xfId="12" applyNumberFormat="1" applyFill="1" applyBorder="1"/>
    <xf numFmtId="164" fontId="78" fillId="29" borderId="21" xfId="12" applyNumberFormat="1" applyFill="1" applyBorder="1"/>
    <xf numFmtId="164" fontId="78" fillId="29" borderId="10" xfId="12" applyNumberFormat="1" applyFill="1" applyBorder="1"/>
    <xf numFmtId="1" fontId="78" fillId="0" borderId="21" xfId="12" applyNumberFormat="1" applyBorder="1"/>
    <xf numFmtId="1" fontId="78" fillId="0" borderId="10" xfId="12" applyNumberFormat="1" applyBorder="1"/>
    <xf numFmtId="1" fontId="78" fillId="0" borderId="0" xfId="12" applyNumberFormat="1"/>
    <xf numFmtId="1" fontId="78" fillId="9" borderId="0" xfId="12" applyNumberFormat="1" applyFill="1"/>
    <xf numFmtId="2" fontId="91" fillId="0" borderId="0" xfId="12" applyNumberFormat="1" applyFont="1" applyFill="1"/>
    <xf numFmtId="2" fontId="92" fillId="0" borderId="0" xfId="12" applyNumberFormat="1" applyFont="1" applyFill="1"/>
    <xf numFmtId="2" fontId="78" fillId="0" borderId="0" xfId="12" applyNumberFormat="1" applyFont="1" applyFill="1"/>
    <xf numFmtId="0" fontId="93" fillId="0" borderId="0" xfId="12" applyFont="1" applyFill="1"/>
    <xf numFmtId="0" fontId="92" fillId="0" borderId="0" xfId="12" applyFont="1"/>
    <xf numFmtId="2" fontId="92" fillId="0" borderId="0" xfId="12" applyNumberFormat="1" applyFont="1"/>
    <xf numFmtId="0" fontId="92" fillId="0" borderId="0" xfId="12" applyFont="1" applyFill="1"/>
    <xf numFmtId="3" fontId="1" fillId="0" borderId="0" xfId="11" quotePrefix="1" applyNumberFormat="1" applyFont="1" applyBorder="1" applyAlignment="1"/>
    <xf numFmtId="0" fontId="1" fillId="0" borderId="40" xfId="11" applyBorder="1" applyAlignment="1"/>
    <xf numFmtId="43" fontId="0" fillId="0" borderId="16" xfId="14" applyFont="1" applyBorder="1"/>
    <xf numFmtId="0" fontId="0" fillId="0" borderId="16" xfId="0" applyBorder="1"/>
    <xf numFmtId="43" fontId="0" fillId="0" borderId="24" xfId="14" applyFont="1" applyBorder="1"/>
    <xf numFmtId="3" fontId="0" fillId="0" borderId="10" xfId="0" applyNumberFormat="1" applyBorder="1" applyAlignment="1">
      <alignment horizontal="center"/>
    </xf>
    <xf numFmtId="3" fontId="0" fillId="0" borderId="12" xfId="0" applyNumberFormat="1" applyBorder="1" applyAlignment="1">
      <alignment horizontal="center"/>
    </xf>
    <xf numFmtId="3" fontId="0" fillId="0" borderId="23" xfId="0" applyNumberFormat="1" applyBorder="1" applyAlignment="1">
      <alignment horizontal="center"/>
    </xf>
    <xf numFmtId="0" fontId="0" fillId="0" borderId="47" xfId="0" applyBorder="1" applyAlignment="1">
      <alignment horizontal="center"/>
    </xf>
    <xf numFmtId="0" fontId="4" fillId="0" borderId="23" xfId="0" applyFont="1" applyBorder="1" applyAlignment="1" applyProtection="1">
      <alignment horizontal="center" vertical="center" wrapText="1"/>
    </xf>
    <xf numFmtId="0" fontId="0" fillId="0" borderId="42" xfId="0" applyBorder="1" applyAlignment="1">
      <alignment horizontal="center"/>
    </xf>
    <xf numFmtId="0" fontId="4" fillId="0" borderId="26" xfId="0" applyFont="1" applyFill="1" applyBorder="1" applyAlignment="1">
      <alignment horizontal="center" vertical="top" wrapText="1"/>
    </xf>
    <xf numFmtId="0" fontId="4" fillId="0" borderId="6" xfId="0" applyFont="1" applyFill="1" applyBorder="1"/>
    <xf numFmtId="0" fontId="4" fillId="0" borderId="8" xfId="0" applyFont="1" applyFill="1" applyBorder="1"/>
    <xf numFmtId="0" fontId="9" fillId="0" borderId="8" xfId="0" applyFont="1" applyFill="1" applyBorder="1"/>
    <xf numFmtId="10" fontId="10" fillId="0" borderId="27" xfId="0" applyNumberFormat="1" applyFont="1" applyFill="1" applyBorder="1" applyProtection="1">
      <protection locked="0"/>
    </xf>
    <xf numFmtId="0" fontId="0" fillId="0" borderId="64" xfId="0" applyBorder="1" applyAlignment="1">
      <alignment horizontal="center"/>
    </xf>
    <xf numFmtId="0" fontId="4" fillId="0" borderId="65" xfId="0" applyFont="1" applyBorder="1" applyAlignment="1" applyProtection="1">
      <alignment horizontal="center" vertical="center" wrapText="1"/>
    </xf>
    <xf numFmtId="0" fontId="0" fillId="12" borderId="66" xfId="0" applyFill="1" applyBorder="1" applyProtection="1">
      <protection locked="0"/>
    </xf>
    <xf numFmtId="3" fontId="0" fillId="0" borderId="63" xfId="0" applyNumberFormat="1" applyBorder="1" applyProtection="1"/>
    <xf numFmtId="4" fontId="0" fillId="0" borderId="66" xfId="0" applyNumberFormat="1" applyBorder="1"/>
    <xf numFmtId="0" fontId="71" fillId="32" borderId="62" xfId="0" applyFont="1" applyFill="1" applyBorder="1" applyAlignment="1" applyProtection="1">
      <alignment horizontal="center" vertical="center"/>
    </xf>
    <xf numFmtId="9" fontId="13" fillId="0" borderId="26" xfId="0" applyNumberFormat="1" applyFont="1" applyFill="1" applyBorder="1" applyAlignment="1" applyProtection="1">
      <alignment horizontal="center"/>
      <protection locked="0"/>
    </xf>
    <xf numFmtId="9" fontId="13" fillId="0" borderId="22" xfId="0" applyNumberFormat="1" applyFont="1" applyFill="1" applyBorder="1" applyAlignment="1" applyProtection="1">
      <alignment horizontal="center"/>
      <protection locked="0"/>
    </xf>
    <xf numFmtId="0" fontId="13" fillId="0" borderId="26" xfId="0" applyFont="1" applyFill="1" applyBorder="1" applyAlignment="1" applyProtection="1">
      <alignment horizontal="center"/>
      <protection locked="0"/>
    </xf>
    <xf numFmtId="0" fontId="13" fillId="0" borderId="62" xfId="0" applyFont="1" applyFill="1" applyBorder="1" applyAlignment="1" applyProtection="1">
      <alignment horizontal="center"/>
      <protection locked="0"/>
    </xf>
    <xf numFmtId="10" fontId="26" fillId="6" borderId="28" xfId="0" applyNumberFormat="1" applyFont="1" applyFill="1" applyBorder="1" applyAlignment="1" applyProtection="1">
      <alignment vertical="center"/>
      <protection locked="0"/>
    </xf>
    <xf numFmtId="10" fontId="26" fillId="6" borderId="27" xfId="0" applyNumberFormat="1" applyFont="1" applyFill="1" applyBorder="1" applyAlignment="1" applyProtection="1">
      <alignment vertical="center"/>
      <protection locked="0"/>
    </xf>
    <xf numFmtId="10" fontId="26" fillId="4" borderId="27" xfId="0" applyNumberFormat="1" applyFont="1" applyFill="1" applyBorder="1" applyAlignment="1" applyProtection="1">
      <alignment vertical="center"/>
      <protection locked="0"/>
    </xf>
    <xf numFmtId="10" fontId="26" fillId="4" borderId="28" xfId="0" applyNumberFormat="1" applyFont="1" applyFill="1" applyBorder="1" applyAlignment="1" applyProtection="1">
      <alignment vertical="center"/>
      <protection locked="0"/>
    </xf>
    <xf numFmtId="3" fontId="0" fillId="16" borderId="40" xfId="0" applyNumberFormat="1" applyFill="1" applyBorder="1" applyAlignment="1">
      <alignment horizontal="center"/>
    </xf>
    <xf numFmtId="3" fontId="0" fillId="16" borderId="41" xfId="0" applyNumberFormat="1" applyFill="1" applyBorder="1" applyAlignment="1">
      <alignment horizontal="center"/>
    </xf>
    <xf numFmtId="3" fontId="0" fillId="16" borderId="42" xfId="0" applyNumberFormat="1" applyFill="1" applyBorder="1" applyAlignment="1">
      <alignment horizontal="center"/>
    </xf>
    <xf numFmtId="0" fontId="21" fillId="0" borderId="40" xfId="11" applyFont="1" applyBorder="1"/>
    <xf numFmtId="0" fontId="18" fillId="0" borderId="41" xfId="11" applyFont="1" applyBorder="1"/>
    <xf numFmtId="165" fontId="23" fillId="0" borderId="41" xfId="11" applyNumberFormat="1" applyFont="1" applyFill="1" applyBorder="1" applyAlignment="1">
      <alignment horizontal="center"/>
    </xf>
    <xf numFmtId="9" fontId="1" fillId="0" borderId="41" xfId="11" applyNumberFormat="1" applyBorder="1"/>
    <xf numFmtId="0" fontId="1" fillId="0" borderId="41" xfId="11" applyBorder="1"/>
    <xf numFmtId="3" fontId="4" fillId="0" borderId="41" xfId="0" applyNumberFormat="1" applyFont="1" applyBorder="1" applyAlignment="1">
      <alignment horizontal="right" vertical="center" wrapText="1"/>
    </xf>
    <xf numFmtId="3" fontId="4" fillId="0" borderId="42" xfId="0" applyNumberFormat="1" applyFont="1" applyBorder="1" applyAlignment="1">
      <alignment horizontal="right" vertical="center" wrapText="1"/>
    </xf>
    <xf numFmtId="0" fontId="4" fillId="0" borderId="35" xfId="0" applyFont="1" applyBorder="1" applyAlignment="1">
      <alignment horizontal="center" vertical="top" wrapText="1"/>
    </xf>
    <xf numFmtId="3" fontId="4" fillId="0" borderId="3" xfId="0" applyNumberFormat="1" applyFont="1" applyBorder="1" applyAlignment="1">
      <alignment horizontal="right" vertical="center" wrapText="1"/>
    </xf>
    <xf numFmtId="3" fontId="4" fillId="0" borderId="4" xfId="0" applyNumberFormat="1" applyFont="1" applyBorder="1" applyAlignment="1">
      <alignment horizontal="right" vertical="center" wrapText="1"/>
    </xf>
    <xf numFmtId="0" fontId="13" fillId="0" borderId="68" xfId="0" applyFont="1" applyBorder="1" applyAlignment="1">
      <alignment horizontal="center" wrapText="1"/>
    </xf>
    <xf numFmtId="0" fontId="89" fillId="0" borderId="0" xfId="0" applyFont="1" applyBorder="1"/>
    <xf numFmtId="0" fontId="13" fillId="0" borderId="30" xfId="0" applyFont="1" applyBorder="1" applyAlignment="1">
      <alignment vertical="center"/>
    </xf>
    <xf numFmtId="0" fontId="13" fillId="0" borderId="14" xfId="0" applyFont="1" applyBorder="1" applyAlignment="1">
      <alignment vertical="center"/>
    </xf>
    <xf numFmtId="0" fontId="13" fillId="0" borderId="33" xfId="0" applyFont="1" applyBorder="1"/>
    <xf numFmtId="0" fontId="13" fillId="0" borderId="0" xfId="0" applyFont="1" applyBorder="1"/>
    <xf numFmtId="0" fontId="4" fillId="0" borderId="38" xfId="0" applyFont="1" applyBorder="1"/>
    <xf numFmtId="0" fontId="4" fillId="0" borderId="15" xfId="0" applyFont="1" applyBorder="1"/>
    <xf numFmtId="0" fontId="13" fillId="0" borderId="72" xfId="0" applyFont="1" applyBorder="1" applyAlignment="1">
      <alignment horizontal="center" wrapText="1"/>
    </xf>
    <xf numFmtId="0" fontId="13" fillId="0" borderId="73" xfId="0" applyFont="1" applyBorder="1" applyAlignment="1">
      <alignment horizontal="center" wrapText="1"/>
    </xf>
    <xf numFmtId="0" fontId="13" fillId="0" borderId="74" xfId="0" applyFont="1" applyBorder="1" applyAlignment="1">
      <alignment horizontal="center" wrapText="1"/>
    </xf>
    <xf numFmtId="0" fontId="9" fillId="0" borderId="0" xfId="0" applyFont="1" applyBorder="1" applyAlignment="1">
      <alignment horizontal="center"/>
    </xf>
    <xf numFmtId="0" fontId="9" fillId="0" borderId="0" xfId="0" applyFont="1" applyBorder="1" applyAlignment="1"/>
    <xf numFmtId="0" fontId="0" fillId="5" borderId="42" xfId="0" applyFill="1" applyBorder="1" applyAlignment="1">
      <alignment horizontal="center"/>
    </xf>
    <xf numFmtId="0" fontId="0" fillId="33" borderId="40" xfId="0" applyFill="1" applyBorder="1" applyAlignment="1">
      <alignment horizontal="center"/>
    </xf>
    <xf numFmtId="2" fontId="4" fillId="7" borderId="0" xfId="0" applyNumberFormat="1" applyFont="1" applyFill="1" applyBorder="1"/>
    <xf numFmtId="2" fontId="4" fillId="32" borderId="0" xfId="0" applyNumberFormat="1" applyFont="1" applyFill="1" applyBorder="1"/>
    <xf numFmtId="0" fontId="84" fillId="22" borderId="0" xfId="12" applyFont="1" applyFill="1"/>
    <xf numFmtId="0" fontId="95" fillId="3" borderId="0" xfId="12" applyFont="1" applyFill="1" applyAlignment="1"/>
    <xf numFmtId="0" fontId="84" fillId="23" borderId="0" xfId="12" applyFont="1" applyFill="1"/>
    <xf numFmtId="0" fontId="10" fillId="7" borderId="0" xfId="1" applyFont="1" applyFill="1" applyBorder="1"/>
    <xf numFmtId="0" fontId="84" fillId="3" borderId="0" xfId="12" applyFont="1" applyFill="1"/>
    <xf numFmtId="0" fontId="95" fillId="24" borderId="0" xfId="12" applyFont="1" applyFill="1" applyBorder="1"/>
    <xf numFmtId="0" fontId="95" fillId="25" borderId="0" xfId="12" applyFont="1" applyFill="1" applyBorder="1"/>
    <xf numFmtId="0" fontId="82" fillId="34" borderId="0" xfId="12" applyFont="1" applyFill="1" applyBorder="1"/>
    <xf numFmtId="0" fontId="95" fillId="34" borderId="0" xfId="12" applyFont="1" applyFill="1" applyBorder="1"/>
    <xf numFmtId="0" fontId="95" fillId="26" borderId="0" xfId="12" applyFont="1" applyFill="1" applyBorder="1"/>
    <xf numFmtId="0" fontId="82" fillId="35" borderId="0" xfId="12" applyFont="1" applyFill="1" applyBorder="1"/>
    <xf numFmtId="0" fontId="95" fillId="35" borderId="0" xfId="12" applyFont="1" applyFill="1" applyBorder="1"/>
    <xf numFmtId="0" fontId="84" fillId="0" borderId="0" xfId="12" applyFont="1"/>
    <xf numFmtId="0" fontId="95" fillId="0" borderId="0" xfId="12" applyFont="1" applyFill="1" applyAlignment="1">
      <alignment horizontal="right"/>
    </xf>
    <xf numFmtId="2" fontId="81" fillId="0" borderId="0" xfId="12" applyNumberFormat="1" applyFont="1" applyFill="1" applyAlignment="1">
      <alignment horizontal="left"/>
    </xf>
    <xf numFmtId="0" fontId="81" fillId="0" borderId="0" xfId="12" applyFont="1" applyFill="1" applyAlignment="1">
      <alignment horizontal="left"/>
    </xf>
    <xf numFmtId="2" fontId="82" fillId="0" borderId="0" xfId="12" applyNumberFormat="1" applyFont="1" applyFill="1" applyAlignment="1">
      <alignment horizontal="left"/>
    </xf>
    <xf numFmtId="0" fontId="95" fillId="0" borderId="0" xfId="12" applyFont="1" applyFill="1" applyAlignment="1">
      <alignment horizontal="left"/>
    </xf>
    <xf numFmtId="2" fontId="86" fillId="0" borderId="0" xfId="12" applyNumberFormat="1" applyFont="1" applyFill="1"/>
    <xf numFmtId="0" fontId="86" fillId="0" borderId="0" xfId="12" applyFont="1" applyFill="1" applyAlignment="1">
      <alignment horizontal="right"/>
    </xf>
    <xf numFmtId="2" fontId="86" fillId="0" borderId="0" xfId="12" applyNumberFormat="1" applyFont="1" applyFill="1" applyAlignment="1">
      <alignment wrapText="1"/>
    </xf>
    <xf numFmtId="0" fontId="83" fillId="0" borderId="0" xfId="12" applyFont="1"/>
    <xf numFmtId="2" fontId="83" fillId="0" borderId="0" xfId="12" applyNumberFormat="1" applyFont="1"/>
    <xf numFmtId="2" fontId="84" fillId="0" borderId="0" xfId="12" applyNumberFormat="1" applyFont="1"/>
    <xf numFmtId="165" fontId="78" fillId="0" borderId="0" xfId="12" applyNumberFormat="1"/>
    <xf numFmtId="0" fontId="84" fillId="0" borderId="0" xfId="12" applyFont="1" applyFill="1"/>
    <xf numFmtId="0" fontId="97" fillId="36" borderId="0" xfId="0" applyNumberFormat="1" applyFont="1" applyFill="1" applyBorder="1" applyAlignment="1">
      <alignment horizontal="left"/>
    </xf>
    <xf numFmtId="0" fontId="82" fillId="36" borderId="0" xfId="0" applyNumberFormat="1" applyFont="1" applyFill="1" applyBorder="1" applyAlignment="1">
      <alignment horizontal="left" vertical="center" wrapText="1"/>
    </xf>
    <xf numFmtId="0" fontId="82" fillId="36" borderId="0" xfId="0" applyFont="1" applyFill="1" applyBorder="1" applyAlignment="1">
      <alignment horizontal="left" vertical="center" wrapText="1"/>
    </xf>
    <xf numFmtId="0" fontId="97" fillId="36" borderId="0" xfId="0" applyFont="1" applyFill="1" applyBorder="1" applyAlignment="1">
      <alignment horizontal="left"/>
    </xf>
    <xf numFmtId="0" fontId="83" fillId="36" borderId="0" xfId="0" applyFont="1" applyFill="1" applyBorder="1"/>
    <xf numFmtId="0" fontId="85" fillId="36" borderId="0" xfId="0" applyFont="1" applyFill="1" applyBorder="1"/>
    <xf numFmtId="0" fontId="82" fillId="36" borderId="0" xfId="0" applyNumberFormat="1" applyFont="1" applyFill="1" applyBorder="1" applyAlignment="1">
      <alignment horizontal="left" vertical="center"/>
    </xf>
    <xf numFmtId="0" fontId="98" fillId="36" borderId="0" xfId="0" applyNumberFormat="1" applyFont="1" applyFill="1" applyBorder="1" applyAlignment="1">
      <alignment horizontal="left"/>
    </xf>
    <xf numFmtId="0" fontId="83" fillId="36" borderId="0" xfId="0" applyNumberFormat="1" applyFont="1" applyFill="1" applyBorder="1" applyAlignment="1">
      <alignment horizontal="left" vertical="center"/>
    </xf>
    <xf numFmtId="0" fontId="83" fillId="36" borderId="0" xfId="0" applyNumberFormat="1" applyFont="1" applyFill="1" applyBorder="1" applyAlignment="1">
      <alignment horizontal="left"/>
    </xf>
    <xf numFmtId="46" fontId="97" fillId="36" borderId="0" xfId="0" applyNumberFormat="1" applyFont="1" applyFill="1" applyBorder="1" applyAlignment="1">
      <alignment horizontal="left"/>
    </xf>
    <xf numFmtId="0" fontId="97" fillId="36" borderId="0" xfId="0" applyNumberFormat="1" applyFont="1" applyFill="1" applyBorder="1" applyAlignment="1">
      <alignment horizontal="left" wrapText="1"/>
    </xf>
    <xf numFmtId="0" fontId="97" fillId="36" borderId="0" xfId="0" applyNumberFormat="1" applyFont="1" applyFill="1" applyBorder="1" applyAlignment="1">
      <alignment horizontal="left" vertical="center"/>
    </xf>
    <xf numFmtId="0" fontId="99" fillId="36" borderId="0" xfId="0" applyNumberFormat="1" applyFont="1" applyFill="1" applyBorder="1" applyAlignment="1">
      <alignment horizontal="left"/>
    </xf>
    <xf numFmtId="0" fontId="85" fillId="36" borderId="0" xfId="0" applyNumberFormat="1" applyFont="1" applyFill="1" applyBorder="1" applyAlignment="1">
      <alignment horizontal="left" vertical="center"/>
    </xf>
    <xf numFmtId="0" fontId="96" fillId="36" borderId="0" xfId="0" quotePrefix="1" applyNumberFormat="1" applyFont="1" applyFill="1" applyBorder="1" applyAlignment="1">
      <alignment horizontal="left" vertical="center"/>
    </xf>
    <xf numFmtId="0" fontId="96" fillId="36" borderId="0" xfId="0" applyNumberFormat="1" applyFont="1" applyFill="1" applyBorder="1" applyAlignment="1">
      <alignment horizontal="left" vertical="center"/>
    </xf>
    <xf numFmtId="0" fontId="97" fillId="36" borderId="0" xfId="0" applyFont="1" applyFill="1" applyBorder="1" applyAlignment="1">
      <alignment horizontal="left" vertical="center"/>
    </xf>
    <xf numFmtId="165" fontId="51" fillId="13" borderId="39" xfId="11" applyNumberFormat="1" applyFont="1" applyFill="1" applyBorder="1" applyAlignment="1">
      <alignment horizontal="center" vertical="center"/>
    </xf>
    <xf numFmtId="165" fontId="51" fillId="13" borderId="25" xfId="11" applyNumberFormat="1" applyFont="1" applyFill="1" applyBorder="1" applyAlignment="1">
      <alignment horizontal="center" vertical="center"/>
    </xf>
    <xf numFmtId="167" fontId="1" fillId="0" borderId="3" xfId="5" applyNumberFormat="1" applyFill="1" applyBorder="1" applyAlignment="1">
      <alignment vertical="center" wrapText="1"/>
    </xf>
    <xf numFmtId="2" fontId="81" fillId="0" borderId="0" xfId="12" applyNumberFormat="1" applyFont="1" applyFill="1"/>
    <xf numFmtId="9" fontId="1" fillId="0" borderId="78" xfId="5" applyNumberFormat="1" applyFill="1" applyBorder="1" applyAlignment="1" applyProtection="1">
      <alignment horizontal="center" vertical="center"/>
      <protection locked="0"/>
    </xf>
    <xf numFmtId="0" fontId="0" fillId="0" borderId="79" xfId="0" applyBorder="1"/>
    <xf numFmtId="0" fontId="0" fillId="0" borderId="41" xfId="0" applyFill="1" applyBorder="1" applyAlignment="1">
      <alignment horizontal="center"/>
    </xf>
    <xf numFmtId="4" fontId="0" fillId="0" borderId="27" xfId="0" applyNumberFormat="1" applyBorder="1" applyProtection="1"/>
    <xf numFmtId="4" fontId="0" fillId="0" borderId="66" xfId="0" applyNumberFormat="1" applyBorder="1" applyProtection="1"/>
    <xf numFmtId="4" fontId="0" fillId="0" borderId="29" xfId="0" applyNumberFormat="1" applyBorder="1" applyAlignment="1" applyProtection="1">
      <alignment vertical="center"/>
    </xf>
    <xf numFmtId="4" fontId="4" fillId="9" borderId="27" xfId="0" applyNumberFormat="1" applyFont="1" applyFill="1" applyBorder="1" applyAlignment="1">
      <alignment horizontal="right" vertical="center"/>
    </xf>
    <xf numFmtId="4" fontId="4" fillId="0" borderId="29" xfId="0" applyNumberFormat="1" applyFont="1" applyFill="1" applyBorder="1" applyAlignment="1">
      <alignment horizontal="right"/>
    </xf>
    <xf numFmtId="4" fontId="4" fillId="9" borderId="28" xfId="0" applyNumberFormat="1" applyFont="1" applyFill="1" applyBorder="1" applyAlignment="1">
      <alignment horizontal="right" vertical="center"/>
    </xf>
    <xf numFmtId="4" fontId="4" fillId="9" borderId="27" xfId="0" applyNumberFormat="1" applyFont="1" applyFill="1" applyBorder="1" applyAlignment="1">
      <alignment horizontal="right"/>
    </xf>
    <xf numFmtId="9" fontId="100" fillId="0" borderId="54" xfId="5" applyNumberFormat="1" applyFont="1" applyFill="1" applyBorder="1" applyAlignment="1">
      <alignment horizontal="center" vertical="center"/>
    </xf>
    <xf numFmtId="9" fontId="1" fillId="0" borderId="80" xfId="5" applyNumberFormat="1" applyFill="1" applyBorder="1" applyAlignment="1" applyProtection="1">
      <alignment vertical="center"/>
      <protection locked="0"/>
    </xf>
    <xf numFmtId="0" fontId="10" fillId="0" borderId="0" xfId="0" applyFont="1" applyBorder="1" applyAlignment="1">
      <alignment horizontal="left"/>
    </xf>
    <xf numFmtId="0" fontId="1" fillId="0" borderId="33" xfId="11" applyFont="1" applyBorder="1" applyAlignment="1">
      <alignment vertical="center"/>
    </xf>
    <xf numFmtId="0" fontId="1" fillId="0" borderId="0" xfId="11" applyBorder="1" applyAlignment="1">
      <alignment vertical="center"/>
    </xf>
    <xf numFmtId="165" fontId="51" fillId="0" borderId="33" xfId="11" applyNumberFormat="1" applyFont="1" applyFill="1" applyBorder="1" applyAlignment="1">
      <alignment horizontal="center" vertical="center"/>
    </xf>
    <xf numFmtId="165" fontId="51" fillId="0" borderId="15" xfId="11" applyNumberFormat="1" applyFont="1" applyFill="1" applyBorder="1" applyAlignment="1">
      <alignment horizontal="center" vertical="center"/>
    </xf>
    <xf numFmtId="167" fontId="1" fillId="6" borderId="42" xfId="5" applyNumberFormat="1" applyFill="1" applyBorder="1" applyAlignment="1">
      <alignment vertical="center" wrapText="1"/>
    </xf>
    <xf numFmtId="165" fontId="1" fillId="13" borderId="81" xfId="11" applyNumberFormat="1" applyFill="1" applyBorder="1" applyAlignment="1">
      <alignment horizontal="center" vertical="center"/>
    </xf>
    <xf numFmtId="167" fontId="1" fillId="0" borderId="42" xfId="5" applyNumberFormat="1" applyBorder="1" applyAlignment="1"/>
    <xf numFmtId="165" fontId="51" fillId="13" borderId="81" xfId="11" applyNumberFormat="1" applyFont="1" applyFill="1" applyBorder="1" applyAlignment="1">
      <alignment horizontal="center" vertical="center"/>
    </xf>
    <xf numFmtId="0" fontId="1" fillId="0" borderId="82" xfId="11" applyFont="1" applyFill="1" applyBorder="1" applyAlignment="1">
      <alignment vertical="center"/>
    </xf>
    <xf numFmtId="0" fontId="1" fillId="0" borderId="83" xfId="11" applyFill="1" applyBorder="1" applyAlignment="1">
      <alignment horizontal="right" vertical="center"/>
    </xf>
    <xf numFmtId="165" fontId="33" fillId="0" borderId="83" xfId="11" applyNumberFormat="1" applyFont="1" applyFill="1" applyBorder="1" applyAlignment="1">
      <alignment horizontal="center" vertical="center"/>
    </xf>
    <xf numFmtId="165" fontId="33" fillId="0" borderId="82" xfId="11" applyNumberFormat="1" applyFont="1" applyFill="1" applyBorder="1" applyAlignment="1">
      <alignment horizontal="center" vertical="center"/>
    </xf>
    <xf numFmtId="165" fontId="33" fillId="0" borderId="84" xfId="11" applyNumberFormat="1" applyFont="1" applyFill="1" applyBorder="1" applyAlignment="1">
      <alignment horizontal="center" vertical="center"/>
    </xf>
    <xf numFmtId="1" fontId="1" fillId="0" borderId="42" xfId="11" applyNumberFormat="1" applyFill="1" applyBorder="1" applyAlignment="1">
      <alignment horizontal="center" vertical="center"/>
    </xf>
    <xf numFmtId="165" fontId="1" fillId="0" borderId="19" xfId="11" applyNumberFormat="1" applyFill="1" applyBorder="1" applyAlignment="1">
      <alignment horizontal="center" vertical="center"/>
    </xf>
    <xf numFmtId="9" fontId="1" fillId="0" borderId="85" xfId="5" applyNumberFormat="1" applyFill="1" applyBorder="1" applyAlignment="1">
      <alignment horizontal="center" vertical="center"/>
    </xf>
    <xf numFmtId="9" fontId="1" fillId="0" borderId="19" xfId="5" applyNumberFormat="1" applyBorder="1" applyAlignment="1">
      <alignment horizontal="center"/>
    </xf>
    <xf numFmtId="0" fontId="0" fillId="0" borderId="40" xfId="0" applyFill="1" applyBorder="1" applyAlignment="1"/>
    <xf numFmtId="0" fontId="0" fillId="0" borderId="5" xfId="0" applyFill="1" applyBorder="1" applyAlignment="1"/>
    <xf numFmtId="0" fontId="0" fillId="0" borderId="0" xfId="0" applyBorder="1" applyAlignment="1"/>
    <xf numFmtId="0" fontId="20" fillId="0" borderId="0" xfId="0" applyFont="1" applyBorder="1" applyAlignment="1"/>
    <xf numFmtId="167" fontId="1" fillId="0" borderId="78" xfId="5" applyNumberFormat="1" applyBorder="1" applyProtection="1"/>
    <xf numFmtId="2" fontId="26" fillId="11" borderId="29" xfId="0" applyNumberFormat="1" applyFont="1" applyFill="1" applyBorder="1" applyProtection="1">
      <protection locked="0"/>
    </xf>
    <xf numFmtId="10" fontId="0" fillId="0" borderId="28" xfId="0" applyNumberFormat="1" applyFont="1" applyFill="1" applyBorder="1" applyAlignment="1" applyProtection="1">
      <alignment vertical="center"/>
      <protection locked="0"/>
    </xf>
    <xf numFmtId="0" fontId="101" fillId="0" borderId="0" xfId="11" applyFont="1"/>
    <xf numFmtId="0" fontId="26" fillId="0" borderId="40" xfId="0" applyFont="1" applyBorder="1"/>
    <xf numFmtId="0" fontId="26" fillId="0" borderId="42" xfId="0" applyFont="1" applyBorder="1"/>
    <xf numFmtId="1" fontId="26" fillId="0" borderId="19" xfId="0" applyNumberFormat="1" applyFont="1" applyBorder="1" applyAlignment="1">
      <alignment horizontal="center"/>
    </xf>
    <xf numFmtId="4" fontId="4" fillId="0" borderId="28" xfId="0" applyNumberFormat="1" applyFont="1" applyBorder="1" applyAlignment="1" applyProtection="1">
      <alignment vertical="center"/>
    </xf>
    <xf numFmtId="4" fontId="4" fillId="0" borderId="29" xfId="0" applyNumberFormat="1" applyFont="1" applyBorder="1" applyAlignment="1" applyProtection="1">
      <alignment vertical="center"/>
    </xf>
    <xf numFmtId="175" fontId="102" fillId="0" borderId="0" xfId="9" applyNumberFormat="1" applyFont="1" applyAlignment="1">
      <alignment horizontal="right"/>
    </xf>
    <xf numFmtId="175" fontId="102" fillId="0" borderId="78" xfId="0" applyNumberFormat="1" applyFont="1" applyBorder="1" applyAlignment="1">
      <alignment horizontal="right"/>
    </xf>
    <xf numFmtId="175" fontId="102" fillId="0" borderId="29" xfId="9" applyNumberFormat="1" applyFont="1" applyBorder="1" applyAlignment="1">
      <alignment horizontal="right"/>
    </xf>
    <xf numFmtId="0" fontId="46" fillId="0" borderId="0" xfId="2" applyAlignment="1" applyProtection="1">
      <alignment horizontal="center"/>
    </xf>
    <xf numFmtId="0" fontId="11" fillId="0" borderId="40" xfId="0" applyFont="1" applyBorder="1" applyAlignment="1">
      <alignment horizontal="center" vertical="center"/>
    </xf>
    <xf numFmtId="0" fontId="11" fillId="0" borderId="41" xfId="0" applyFont="1" applyBorder="1" applyAlignment="1">
      <alignment horizontal="center" vertical="center"/>
    </xf>
    <xf numFmtId="0" fontId="11" fillId="0" borderId="42" xfId="0" applyFont="1" applyBorder="1" applyAlignment="1">
      <alignment horizontal="center" vertical="center"/>
    </xf>
    <xf numFmtId="0" fontId="13" fillId="0" borderId="30"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33" xfId="0" applyFont="1" applyBorder="1" applyAlignment="1">
      <alignment horizontal="center" vertical="center" wrapText="1"/>
    </xf>
    <xf numFmtId="0" fontId="13" fillId="0" borderId="15" xfId="0" applyFont="1" applyBorder="1" applyAlignment="1">
      <alignment horizontal="center" vertical="center" wrapText="1"/>
    </xf>
    <xf numFmtId="0" fontId="46" fillId="17" borderId="40" xfId="2" applyFill="1" applyBorder="1" applyAlignment="1" applyProtection="1">
      <alignment horizontal="center"/>
    </xf>
    <xf numFmtId="0" fontId="46" fillId="17" borderId="41" xfId="2" applyFill="1" applyBorder="1" applyAlignment="1" applyProtection="1">
      <alignment horizontal="center"/>
    </xf>
    <xf numFmtId="0" fontId="46" fillId="17" borderId="42" xfId="2" applyFill="1" applyBorder="1" applyAlignment="1" applyProtection="1">
      <alignment horizontal="center"/>
    </xf>
    <xf numFmtId="0" fontId="0" fillId="0" borderId="40" xfId="0" applyBorder="1" applyAlignment="1">
      <alignment horizontal="left" vertical="center" wrapText="1"/>
    </xf>
    <xf numFmtId="0" fontId="0" fillId="0" borderId="42" xfId="0" applyBorder="1" applyAlignment="1">
      <alignment horizontal="left" vertical="center" wrapText="1"/>
    </xf>
    <xf numFmtId="0" fontId="0" fillId="0" borderId="40" xfId="0" applyFont="1" applyBorder="1" applyAlignment="1">
      <alignment horizontal="left"/>
    </xf>
    <xf numFmtId="0" fontId="0" fillId="0" borderId="42" xfId="0" applyFont="1" applyBorder="1" applyAlignment="1">
      <alignment horizontal="left"/>
    </xf>
    <xf numFmtId="0" fontId="0" fillId="0" borderId="40" xfId="0" applyBorder="1" applyAlignment="1">
      <alignment horizontal="left"/>
    </xf>
    <xf numFmtId="0" fontId="0" fillId="0" borderId="42" xfId="0" applyBorder="1" applyAlignment="1">
      <alignment horizontal="left"/>
    </xf>
    <xf numFmtId="0" fontId="0" fillId="33" borderId="40" xfId="0" applyFill="1" applyBorder="1" applyAlignment="1">
      <alignment horizontal="center"/>
    </xf>
    <xf numFmtId="0" fontId="0" fillId="33" borderId="42" xfId="0" applyFill="1" applyBorder="1" applyAlignment="1">
      <alignment horizontal="center"/>
    </xf>
    <xf numFmtId="0" fontId="0" fillId="33" borderId="41" xfId="0" applyFill="1" applyBorder="1" applyAlignment="1">
      <alignment horizontal="center"/>
    </xf>
    <xf numFmtId="0" fontId="46" fillId="0" borderId="40" xfId="2" applyFill="1" applyBorder="1" applyAlignment="1" applyProtection="1">
      <alignment horizontal="center"/>
    </xf>
    <xf numFmtId="0" fontId="46" fillId="0" borderId="41" xfId="2" applyFill="1" applyBorder="1" applyAlignment="1" applyProtection="1">
      <alignment horizontal="center"/>
    </xf>
    <xf numFmtId="0" fontId="46" fillId="0" borderId="42" xfId="2" applyFill="1" applyBorder="1" applyAlignment="1" applyProtection="1">
      <alignment horizontal="center"/>
    </xf>
    <xf numFmtId="0" fontId="0" fillId="0" borderId="14" xfId="0" applyBorder="1" applyAlignment="1">
      <alignment horizontal="center" vertical="center"/>
    </xf>
    <xf numFmtId="0" fontId="1" fillId="0" borderId="30" xfId="11" applyBorder="1" applyAlignment="1">
      <alignment horizontal="center" vertical="center"/>
    </xf>
    <xf numFmtId="0" fontId="1" fillId="0" borderId="14" xfId="11" applyBorder="1" applyAlignment="1">
      <alignment horizontal="center" vertical="center"/>
    </xf>
    <xf numFmtId="0" fontId="17" fillId="0" borderId="17" xfId="11" applyFont="1" applyBorder="1" applyAlignment="1">
      <alignment horizontal="left" vertical="center"/>
    </xf>
    <xf numFmtId="0" fontId="17" fillId="0" borderId="13" xfId="11" applyFont="1" applyBorder="1" applyAlignment="1">
      <alignment horizontal="left" vertical="center"/>
    </xf>
    <xf numFmtId="0" fontId="17" fillId="0" borderId="18" xfId="11" applyFont="1" applyBorder="1" applyAlignment="1">
      <alignment horizontal="left" vertical="center"/>
    </xf>
    <xf numFmtId="49" fontId="2" fillId="0" borderId="17" xfId="11" quotePrefix="1" applyNumberFormat="1" applyFont="1" applyBorder="1" applyAlignment="1">
      <alignment horizontal="center" vertical="center"/>
    </xf>
    <xf numFmtId="49" fontId="2" fillId="0" borderId="18" xfId="11" applyNumberFormat="1" applyFont="1" applyBorder="1" applyAlignment="1">
      <alignment horizontal="center" vertical="center"/>
    </xf>
    <xf numFmtId="0" fontId="1" fillId="0" borderId="17" xfId="11" quotePrefix="1" applyBorder="1" applyAlignment="1">
      <alignment horizontal="center" vertical="center"/>
    </xf>
    <xf numFmtId="0" fontId="1" fillId="0" borderId="18" xfId="11" quotePrefix="1" applyBorder="1" applyAlignment="1">
      <alignment horizontal="center" vertical="center"/>
    </xf>
    <xf numFmtId="0" fontId="1" fillId="0" borderId="40" xfId="11" applyFont="1" applyFill="1" applyBorder="1" applyAlignment="1">
      <alignment horizontal="left" vertical="center" wrapText="1"/>
    </xf>
    <xf numFmtId="0" fontId="1" fillId="0" borderId="41" xfId="11" applyFont="1" applyFill="1" applyBorder="1" applyAlignment="1">
      <alignment horizontal="left" vertical="center" wrapText="1"/>
    </xf>
    <xf numFmtId="0" fontId="1" fillId="0" borderId="41" xfId="11" applyFont="1" applyFill="1" applyBorder="1" applyAlignment="1">
      <alignment horizontal="center" vertical="center"/>
    </xf>
    <xf numFmtId="0" fontId="46" fillId="27" borderId="40" xfId="2" applyFill="1" applyBorder="1" applyAlignment="1" applyProtection="1">
      <alignment horizontal="center" vertical="center"/>
    </xf>
    <xf numFmtId="0" fontId="46" fillId="27" borderId="41" xfId="2" applyFill="1" applyBorder="1" applyAlignment="1" applyProtection="1">
      <alignment horizontal="center" vertical="center"/>
    </xf>
    <xf numFmtId="0" fontId="46" fillId="27" borderId="42" xfId="2" applyFill="1" applyBorder="1" applyAlignment="1" applyProtection="1">
      <alignment horizontal="center" vertical="center"/>
    </xf>
    <xf numFmtId="165" fontId="1" fillId="0" borderId="86" xfId="11" applyNumberFormat="1" applyFill="1" applyBorder="1" applyAlignment="1">
      <alignment horizontal="center" vertical="center"/>
    </xf>
    <xf numFmtId="165" fontId="1" fillId="0" borderId="87" xfId="11" applyNumberFormat="1" applyFill="1" applyBorder="1" applyAlignment="1">
      <alignment horizontal="center" vertical="center"/>
    </xf>
    <xf numFmtId="3" fontId="87" fillId="6" borderId="40" xfId="11" applyNumberFormat="1" applyFont="1" applyFill="1" applyBorder="1" applyAlignment="1">
      <alignment horizontal="center" vertical="center"/>
    </xf>
    <xf numFmtId="3" fontId="87" fillId="6" borderId="41" xfId="11" applyNumberFormat="1" applyFont="1" applyFill="1" applyBorder="1" applyAlignment="1">
      <alignment horizontal="center" vertical="center"/>
    </xf>
    <xf numFmtId="3" fontId="17" fillId="0" borderId="40" xfId="11" applyNumberFormat="1" applyFont="1" applyFill="1" applyBorder="1" applyAlignment="1">
      <alignment horizontal="center" vertical="center"/>
    </xf>
    <xf numFmtId="3" fontId="17" fillId="0" borderId="42" xfId="11" applyNumberFormat="1" applyFont="1" applyFill="1" applyBorder="1" applyAlignment="1">
      <alignment horizontal="center" vertical="center"/>
    </xf>
    <xf numFmtId="0" fontId="2" fillId="4" borderId="17" xfId="11" applyFont="1" applyFill="1" applyBorder="1" applyAlignment="1">
      <alignment horizontal="center" vertical="center" wrapText="1"/>
    </xf>
    <xf numFmtId="0" fontId="2" fillId="4" borderId="18" xfId="11" applyFont="1" applyFill="1" applyBorder="1" applyAlignment="1">
      <alignment horizontal="center" vertical="center" wrapText="1"/>
    </xf>
    <xf numFmtId="0" fontId="1" fillId="14" borderId="17" xfId="11" applyFont="1" applyFill="1" applyBorder="1" applyAlignment="1">
      <alignment horizontal="center" vertical="center"/>
    </xf>
    <xf numFmtId="0" fontId="1" fillId="14" borderId="13" xfId="11" applyFont="1" applyFill="1" applyBorder="1" applyAlignment="1">
      <alignment horizontal="center" vertical="center"/>
    </xf>
    <xf numFmtId="0" fontId="1" fillId="14" borderId="18" xfId="11" applyFont="1" applyFill="1" applyBorder="1" applyAlignment="1">
      <alignment horizontal="center" vertical="center"/>
    </xf>
    <xf numFmtId="0" fontId="1" fillId="0" borderId="40" xfId="11" applyBorder="1" applyAlignment="1">
      <alignment horizontal="center"/>
    </xf>
    <xf numFmtId="0" fontId="1" fillId="0" borderId="41" xfId="11" applyBorder="1" applyAlignment="1">
      <alignment horizontal="center"/>
    </xf>
    <xf numFmtId="0" fontId="1" fillId="0" borderId="42" xfId="11" applyBorder="1" applyAlignment="1">
      <alignment horizontal="center"/>
    </xf>
    <xf numFmtId="0" fontId="1" fillId="0" borderId="30" xfId="11" applyBorder="1" applyAlignment="1">
      <alignment horizontal="center" vertical="center" wrapText="1"/>
    </xf>
    <xf numFmtId="0" fontId="1" fillId="0" borderId="14" xfId="11" applyBorder="1" applyAlignment="1">
      <alignment horizontal="center" vertical="center" wrapText="1"/>
    </xf>
    <xf numFmtId="0" fontId="1" fillId="0" borderId="38" xfId="11" applyBorder="1" applyAlignment="1">
      <alignment horizontal="center" vertical="center" wrapText="1"/>
    </xf>
    <xf numFmtId="0" fontId="0" fillId="0" borderId="40" xfId="0" applyFill="1" applyBorder="1" applyAlignment="1" applyProtection="1">
      <alignment horizontal="left" vertical="center"/>
    </xf>
    <xf numFmtId="0" fontId="0" fillId="0" borderId="41" xfId="0" applyFill="1" applyBorder="1" applyAlignment="1" applyProtection="1">
      <alignment horizontal="left" vertical="center"/>
    </xf>
    <xf numFmtId="0" fontId="0" fillId="0" borderId="42" xfId="0" applyFill="1" applyBorder="1" applyAlignment="1" applyProtection="1">
      <alignment horizontal="left" vertical="center"/>
    </xf>
    <xf numFmtId="0" fontId="0" fillId="0" borderId="41" xfId="0" applyBorder="1" applyAlignment="1">
      <alignment horizontal="left"/>
    </xf>
    <xf numFmtId="0" fontId="0" fillId="0" borderId="45" xfId="0" applyBorder="1" applyAlignment="1">
      <alignment horizontal="center"/>
    </xf>
    <xf numFmtId="0" fontId="0" fillId="0" borderId="47" xfId="0" applyBorder="1" applyAlignment="1">
      <alignment horizontal="center"/>
    </xf>
    <xf numFmtId="0" fontId="0" fillId="0" borderId="46" xfId="0" applyBorder="1" applyAlignment="1">
      <alignment horizontal="center"/>
    </xf>
    <xf numFmtId="0" fontId="0" fillId="0" borderId="59" xfId="0" applyBorder="1" applyAlignment="1">
      <alignment horizontal="center"/>
    </xf>
    <xf numFmtId="0" fontId="0" fillId="0" borderId="67" xfId="0" applyBorder="1" applyAlignment="1">
      <alignment horizontal="center"/>
    </xf>
    <xf numFmtId="0" fontId="4" fillId="0" borderId="0" xfId="0" applyFont="1" applyBorder="1" applyAlignment="1">
      <alignment horizontal="left"/>
    </xf>
    <xf numFmtId="0" fontId="4" fillId="11" borderId="45" xfId="0" applyFont="1" applyFill="1" applyBorder="1" applyAlignment="1" applyProtection="1">
      <alignment horizontal="center" vertical="center"/>
    </xf>
    <xf numFmtId="0" fontId="4" fillId="11" borderId="47" xfId="0" applyFont="1" applyFill="1" applyBorder="1" applyAlignment="1" applyProtection="1">
      <alignment horizontal="center" vertical="center"/>
    </xf>
    <xf numFmtId="0" fontId="4" fillId="11" borderId="46" xfId="0" applyFont="1" applyFill="1" applyBorder="1" applyAlignment="1" applyProtection="1">
      <alignment horizontal="center" vertical="center"/>
    </xf>
    <xf numFmtId="0" fontId="4" fillId="0" borderId="22" xfId="0" applyFont="1" applyBorder="1" applyAlignment="1">
      <alignment horizontal="center"/>
    </xf>
    <xf numFmtId="0" fontId="4" fillId="0" borderId="16" xfId="0" applyFont="1" applyBorder="1" applyAlignment="1">
      <alignment horizontal="center"/>
    </xf>
    <xf numFmtId="0" fontId="4" fillId="0" borderId="24" xfId="0" applyFont="1" applyBorder="1" applyAlignment="1">
      <alignment horizontal="center"/>
    </xf>
    <xf numFmtId="165" fontId="0" fillId="6" borderId="27" xfId="0" applyNumberFormat="1" applyFill="1" applyBorder="1" applyAlignment="1" applyProtection="1">
      <alignment horizontal="center" vertical="center"/>
      <protection locked="0"/>
    </xf>
    <xf numFmtId="165" fontId="0" fillId="6" borderId="29" xfId="0" applyNumberFormat="1" applyFill="1" applyBorder="1" applyAlignment="1" applyProtection="1">
      <alignment horizontal="center" vertical="center"/>
      <protection locked="0"/>
    </xf>
    <xf numFmtId="0" fontId="53" fillId="0" borderId="0" xfId="2" applyFont="1" applyBorder="1" applyAlignment="1" applyProtection="1">
      <alignment horizontal="center"/>
    </xf>
    <xf numFmtId="0" fontId="4" fillId="9" borderId="22" xfId="0" applyFont="1" applyFill="1" applyBorder="1" applyAlignment="1" applyProtection="1">
      <alignment horizontal="center" vertical="center"/>
    </xf>
    <xf numFmtId="0" fontId="4" fillId="9" borderId="24" xfId="0" applyFont="1" applyFill="1" applyBorder="1" applyAlignment="1" applyProtection="1">
      <alignment horizontal="center" vertical="center"/>
    </xf>
    <xf numFmtId="0" fontId="0" fillId="0" borderId="6" xfId="0" applyFill="1" applyBorder="1" applyAlignment="1" applyProtection="1">
      <alignment horizontal="center" vertical="center" wrapText="1"/>
    </xf>
    <xf numFmtId="0" fontId="0" fillId="0" borderId="8" xfId="0" applyFill="1" applyBorder="1" applyAlignment="1" applyProtection="1">
      <alignment horizontal="center" vertical="center" wrapText="1"/>
    </xf>
    <xf numFmtId="0" fontId="0" fillId="0" borderId="9" xfId="0" applyFill="1" applyBorder="1" applyAlignment="1" applyProtection="1">
      <alignment horizontal="center" vertical="center" wrapText="1"/>
    </xf>
    <xf numFmtId="0" fontId="0" fillId="0" borderId="10" xfId="0" applyFill="1" applyBorder="1" applyAlignment="1" applyProtection="1">
      <alignment horizontal="center" vertical="center" wrapText="1"/>
    </xf>
    <xf numFmtId="0" fontId="0" fillId="0" borderId="12" xfId="0" applyFill="1" applyBorder="1" applyAlignment="1" applyProtection="1">
      <alignment horizontal="center" vertical="center" wrapText="1"/>
    </xf>
    <xf numFmtId="0" fontId="0" fillId="0" borderId="23" xfId="0" applyFill="1" applyBorder="1" applyAlignment="1" applyProtection="1">
      <alignment horizontal="center" vertical="center" wrapText="1"/>
    </xf>
    <xf numFmtId="0" fontId="4" fillId="0" borderId="6" xfId="0" applyFont="1" applyBorder="1" applyAlignment="1" applyProtection="1">
      <alignment horizontal="left" vertical="center" wrapText="1"/>
    </xf>
    <xf numFmtId="0" fontId="4" fillId="0" borderId="9" xfId="0" applyFont="1" applyBorder="1" applyAlignment="1" applyProtection="1">
      <alignment horizontal="left" vertical="center" wrapText="1"/>
    </xf>
    <xf numFmtId="0" fontId="4" fillId="0" borderId="10" xfId="0" applyFont="1" applyBorder="1" applyAlignment="1" applyProtection="1">
      <alignment horizontal="left" vertical="center" wrapText="1"/>
    </xf>
    <xf numFmtId="0" fontId="4" fillId="0" borderId="23" xfId="0" applyFont="1" applyBorder="1" applyAlignment="1" applyProtection="1">
      <alignment horizontal="left" vertical="center" wrapText="1"/>
    </xf>
    <xf numFmtId="0" fontId="9" fillId="0" borderId="49" xfId="0" applyFont="1" applyFill="1" applyBorder="1" applyAlignment="1" applyProtection="1">
      <alignment horizontal="center" vertical="center"/>
    </xf>
    <xf numFmtId="0" fontId="4" fillId="0" borderId="27" xfId="0" applyFont="1" applyBorder="1" applyAlignment="1" applyProtection="1">
      <alignment horizontal="center" vertical="center" wrapText="1"/>
    </xf>
    <xf numFmtId="0" fontId="4" fillId="0" borderId="29" xfId="0" applyFont="1" applyBorder="1" applyAlignment="1" applyProtection="1">
      <alignment horizontal="center" vertical="center" wrapText="1"/>
    </xf>
    <xf numFmtId="0" fontId="9" fillId="0" borderId="8" xfId="0" applyFont="1" applyFill="1" applyBorder="1" applyAlignment="1" applyProtection="1">
      <alignment horizontal="left" vertical="center" wrapText="1"/>
    </xf>
    <xf numFmtId="0" fontId="9" fillId="0" borderId="9" xfId="0" applyFont="1" applyFill="1" applyBorder="1" applyAlignment="1" applyProtection="1">
      <alignment horizontal="left" vertical="center" wrapText="1"/>
    </xf>
    <xf numFmtId="0" fontId="9" fillId="0" borderId="12" xfId="0" applyFont="1" applyFill="1" applyBorder="1" applyAlignment="1" applyProtection="1">
      <alignment horizontal="left" vertical="center" wrapText="1"/>
    </xf>
    <xf numFmtId="0" fontId="9" fillId="0" borderId="23" xfId="0" applyFont="1" applyFill="1" applyBorder="1" applyAlignment="1" applyProtection="1">
      <alignment horizontal="left" vertical="center" wrapText="1"/>
    </xf>
    <xf numFmtId="0" fontId="0" fillId="0" borderId="63" xfId="0" applyBorder="1" applyAlignment="1" applyProtection="1">
      <alignment horizontal="right"/>
    </xf>
    <xf numFmtId="0" fontId="0" fillId="0" borderId="67" xfId="0" applyBorder="1" applyAlignment="1" applyProtection="1">
      <alignment horizontal="right"/>
    </xf>
    <xf numFmtId="0" fontId="0" fillId="0" borderId="64" xfId="0" applyBorder="1" applyAlignment="1" applyProtection="1">
      <alignment horizontal="right"/>
    </xf>
    <xf numFmtId="0" fontId="4" fillId="0" borderId="75" xfId="0" applyFont="1" applyBorder="1" applyAlignment="1" applyProtection="1">
      <alignment horizontal="center" vertical="center" wrapText="1"/>
    </xf>
    <xf numFmtId="0" fontId="4" fillId="0" borderId="76" xfId="0" applyFont="1" applyBorder="1" applyAlignment="1" applyProtection="1">
      <alignment horizontal="center" vertical="center" wrapText="1"/>
    </xf>
    <xf numFmtId="0" fontId="4" fillId="0" borderId="77"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12" xfId="0" applyFont="1" applyBorder="1" applyAlignment="1" applyProtection="1">
      <alignment horizontal="center" vertical="center" wrapText="1"/>
    </xf>
    <xf numFmtId="0" fontId="4" fillId="0" borderId="23" xfId="0" applyFont="1" applyBorder="1" applyAlignment="1" applyProtection="1">
      <alignment horizontal="center" vertical="center" wrapText="1"/>
    </xf>
    <xf numFmtId="9" fontId="1" fillId="0" borderId="79" xfId="5" applyNumberFormat="1" applyFill="1" applyBorder="1" applyAlignment="1" applyProtection="1">
      <alignment horizontal="center" vertical="center"/>
      <protection locked="0"/>
    </xf>
    <xf numFmtId="9" fontId="1" fillId="0" borderId="29" xfId="5" applyNumberFormat="1" applyFill="1" applyBorder="1" applyAlignment="1" applyProtection="1">
      <alignment horizontal="center" vertical="center"/>
      <protection locked="0"/>
    </xf>
    <xf numFmtId="0" fontId="4" fillId="0" borderId="79" xfId="0" applyFont="1" applyBorder="1" applyAlignment="1" applyProtection="1">
      <alignment horizontal="center" vertical="center" wrapText="1"/>
    </xf>
    <xf numFmtId="0" fontId="4" fillId="0" borderId="28" xfId="0" applyFont="1" applyBorder="1" applyAlignment="1" applyProtection="1">
      <alignment horizontal="center" vertical="center" wrapText="1"/>
    </xf>
    <xf numFmtId="0" fontId="4" fillId="0" borderId="27" xfId="0" applyFont="1" applyBorder="1" applyAlignment="1">
      <alignment horizontal="center" vertical="center" wrapText="1"/>
    </xf>
    <xf numFmtId="0" fontId="4" fillId="0" borderId="29" xfId="0" applyFont="1" applyBorder="1" applyAlignment="1">
      <alignment horizontal="center" vertical="center" wrapText="1"/>
    </xf>
    <xf numFmtId="0" fontId="11" fillId="0" borderId="17" xfId="0" applyFont="1" applyBorder="1" applyAlignment="1">
      <alignment horizontal="center" vertical="top"/>
    </xf>
    <xf numFmtId="0" fontId="11" fillId="0" borderId="13" xfId="0" applyFont="1" applyBorder="1" applyAlignment="1">
      <alignment horizontal="center" vertical="top"/>
    </xf>
    <xf numFmtId="0" fontId="11" fillId="0" borderId="18" xfId="0" applyFont="1" applyBorder="1" applyAlignment="1">
      <alignment horizontal="center" vertical="top"/>
    </xf>
    <xf numFmtId="0" fontId="0" fillId="0" borderId="0" xfId="0" applyFont="1" applyBorder="1" applyAlignment="1">
      <alignment horizontal="center" vertical="center" wrapText="1"/>
    </xf>
    <xf numFmtId="0" fontId="11" fillId="0" borderId="17" xfId="0" applyFont="1" applyBorder="1" applyAlignment="1">
      <alignment horizontal="center"/>
    </xf>
    <xf numFmtId="0" fontId="11" fillId="0" borderId="13" xfId="0" applyFont="1" applyBorder="1" applyAlignment="1">
      <alignment horizontal="center"/>
    </xf>
    <xf numFmtId="0" fontId="11" fillId="0" borderId="18" xfId="0" applyFont="1" applyBorder="1" applyAlignment="1">
      <alignment horizontal="center"/>
    </xf>
    <xf numFmtId="0" fontId="4" fillId="0" borderId="14" xfId="0" applyFont="1" applyFill="1" applyBorder="1" applyAlignment="1">
      <alignment horizontal="center" vertical="center" wrapText="1"/>
    </xf>
    <xf numFmtId="0" fontId="13" fillId="0" borderId="16" xfId="0" applyFont="1" applyBorder="1" applyAlignment="1">
      <alignment horizontal="center" wrapText="1"/>
    </xf>
    <xf numFmtId="0" fontId="88" fillId="0" borderId="40" xfId="0" applyFont="1" applyFill="1" applyBorder="1" applyAlignment="1">
      <alignment horizontal="center" vertical="center"/>
    </xf>
    <xf numFmtId="0" fontId="88" fillId="0" borderId="41" xfId="0" applyFont="1" applyFill="1" applyBorder="1" applyAlignment="1">
      <alignment horizontal="center" vertical="center"/>
    </xf>
    <xf numFmtId="0" fontId="88" fillId="0" borderId="42" xfId="0" applyFont="1" applyFill="1" applyBorder="1" applyAlignment="1">
      <alignment horizontal="center" vertical="center"/>
    </xf>
    <xf numFmtId="0" fontId="4" fillId="0" borderId="69" xfId="0" applyFont="1" applyBorder="1" applyAlignment="1">
      <alignment horizontal="center" vertical="top" wrapText="1"/>
    </xf>
    <xf numFmtId="0" fontId="4" fillId="0" borderId="70" xfId="0" applyFont="1" applyBorder="1" applyAlignment="1">
      <alignment horizontal="center" vertical="top" wrapText="1"/>
    </xf>
    <xf numFmtId="0" fontId="4" fillId="0" borderId="71" xfId="0" applyFont="1" applyBorder="1" applyAlignment="1">
      <alignment horizontal="center" vertical="top" wrapText="1"/>
    </xf>
    <xf numFmtId="0" fontId="10" fillId="0" borderId="40" xfId="0" applyFont="1" applyFill="1" applyBorder="1" applyAlignment="1">
      <alignment horizontal="center" vertical="center"/>
    </xf>
    <xf numFmtId="0" fontId="10" fillId="0" borderId="41" xfId="0" applyFont="1" applyFill="1" applyBorder="1" applyAlignment="1">
      <alignment horizontal="center" vertical="center"/>
    </xf>
    <xf numFmtId="0" fontId="10" fillId="0" borderId="42" xfId="0" applyFont="1" applyFill="1" applyBorder="1" applyAlignment="1">
      <alignment horizontal="center" vertical="center"/>
    </xf>
    <xf numFmtId="3" fontId="11" fillId="0" borderId="33" xfId="0" applyNumberFormat="1" applyFont="1" applyBorder="1" applyAlignment="1">
      <alignment horizontal="center" vertical="center"/>
    </xf>
    <xf numFmtId="3" fontId="11" fillId="0" borderId="0" xfId="0" applyNumberFormat="1" applyFont="1" applyBorder="1" applyAlignment="1">
      <alignment horizontal="center" vertical="center"/>
    </xf>
    <xf numFmtId="0" fontId="0" fillId="0" borderId="33" xfId="0" applyFont="1" applyBorder="1" applyAlignment="1">
      <alignment horizontal="center" vertical="center"/>
    </xf>
    <xf numFmtId="0" fontId="0" fillId="0" borderId="0" xfId="0" applyFont="1" applyBorder="1" applyAlignment="1">
      <alignment horizontal="center" vertical="center"/>
    </xf>
    <xf numFmtId="0" fontId="4" fillId="0" borderId="34" xfId="0" applyFont="1" applyBorder="1" applyAlignment="1">
      <alignment horizontal="center" vertical="top" wrapText="1"/>
    </xf>
    <xf numFmtId="0" fontId="4" fillId="0" borderId="37" xfId="0" applyFont="1" applyBorder="1" applyAlignment="1">
      <alignment horizontal="center" vertical="top" wrapText="1"/>
    </xf>
    <xf numFmtId="0" fontId="0" fillId="0" borderId="40" xfId="0" applyFont="1" applyBorder="1" applyAlignment="1">
      <alignment horizontal="center" vertical="center"/>
    </xf>
    <xf numFmtId="0" fontId="0" fillId="0" borderId="41" xfId="0" applyFont="1" applyBorder="1" applyAlignment="1">
      <alignment horizontal="center" vertical="center"/>
    </xf>
    <xf numFmtId="0" fontId="0" fillId="0" borderId="42" xfId="0" applyFont="1" applyBorder="1" applyAlignment="1">
      <alignment horizontal="center" vertical="center"/>
    </xf>
    <xf numFmtId="3" fontId="11" fillId="0" borderId="40" xfId="0" applyNumberFormat="1" applyFont="1" applyBorder="1" applyAlignment="1">
      <alignment horizontal="center" vertical="center"/>
    </xf>
    <xf numFmtId="3" fontId="11" fillId="0" borderId="41" xfId="0" applyNumberFormat="1" applyFont="1" applyBorder="1" applyAlignment="1">
      <alignment horizontal="center" vertical="center"/>
    </xf>
    <xf numFmtId="3" fontId="11" fillId="0" borderId="42" xfId="0" applyNumberFormat="1" applyFont="1" applyBorder="1" applyAlignment="1">
      <alignment horizontal="center" vertical="center"/>
    </xf>
    <xf numFmtId="3" fontId="4" fillId="0" borderId="40" xfId="0" applyNumberFormat="1" applyFont="1" applyBorder="1" applyAlignment="1">
      <alignment horizontal="center" vertical="center" wrapText="1"/>
    </xf>
    <xf numFmtId="3" fontId="4" fillId="0" borderId="41" xfId="0" applyNumberFormat="1" applyFont="1" applyBorder="1" applyAlignment="1">
      <alignment horizontal="center" vertical="center" wrapText="1"/>
    </xf>
    <xf numFmtId="3" fontId="4" fillId="0" borderId="42" xfId="0" applyNumberFormat="1" applyFont="1" applyBorder="1" applyAlignment="1">
      <alignment horizontal="center" vertical="center" wrapText="1"/>
    </xf>
    <xf numFmtId="0" fontId="4" fillId="0" borderId="14" xfId="0" applyFont="1" applyBorder="1" applyAlignment="1">
      <alignment horizontal="center" vertical="center" wrapText="1"/>
    </xf>
    <xf numFmtId="0" fontId="4" fillId="0" borderId="28" xfId="0" applyFont="1" applyBorder="1" applyAlignment="1">
      <alignment horizontal="center" vertical="center" wrapText="1"/>
    </xf>
    <xf numFmtId="4" fontId="10" fillId="0" borderId="40" xfId="0" applyNumberFormat="1" applyFont="1" applyBorder="1" applyAlignment="1">
      <alignment horizontal="center"/>
    </xf>
    <xf numFmtId="4" fontId="10" fillId="0" borderId="41" xfId="0" applyNumberFormat="1" applyFont="1" applyBorder="1" applyAlignment="1">
      <alignment horizontal="center"/>
    </xf>
    <xf numFmtId="4" fontId="10" fillId="0" borderId="42" xfId="0" applyNumberFormat="1" applyFont="1" applyBorder="1" applyAlignment="1">
      <alignment horizontal="center"/>
    </xf>
    <xf numFmtId="0" fontId="4" fillId="0" borderId="22" xfId="0" applyFont="1" applyBorder="1" applyAlignment="1">
      <alignment horizontal="left" vertical="top" wrapText="1"/>
    </xf>
    <xf numFmtId="0" fontId="4" fillId="0" borderId="16" xfId="0" applyFont="1" applyBorder="1" applyAlignment="1">
      <alignment horizontal="left" vertical="top" wrapText="1"/>
    </xf>
    <xf numFmtId="0" fontId="4" fillId="0" borderId="22" xfId="0" applyFont="1" applyFill="1" applyBorder="1" applyAlignment="1">
      <alignment horizontal="left" vertical="top" wrapText="1"/>
    </xf>
    <xf numFmtId="0" fontId="4" fillId="0" borderId="16" xfId="0" applyFont="1" applyFill="1" applyBorder="1" applyAlignment="1">
      <alignment horizontal="left" vertical="top" wrapText="1"/>
    </xf>
    <xf numFmtId="0" fontId="14" fillId="0" borderId="55" xfId="0" applyFont="1" applyFill="1" applyBorder="1" applyAlignment="1">
      <alignment horizontal="center"/>
    </xf>
    <xf numFmtId="0" fontId="14" fillId="0" borderId="59" xfId="0" applyFont="1" applyFill="1" applyBorder="1" applyAlignment="1">
      <alignment horizontal="center"/>
    </xf>
    <xf numFmtId="0" fontId="14" fillId="0" borderId="56" xfId="0" applyFont="1" applyFill="1" applyBorder="1" applyAlignment="1">
      <alignment horizontal="center"/>
    </xf>
    <xf numFmtId="0" fontId="0" fillId="0" borderId="55" xfId="0" applyFill="1" applyBorder="1" applyAlignment="1">
      <alignment horizontal="center"/>
    </xf>
    <xf numFmtId="0" fontId="0" fillId="0" borderId="59" xfId="0" applyFill="1" applyBorder="1" applyAlignment="1">
      <alignment horizontal="center"/>
    </xf>
    <xf numFmtId="0" fontId="0" fillId="0" borderId="56" xfId="0"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20" fillId="0" borderId="40" xfId="0" applyFont="1" applyBorder="1" applyAlignment="1">
      <alignment horizontal="center"/>
    </xf>
    <xf numFmtId="0" fontId="20" fillId="0" borderId="41" xfId="0" applyFont="1" applyBorder="1" applyAlignment="1">
      <alignment horizontal="center"/>
    </xf>
    <xf numFmtId="0" fontId="20" fillId="0" borderId="42" xfId="0" applyFont="1" applyBorder="1" applyAlignment="1">
      <alignment horizontal="center"/>
    </xf>
    <xf numFmtId="0" fontId="78" fillId="30" borderId="0" xfId="12" applyNumberFormat="1" applyFill="1" applyAlignment="1">
      <alignment horizontal="center"/>
    </xf>
    <xf numFmtId="2" fontId="91" fillId="0" borderId="0" xfId="12" applyNumberFormat="1" applyFont="1" applyFill="1" applyAlignment="1">
      <alignment horizontal="center"/>
    </xf>
  </cellXfs>
  <cellStyles count="15">
    <cellStyle name="Hyperlink 2" xfId="1"/>
    <cellStyle name="Komma" xfId="14" builtinId="3"/>
    <cellStyle name="Link" xfId="2" builtinId="8"/>
    <cellStyle name="Normal 2" xfId="13"/>
    <cellStyle name="Normal 9" xfId="3"/>
    <cellStyle name="Normal_Sheet1" xfId="4"/>
    <cellStyle name="Prozent" xfId="5" builtinId="5"/>
    <cellStyle name="Prozent 2" xfId="6"/>
    <cellStyle name="Standard" xfId="0" builtinId="0"/>
    <cellStyle name="Standard 2" xfId="7"/>
    <cellStyle name="Standard 2 2" xfId="8"/>
    <cellStyle name="Standard 2 3" xfId="9"/>
    <cellStyle name="Standard 3" xfId="10"/>
    <cellStyle name="Standard 4" xfId="12"/>
    <cellStyle name="Standard_Emissionshandel Post Kyoto" xfId="11"/>
  </cellStyles>
  <dxfs count="52">
    <dxf>
      <font>
        <color rgb="FF9C0006"/>
      </font>
      <fill>
        <patternFill>
          <bgColor rgb="FFFFC7CE"/>
        </patternFill>
      </fill>
    </dxf>
    <dxf>
      <font>
        <color theme="0"/>
      </font>
    </dxf>
    <dxf>
      <fill>
        <patternFill>
          <bgColor rgb="FF92D050"/>
        </patternFill>
      </fill>
    </dxf>
    <dxf>
      <fill>
        <patternFill>
          <bgColor rgb="FFFF5050"/>
        </patternFill>
      </fill>
    </dxf>
    <dxf>
      <font>
        <color theme="0"/>
      </font>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theme="9"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5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FF0000"/>
      </font>
    </dxf>
    <dxf>
      <fill>
        <patternFill>
          <bgColor rgb="FFFF5050"/>
        </patternFill>
      </fill>
    </dxf>
    <dxf>
      <fill>
        <patternFill>
          <bgColor rgb="FF92D050"/>
        </patternFill>
      </fill>
    </dxf>
    <dxf>
      <font>
        <color rgb="FFFF0000"/>
      </font>
    </dxf>
    <dxf>
      <fill>
        <patternFill>
          <bgColor theme="6" tint="0.39994506668294322"/>
        </patternFill>
      </fill>
    </dxf>
    <dxf>
      <fill>
        <patternFill>
          <bgColor theme="9" tint="0.39994506668294322"/>
        </patternFill>
      </fill>
    </dxf>
    <dxf>
      <font>
        <color rgb="FFFF0000"/>
      </font>
    </dxf>
    <dxf>
      <font>
        <color rgb="FFFF0000"/>
      </font>
    </dxf>
    <dxf>
      <fill>
        <patternFill>
          <bgColor rgb="FFFF0000"/>
        </patternFill>
      </fill>
    </dxf>
    <dxf>
      <fill>
        <patternFill>
          <bgColor rgb="FF92D050"/>
        </patternFill>
      </fill>
    </dxf>
    <dxf>
      <font>
        <color theme="0"/>
      </font>
    </dxf>
    <dxf>
      <fill>
        <patternFill>
          <bgColor rgb="FF92D050"/>
        </patternFill>
      </fill>
    </dxf>
    <dxf>
      <fill>
        <patternFill>
          <bgColor rgb="FFFF5050"/>
        </patternFill>
      </fill>
    </dxf>
    <dxf>
      <font>
        <color theme="0"/>
      </font>
    </dxf>
    <dxf>
      <fill>
        <patternFill>
          <bgColor rgb="FF92D050"/>
        </patternFill>
      </fill>
    </dxf>
    <dxf>
      <fill>
        <patternFill>
          <bgColor rgb="FFFF0000"/>
        </patternFill>
      </fill>
    </dxf>
  </dxfs>
  <tableStyles count="0" defaultTableStyle="TableStyleMedium9" defaultPivotStyle="PivotStyleLight16"/>
  <colors>
    <mruColors>
      <color rgb="FFFF6600"/>
      <color rgb="FFFFFF99"/>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2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global emission paths</a:t>
            </a:r>
          </a:p>
        </c:rich>
      </c:tx>
      <c:layout/>
      <c:overlay val="0"/>
      <c:spPr>
        <a:noFill/>
        <a:ln>
          <a:noFill/>
        </a:ln>
        <a:effectLst/>
      </c:spPr>
    </c:title>
    <c:autoTitleDeleted val="0"/>
    <c:plotArea>
      <c:layout/>
      <c:lineChart>
        <c:grouping val="standard"/>
        <c:varyColors val="0"/>
        <c:ser>
          <c:idx val="0"/>
          <c:order val="0"/>
          <c:tx>
            <c:strRef>
              <c:f>graphs!$BU$8</c:f>
              <c:strCache>
                <c:ptCount val="1"/>
                <c:pt idx="0">
                  <c:v>RM-1 const</c:v>
                </c:pt>
              </c:strCache>
            </c:strRef>
          </c:tx>
          <c:spPr>
            <a:ln w="38100" cap="rnd">
              <a:solidFill>
                <a:schemeClr val="accent1"/>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graphs!$BU$9:$BU$90</c:f>
              <c:numCache>
                <c:formatCode>#,##0.00</c:formatCode>
                <c:ptCount val="82"/>
                <c:pt idx="0">
                  <c:v>42.311683327829648</c:v>
                </c:pt>
                <c:pt idx="1">
                  <c:v>39.02505693376456</c:v>
                </c:pt>
                <c:pt idx="2">
                  <c:v>35.993724401928318</c:v>
                </c:pt>
                <c:pt idx="3">
                  <c:v>33.197855380988798</c:v>
                </c:pt>
                <c:pt idx="4">
                  <c:v>30.61915987326956</c:v>
                </c:pt>
                <c:pt idx="5">
                  <c:v>28.240768585362645</c:v>
                </c:pt>
                <c:pt idx="6">
                  <c:v>26.047122572695297</c:v>
                </c:pt>
                <c:pt idx="7">
                  <c:v>24.023871456128106</c:v>
                </c:pt>
                <c:pt idx="8">
                  <c:v>22.157779544738592</c:v>
                </c:pt>
                <c:pt idx="9">
                  <c:v>20.436639250664907</c:v>
                </c:pt>
                <c:pt idx="10">
                  <c:v>18.84919122958739</c:v>
                </c:pt>
                <c:pt idx="11">
                  <c:v>17.385050724423525</c:v>
                </c:pt>
                <c:pt idx="12">
                  <c:v>16.034639630391982</c:v>
                </c:pt>
                <c:pt idx="13">
                  <c:v>14.789123837029395</c:v>
                </c:pt>
                <c:pt idx="14">
                  <c:v>13.64035543726431</c:v>
                </c:pt>
                <c:pt idx="15">
                  <c:v>12.580819425491988</c:v>
                </c:pt>
                <c:pt idx="16">
                  <c:v>11.603584535959891</c:v>
                </c:pt>
                <c:pt idx="17">
                  <c:v>10.702257899858708</c:v>
                </c:pt>
                <c:pt idx="18">
                  <c:v>9.8709432244949884</c:v>
                </c:pt>
                <c:pt idx="19">
                  <c:v>9.1042022209621649</c:v>
                </c:pt>
                <c:pt idx="20">
                  <c:v>8.3970190279777448</c:v>
                </c:pt>
                <c:pt idx="21">
                  <c:v>7.744767399154779</c:v>
                </c:pt>
                <c:pt idx="22">
                  <c:v>7.143180439053503</c:v>
                </c:pt>
                <c:pt idx="23">
                  <c:v>6.5883226900326513</c:v>
                </c:pt>
                <c:pt idx="24">
                  <c:v>6.0765643872984008</c:v>
                </c:pt>
                <c:pt idx="25">
                  <c:v>5.6045577137327793</c:v>
                </c:pt>
                <c:pt idx="26">
                  <c:v>5.1692148991655369</c:v>
                </c:pt>
                <c:pt idx="27">
                  <c:v>4.7676880208194419</c:v>
                </c:pt>
                <c:pt idx="28">
                  <c:v>4.397350372787681</c:v>
                </c:pt>
                <c:pt idx="29">
                  <c:v>4.0557792826663359</c:v>
                </c:pt>
                <c:pt idx="30">
                  <c:v>3.7407402629318951</c:v>
                </c:pt>
                <c:pt idx="31">
                  <c:v>3.4257012431974543</c:v>
                </c:pt>
                <c:pt idx="32">
                  <c:v>3.1106622234630135</c:v>
                </c:pt>
                <c:pt idx="33">
                  <c:v>2.7956232037285726</c:v>
                </c:pt>
                <c:pt idx="34">
                  <c:v>2.4805841839941318</c:v>
                </c:pt>
                <c:pt idx="35">
                  <c:v>2.165545164259691</c:v>
                </c:pt>
                <c:pt idx="36">
                  <c:v>1.8505061445252502</c:v>
                </c:pt>
                <c:pt idx="37">
                  <c:v>1.5354671247908094</c:v>
                </c:pt>
                <c:pt idx="38">
                  <c:v>1.2204281050563686</c:v>
                </c:pt>
                <c:pt idx="39">
                  <c:v>0.90538908532192774</c:v>
                </c:pt>
                <c:pt idx="40">
                  <c:v>0.59035006558748693</c:v>
                </c:pt>
                <c:pt idx="41">
                  <c:v>0.27531104585304611</c:v>
                </c:pt>
                <c:pt idx="42">
                  <c:v>-3.9727973881394707E-2</c:v>
                </c:pt>
                <c:pt idx="43">
                  <c:v>-0.35476699361583552</c:v>
                </c:pt>
                <c:pt idx="44">
                  <c:v>-0.66980601335027634</c:v>
                </c:pt>
                <c:pt idx="45">
                  <c:v>-0.98484503308471716</c:v>
                </c:pt>
                <c:pt idx="46">
                  <c:v>-1.299884052819158</c:v>
                </c:pt>
                <c:pt idx="47">
                  <c:v>-1.6149230725535988</c:v>
                </c:pt>
                <c:pt idx="48">
                  <c:v>-1.9299620922880396</c:v>
                </c:pt>
                <c:pt idx="49">
                  <c:v>-2.2450011120224804</c:v>
                </c:pt>
                <c:pt idx="50">
                  <c:v>-2.5600401317569212</c:v>
                </c:pt>
                <c:pt idx="51">
                  <c:v>-2.8750791514913621</c:v>
                </c:pt>
                <c:pt idx="52">
                  <c:v>-3.1901181712258029</c:v>
                </c:pt>
                <c:pt idx="53">
                  <c:v>-3.5051571909602437</c:v>
                </c:pt>
                <c:pt idx="54">
                  <c:v>-3.8201962106946845</c:v>
                </c:pt>
                <c:pt idx="55">
                  <c:v>-4.1352352304291253</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0-EE9B-45AD-B6C1-E4A29746DB45}"/>
            </c:ext>
          </c:extLst>
        </c:ser>
        <c:ser>
          <c:idx val="1"/>
          <c:order val="1"/>
          <c:tx>
            <c:strRef>
              <c:f>graphs!$BV$8</c:f>
              <c:strCache>
                <c:ptCount val="1"/>
                <c:pt idx="0">
                  <c:v>RM-2 exp</c:v>
                </c:pt>
              </c:strCache>
            </c:strRef>
          </c:tx>
          <c:spPr>
            <a:ln w="38100" cap="rnd">
              <a:solidFill>
                <a:schemeClr val="accent2"/>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graphs!$BV$9:$BV$90</c:f>
              <c:numCache>
                <c:formatCode>#,##0.00</c:formatCode>
                <c:ptCount val="82"/>
                <c:pt idx="0">
                  <c:v>42.311683327829648</c:v>
                </c:pt>
                <c:pt idx="1">
                  <c:v>41.634696394584374</c:v>
                </c:pt>
                <c:pt idx="2">
                  <c:v>40.871740948026705</c:v>
                </c:pt>
                <c:pt idx="3">
                  <c:v>40.013931736379995</c:v>
                </c:pt>
                <c:pt idx="4">
                  <c:v>39.052092280448143</c:v>
                </c:pt>
                <c:pt idx="5">
                  <c:v>37.976966040903676</c:v>
                </c:pt>
                <c:pt idx="6">
                  <c:v>36.779511007910521</c:v>
                </c:pt>
                <c:pt idx="7">
                  <c:v>35.451295057531894</c:v>
                </c:pt>
                <c:pt idx="8">
                  <c:v>33.98500922545341</c:v>
                </c:pt>
                <c:pt idx="9">
                  <c:v>32.375113606597644</c:v>
                </c:pt>
                <c:pt idx="10">
                  <c:v>30.618624663201448</c:v>
                </c:pt>
                <c:pt idx="11">
                  <c:v>28.716041753487143</c:v>
                </c:pt>
                <c:pt idx="12">
                  <c:v>26.672392874539952</c:v>
                </c:pt>
                <c:pt idx="13">
                  <c:v>24.498353138093332</c:v>
                </c:pt>
                <c:pt idx="14">
                  <c:v>22.211353047731443</c:v>
                </c:pt>
                <c:pt idx="15">
                  <c:v>19.836547256297379</c:v>
                </c:pt>
                <c:pt idx="16">
                  <c:v>17.407460879574462</c:v>
                </c:pt>
                <c:pt idx="17">
                  <c:v>14.966076857873905</c:v>
                </c:pt>
                <c:pt idx="18">
                  <c:v>12.562088089886416</c:v>
                </c:pt>
                <c:pt idx="19">
                  <c:v>10.251034104939498</c:v>
                </c:pt>
                <c:pt idx="20">
                  <c:v>8.091103852417362</c:v>
                </c:pt>
                <c:pt idx="21">
                  <c:v>6.1385473174505822</c:v>
                </c:pt>
                <c:pt idx="22">
                  <c:v>4.4419247372297175</c:v>
                </c:pt>
                <c:pt idx="23">
                  <c:v>3.0358298680017715</c:v>
                </c:pt>
                <c:pt idx="24">
                  <c:v>1.9351914947025706</c:v>
                </c:pt>
                <c:pt idx="25">
                  <c:v>0.83455312140336968</c:v>
                </c:pt>
                <c:pt idx="26">
                  <c:v>-0.26608525189583121</c:v>
                </c:pt>
                <c:pt idx="27">
                  <c:v>-1.3667236251950321</c:v>
                </c:pt>
                <c:pt idx="28">
                  <c:v>-2.467361998494233</c:v>
                </c:pt>
                <c:pt idx="29">
                  <c:v>-3.5680003717934339</c:v>
                </c:pt>
                <c:pt idx="30">
                  <c:v>-4.3499999999999996</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1-EE9B-45AD-B6C1-E4A29746DB45}"/>
            </c:ext>
          </c:extLst>
        </c:ser>
        <c:ser>
          <c:idx val="2"/>
          <c:order val="2"/>
          <c:tx>
            <c:strRef>
              <c:f>graphs!$BW$8</c:f>
              <c:strCache>
                <c:ptCount val="1"/>
                <c:pt idx="0">
                  <c:v>RM-3 lin</c:v>
                </c:pt>
              </c:strCache>
            </c:strRef>
          </c:tx>
          <c:spPr>
            <a:ln w="38100" cap="rnd">
              <a:solidFill>
                <a:schemeClr val="accent3"/>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graphs!$BW$9:$BW$90</c:f>
              <c:numCache>
                <c:formatCode>#,##0.00</c:formatCode>
                <c:ptCount val="82"/>
                <c:pt idx="0">
                  <c:v>42.311683327829648</c:v>
                </c:pt>
                <c:pt idx="1">
                  <c:v>41.634696394584374</c:v>
                </c:pt>
                <c:pt idx="2">
                  <c:v>40.698938963160479</c:v>
                </c:pt>
                <c:pt idx="3">
                  <c:v>39.520670212747206</c:v>
                </c:pt>
                <c:pt idx="4">
                  <c:v>38.120600266107886</c:v>
                </c:pt>
                <c:pt idx="5">
                  <c:v>36.52328254722493</c:v>
                </c:pt>
                <c:pt idx="6">
                  <c:v>34.756391426208353</c:v>
                </c:pt>
                <c:pt idx="7">
                  <c:v>32.849915052202277</c:v>
                </c:pt>
                <c:pt idx="8">
                  <c:v>30.835296640967364</c:v>
                </c:pt>
                <c:pt idx="9">
                  <c:v>28.74455907257909</c:v>
                </c:pt>
                <c:pt idx="10">
                  <c:v>26.609447402105705</c:v>
                </c:pt>
                <c:pt idx="11">
                  <c:v>24.460621848320489</c:v>
                </c:pt>
                <c:pt idx="12">
                  <c:v>22.326930172905357</c:v>
                </c:pt>
                <c:pt idx="13">
                  <c:v>20.234783365292255</c:v>
                </c:pt>
                <c:pt idx="14">
                  <c:v>18.207652553847989</c:v>
                </c:pt>
                <c:pt idx="15">
                  <c:v>16.265698470124367</c:v>
                </c:pt>
                <c:pt idx="16">
                  <c:v>14.425538016544882</c:v>
                </c:pt>
                <c:pt idx="17">
                  <c:v>12.700145935283334</c:v>
                </c:pt>
                <c:pt idx="18">
                  <c:v>11.098883613917479</c:v>
                </c:pt>
                <c:pt idx="19">
                  <c:v>9.6276419953230956</c:v>
                </c:pt>
                <c:pt idx="20">
                  <c:v>8.2890816083755485</c:v>
                </c:pt>
                <c:pt idx="21">
                  <c:v>7.0829500351464167</c:v>
                </c:pt>
                <c:pt idx="22">
                  <c:v>6.0064557196926422</c:v>
                </c:pt>
                <c:pt idx="23">
                  <c:v>5.0546768561808477</c:v>
                </c:pt>
                <c:pt idx="24">
                  <c:v>4.2209850471246346</c:v>
                </c:pt>
                <c:pt idx="25">
                  <c:v>3.4974653136449327</c:v>
                </c:pt>
                <c:pt idx="26">
                  <c:v>2.8753166464770041</c:v>
                </c:pt>
                <c:pt idx="27">
                  <c:v>2.2531679793090755</c:v>
                </c:pt>
                <c:pt idx="28">
                  <c:v>1.6310193121411469</c:v>
                </c:pt>
                <c:pt idx="29">
                  <c:v>1.0088706449732183</c:v>
                </c:pt>
                <c:pt idx="30">
                  <c:v>0.38672197780528972</c:v>
                </c:pt>
                <c:pt idx="31">
                  <c:v>-0.23542668936263889</c:v>
                </c:pt>
                <c:pt idx="32">
                  <c:v>-0.85757535653056749</c:v>
                </c:pt>
                <c:pt idx="33">
                  <c:v>-1.4797240236984961</c:v>
                </c:pt>
                <c:pt idx="34">
                  <c:v>-2.1018726908664247</c:v>
                </c:pt>
                <c:pt idx="35">
                  <c:v>-2.7240213580343533</c:v>
                </c:pt>
                <c:pt idx="36">
                  <c:v>-3.3461700252022819</c:v>
                </c:pt>
                <c:pt idx="37">
                  <c:v>-3.9683186923702105</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2-EE9B-45AD-B6C1-E4A29746DB45}"/>
            </c:ext>
          </c:extLst>
        </c:ser>
        <c:ser>
          <c:idx val="3"/>
          <c:order val="3"/>
          <c:tx>
            <c:strRef>
              <c:f>graphs!$BX$8</c:f>
              <c:strCache>
                <c:ptCount val="1"/>
                <c:pt idx="0">
                  <c:v>RM-4 quadr</c:v>
                </c:pt>
              </c:strCache>
            </c:strRef>
          </c:tx>
          <c:spPr>
            <a:ln w="38100" cap="rnd">
              <a:solidFill>
                <a:schemeClr val="accent4"/>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graphs!$BX$9:$BX$90</c:f>
              <c:numCache>
                <c:formatCode>#,##0.00</c:formatCode>
                <c:ptCount val="82"/>
                <c:pt idx="0">
                  <c:v>42.311683327829648</c:v>
                </c:pt>
                <c:pt idx="1">
                  <c:v>41.634696394584374</c:v>
                </c:pt>
                <c:pt idx="2">
                  <c:v>40.94642033711299</c:v>
                </c:pt>
                <c:pt idx="3">
                  <c:v>40.204256701878194</c:v>
                </c:pt>
                <c:pt idx="4">
                  <c:v>39.368740415687277</c:v>
                </c:pt>
                <c:pt idx="5">
                  <c:v>38.404168714250304</c:v>
                </c:pt>
                <c:pt idx="6">
                  <c:v>37.279589397576622</c:v>
                </c:pt>
                <c:pt idx="7">
                  <c:v>35.970063791945805</c:v>
                </c:pt>
                <c:pt idx="8">
                  <c:v>34.458091947431519</c:v>
                </c:pt>
                <c:pt idx="9">
                  <c:v>32.735055845817413</c:v>
                </c:pt>
                <c:pt idx="10">
                  <c:v>30.802506467750074</c:v>
                </c:pt>
                <c:pt idx="11">
                  <c:v>28.673099531232598</c:v>
                </c:pt>
                <c:pt idx="12">
                  <c:v>26.370980374694042</c:v>
                </c:pt>
                <c:pt idx="13">
                  <c:v>23.931438247852281</c:v>
                </c:pt>
                <c:pt idx="14">
                  <c:v>21.399699625260347</c:v>
                </c:pt>
                <c:pt idx="15">
                  <c:v>18.828810597051955</c:v>
                </c:pt>
                <c:pt idx="16">
                  <c:v>16.276665737191337</c:v>
                </c:pt>
                <c:pt idx="17">
                  <c:v>13.80236407512988</c:v>
                </c:pt>
                <c:pt idx="18">
                  <c:v>11.462194181355065</c:v>
                </c:pt>
                <c:pt idx="19">
                  <c:v>9.3056474481057752</c:v>
                </c:pt>
                <c:pt idx="20">
                  <c:v>7.3719080701785655</c:v>
                </c:pt>
                <c:pt idx="21">
                  <c:v>5.6872512398710828</c:v>
                </c:pt>
                <c:pt idx="22">
                  <c:v>4.2636893325199043</c:v>
                </c:pt>
                <c:pt idx="23">
                  <c:v>3.0990461285146633</c:v>
                </c:pt>
                <c:pt idx="24">
                  <c:v>2.1784348251611947</c:v>
                </c:pt>
                <c:pt idx="25">
                  <c:v>1.2578235218077261</c:v>
                </c:pt>
                <c:pt idx="26">
                  <c:v>0.33721221845425742</c:v>
                </c:pt>
                <c:pt idx="27">
                  <c:v>-0.58339908489921122</c:v>
                </c:pt>
                <c:pt idx="28">
                  <c:v>-1.5040103882526799</c:v>
                </c:pt>
                <c:pt idx="29">
                  <c:v>-2.4246216916061485</c:v>
                </c:pt>
                <c:pt idx="30">
                  <c:v>-3.3452329949596171</c:v>
                </c:pt>
                <c:pt idx="31">
                  <c:v>-4.2658442983130858</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3-EE9B-45AD-B6C1-E4A29746DB45}"/>
            </c:ext>
          </c:extLst>
        </c:ser>
        <c:ser>
          <c:idx val="5"/>
          <c:order val="4"/>
          <c:tx>
            <c:strRef>
              <c:f>graphs!$BY$8</c:f>
              <c:strCache>
                <c:ptCount val="1"/>
                <c:pt idx="0">
                  <c:v>RM-5 rad</c:v>
                </c:pt>
              </c:strCache>
            </c:strRef>
          </c:tx>
          <c:spPr>
            <a:ln w="38100"/>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graphs!$BY$9:$BY$90</c:f>
              <c:numCache>
                <c:formatCode>#,##0.00</c:formatCode>
                <c:ptCount val="82"/>
                <c:pt idx="0">
                  <c:v>42.311683327829648</c:v>
                </c:pt>
                <c:pt idx="1">
                  <c:v>41.634696394584374</c:v>
                </c:pt>
                <c:pt idx="2">
                  <c:v>40.303015542504525</c:v>
                </c:pt>
                <c:pt idx="3">
                  <c:v>38.54231270287876</c:v>
                </c:pt>
                <c:pt idx="4">
                  <c:v>36.548006916661137</c:v>
                </c:pt>
                <c:pt idx="5">
                  <c:v>34.417549672984222</c:v>
                </c:pt>
                <c:pt idx="6">
                  <c:v>32.216387465493881</c:v>
                </c:pt>
                <c:pt idx="7">
                  <c:v>29.992945908131034</c:v>
                </c:pt>
                <c:pt idx="8">
                  <c:v>27.784435978772759</c:v>
                </c:pt>
                <c:pt idx="9">
                  <c:v>25.619773303478404</c:v>
                </c:pt>
                <c:pt idx="10">
                  <c:v>23.52132538582547</c:v>
                </c:pt>
                <c:pt idx="11">
                  <c:v>21.506100896100762</c:v>
                </c:pt>
                <c:pt idx="12">
                  <c:v>19.58663984505209</c:v>
                </c:pt>
                <c:pt idx="13">
                  <c:v>17.771726106477395</c:v>
                </c:pt>
                <c:pt idx="14">
                  <c:v>16.066983763338975</c:v>
                </c:pt>
                <c:pt idx="15">
                  <c:v>14.475390224671248</c:v>
                </c:pt>
                <c:pt idx="16">
                  <c:v>12.997724671281137</c:v>
                </c:pt>
                <c:pt idx="17">
                  <c:v>11.632962847078664</c:v>
                </c:pt>
                <c:pt idx="18">
                  <c:v>10.378625178573007</c:v>
                </c:pt>
                <c:pt idx="19">
                  <c:v>9.2310830379311444</c:v>
                </c:pt>
                <c:pt idx="20">
                  <c:v>8.1858268150268643</c:v>
                </c:pt>
                <c:pt idx="21">
                  <c:v>7.2376988711080346</c:v>
                </c:pt>
                <c:pt idx="22">
                  <c:v>6.381094154104435</c:v>
                </c:pt>
                <c:pt idx="23">
                  <c:v>5.6101311167465262</c:v>
                </c:pt>
                <c:pt idx="24">
                  <c:v>4.9187955096093399</c:v>
                </c:pt>
                <c:pt idx="25">
                  <c:v>4.3010595743813465</c:v>
                </c:pt>
                <c:pt idx="26">
                  <c:v>3.7509791122174319</c:v>
                </c:pt>
                <c:pt idx="27">
                  <c:v>3.2627708351819971</c:v>
                </c:pt>
                <c:pt idx="28">
                  <c:v>2.8308723206342146</c:v>
                </c:pt>
                <c:pt idx="29">
                  <c:v>2.3989738060864321</c:v>
                </c:pt>
                <c:pt idx="30">
                  <c:v>1.9670752915386496</c:v>
                </c:pt>
                <c:pt idx="31">
                  <c:v>1.5351767769908671</c:v>
                </c:pt>
                <c:pt idx="32">
                  <c:v>1.1032782624430846</c:v>
                </c:pt>
                <c:pt idx="33">
                  <c:v>0.67137974789530208</c:v>
                </c:pt>
                <c:pt idx="34">
                  <c:v>0.23948123334751958</c:v>
                </c:pt>
                <c:pt idx="35">
                  <c:v>-0.19241728120026291</c:v>
                </c:pt>
                <c:pt idx="36">
                  <c:v>-0.62431579574804541</c:v>
                </c:pt>
                <c:pt idx="37">
                  <c:v>-1.0562143102958279</c:v>
                </c:pt>
                <c:pt idx="38">
                  <c:v>-1.4881128248436104</c:v>
                </c:pt>
                <c:pt idx="39">
                  <c:v>-1.9200113393913929</c:v>
                </c:pt>
                <c:pt idx="40">
                  <c:v>-2.3519098539391754</c:v>
                </c:pt>
                <c:pt idx="41">
                  <c:v>-2.7838083684869579</c:v>
                </c:pt>
                <c:pt idx="42">
                  <c:v>-3.2157068830347404</c:v>
                </c:pt>
                <c:pt idx="43">
                  <c:v>-3.6476053975825229</c:v>
                </c:pt>
                <c:pt idx="44">
                  <c:v>-4.0795039121303054</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ser>
          <c:idx val="6"/>
          <c:order val="5"/>
          <c:tx>
            <c:strRef>
              <c:f>graphs!$BZ$8</c:f>
              <c:strCache>
                <c:ptCount val="1"/>
                <c:pt idx="0">
                  <c:v>RM-6 abs</c:v>
                </c:pt>
              </c:strCache>
            </c:strRef>
          </c:tx>
          <c:spPr>
            <a:ln w="38100">
              <a:solidFill>
                <a:schemeClr val="bg1">
                  <a:lumMod val="50000"/>
                </a:schemeClr>
              </a:solidFill>
            </a:ln>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graphs!$BZ$9:$BZ$90</c:f>
              <c:numCache>
                <c:formatCode>#,##0.00</c:formatCode>
                <c:ptCount val="82"/>
                <c:pt idx="0">
                  <c:v>42.311683327829648</c:v>
                </c:pt>
                <c:pt idx="1">
                  <c:v>40.782331457979197</c:v>
                </c:pt>
                <c:pt idx="2">
                  <c:v>39.252979588128746</c:v>
                </c:pt>
                <c:pt idx="3">
                  <c:v>37.723627718278294</c:v>
                </c:pt>
                <c:pt idx="4">
                  <c:v>36.194275848427843</c:v>
                </c:pt>
                <c:pt idx="5">
                  <c:v>34.664923978577391</c:v>
                </c:pt>
                <c:pt idx="6">
                  <c:v>33.13557210872694</c:v>
                </c:pt>
                <c:pt idx="7">
                  <c:v>31.606220238876492</c:v>
                </c:pt>
                <c:pt idx="8">
                  <c:v>30.076868369026045</c:v>
                </c:pt>
                <c:pt idx="9">
                  <c:v>28.547516499175597</c:v>
                </c:pt>
                <c:pt idx="10">
                  <c:v>27.018164629325149</c:v>
                </c:pt>
                <c:pt idx="11">
                  <c:v>25.488812759474701</c:v>
                </c:pt>
                <c:pt idx="12">
                  <c:v>23.959460889624253</c:v>
                </c:pt>
                <c:pt idx="13">
                  <c:v>22.430109019773806</c:v>
                </c:pt>
                <c:pt idx="14">
                  <c:v>20.900757149923358</c:v>
                </c:pt>
                <c:pt idx="15">
                  <c:v>19.37140528007291</c:v>
                </c:pt>
                <c:pt idx="16">
                  <c:v>17.842053410222462</c:v>
                </c:pt>
                <c:pt idx="17">
                  <c:v>16.312701540372014</c:v>
                </c:pt>
                <c:pt idx="18">
                  <c:v>14.783349670521565</c:v>
                </c:pt>
                <c:pt idx="19">
                  <c:v>13.253997800671115</c:v>
                </c:pt>
                <c:pt idx="20">
                  <c:v>11.724645930820666</c:v>
                </c:pt>
                <c:pt idx="21">
                  <c:v>10.195294060970216</c:v>
                </c:pt>
                <c:pt idx="22">
                  <c:v>8.6659421911197665</c:v>
                </c:pt>
                <c:pt idx="23">
                  <c:v>7.1365903212693178</c:v>
                </c:pt>
                <c:pt idx="24">
                  <c:v>5.6072384514188691</c:v>
                </c:pt>
                <c:pt idx="25">
                  <c:v>4.0778865815684204</c:v>
                </c:pt>
                <c:pt idx="26">
                  <c:v>2.5485347117179717</c:v>
                </c:pt>
                <c:pt idx="27">
                  <c:v>1.0191828418675228</c:v>
                </c:pt>
                <c:pt idx="28">
                  <c:v>-0.51016902798292607</c:v>
                </c:pt>
                <c:pt idx="29">
                  <c:v>-2.0395208978333752</c:v>
                </c:pt>
                <c:pt idx="30">
                  <c:v>-3.5688727676838239</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dLbls>
          <c:showLegendKey val="0"/>
          <c:showVal val="0"/>
          <c:showCatName val="0"/>
          <c:showSerName val="0"/>
          <c:showPercent val="0"/>
          <c:showBubbleSize val="0"/>
        </c:dLbls>
        <c:smooth val="0"/>
        <c:axId val="345950600"/>
        <c:axId val="434284888"/>
        <c:extLst xmlns:c16r2="http://schemas.microsoft.com/office/drawing/2015/06/chart">
          <c:ext xmlns:c15="http://schemas.microsoft.com/office/drawing/2012/chart" uri="{02D57815-91ED-43cb-92C2-25804820EDAC}">
            <c15:filteredLineSeries>
              <c15:ser>
                <c:idx val="4"/>
                <c:order val="6"/>
                <c:tx>
                  <c:strRef>
                    <c:extLst xmlns:c16r2="http://schemas.microsoft.com/office/drawing/2015/06/chart">
                      <c:ext uri="{02D57815-91ED-43cb-92C2-25804820EDAC}">
                        <c15:formulaRef>
                          <c15:sqref>graphs!$CA$8</c15:sqref>
                        </c15:formulaRef>
                      </c:ext>
                    </c:extLst>
                    <c:strCache>
                      <c:ptCount val="1"/>
                      <c:pt idx="0">
                        <c:v>SPM-R</c:v>
                      </c:pt>
                    </c:strCache>
                  </c:strRef>
                </c:tx>
                <c:spPr>
                  <a:ln>
                    <a:solidFill>
                      <a:schemeClr val="tx1">
                        <a:lumMod val="65000"/>
                        <a:lumOff val="35000"/>
                      </a:schemeClr>
                    </a:solidFill>
                  </a:ln>
                </c:spPr>
                <c:marker>
                  <c:symbol val="none"/>
                </c:marker>
                <c:cat>
                  <c:numRef>
                    <c:extLst xmlns:c16r2="http://schemas.microsoft.com/office/drawing/2015/06/chart">
                      <c:ex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graphs!$CA$9:$CA$90</c15:sqref>
                        </c15:formulaRef>
                      </c:ext>
                    </c:extLst>
                    <c:numCache>
                      <c:formatCode>#,##0.00</c:formatCode>
                      <c:ptCount val="82"/>
                      <c:pt idx="0">
                        <c:v>42.311683327829648</c:v>
                      </c:pt>
                      <c:pt idx="1">
                        <c:v>41.834339829518569</c:v>
                      </c:pt>
                      <c:pt idx="2">
                        <c:v>39.733240975044623</c:v>
                      </c:pt>
                      <c:pt idx="3">
                        <c:v>36.522204869624375</c:v>
                      </c:pt>
                      <c:pt idx="4">
                        <c:v>32.793427399481033</c:v>
                      </c:pt>
                      <c:pt idx="5">
                        <c:v>28.931788391085348</c:v>
                      </c:pt>
                      <c:pt idx="6">
                        <c:v>25.177512457858086</c:v>
                      </c:pt>
                      <c:pt idx="7">
                        <c:v>21.671270172514866</c:v>
                      </c:pt>
                      <c:pt idx="8">
                        <c:v>18.486418119923655</c:v>
                      </c:pt>
                      <c:pt idx="9">
                        <c:v>15.651857785996114</c:v>
                      </c:pt>
                      <c:pt idx="10">
                        <c:v>13.168083660743605</c:v>
                      </c:pt>
                      <c:pt idx="11">
                        <c:v>11.018313333856071</c:v>
                      </c:pt>
                      <c:pt idx="12">
                        <c:v>9.1760886496662266</c:v>
                      </c:pt>
                      <c:pt idx="13">
                        <c:v>7.6103634168143444</c:v>
                      </c:pt>
                      <c:pt idx="14">
                        <c:v>6.2888168284638262</c:v>
                      </c:pt>
                      <c:pt idx="15">
                        <c:v>5.1799279200617256</c:v>
                      </c:pt>
                      <c:pt idx="16">
                        <c:v>4.2541965278203868</c:v>
                      </c:pt>
                      <c:pt idx="17">
                        <c:v>3.4847864207506483</c:v>
                      </c:pt>
                      <c:pt idx="18">
                        <c:v>2.8477861737325547</c:v>
                      </c:pt>
                      <c:pt idx="19">
                        <c:v>2.3222251737788593</c:v>
                      </c:pt>
                      <c:pt idx="20">
                        <c:v>1.8899401284246782</c:v>
                      </c:pt>
                      <c:pt idx="21">
                        <c:v>1.5353572783066616</c:v>
                      </c:pt>
                      <c:pt idx="22">
                        <c:v>1.2452340190892004</c:v>
                      </c:pt>
                      <c:pt idx="23">
                        <c:v>1.0083884535049643</c:v>
                      </c:pt>
                      <c:pt idx="24">
                        <c:v>0.81543478321211005</c:v>
                      </c:pt>
                      <c:pt idx="25">
                        <c:v>0.65853513342908965</c:v>
                      </c:pt>
                      <c:pt idx="26">
                        <c:v>0.53117344366821539</c:v>
                      </c:pt>
                      <c:pt idx="27">
                        <c:v>0.42795377134786117</c:v>
                      </c:pt>
                      <c:pt idx="28">
                        <c:v>0.3444232447171347</c:v>
                      </c:pt>
                      <c:pt idx="29">
                        <c:v>0.27691860830715598</c:v>
                      </c:pt>
                      <c:pt idx="30">
                        <c:v>0.22243457015738544</c:v>
                      </c:pt>
                      <c:pt idx="31">
                        <c:v>0.17851180150263735</c:v>
                      </c:pt>
                      <c:pt idx="32">
                        <c:v>0.14314232650366598</c:v>
                      </c:pt>
                      <c:pt idx="33">
                        <c:v>0.11469008108803347</c:v>
                      </c:pt>
                      <c:pt idx="34">
                        <c:v>9.1824553318918978E-2</c:v>
                      </c:pt>
                      <c:pt idx="35">
                        <c:v>7.3465600361367511E-2</c:v>
                      </c:pt>
                      <c:pt idx="36">
                        <c:v>5.8737740815139106E-2</c:v>
                      </c:pt>
                      <c:pt idx="37">
                        <c:v>4.6932427746303962E-2</c:v>
                      </c:pt>
                      <c:pt idx="38">
                        <c:v>3.7477005992540335E-2</c:v>
                      </c:pt>
                      <c:pt idx="39">
                        <c:v>2.9909240852516977E-2</c:v>
                      </c:pt>
                      <c:pt idx="40">
                        <c:v>2.3856470934856572E-2</c:v>
                      </c:pt>
                      <c:pt idx="41">
                        <c:v>1.9018584686248563E-2</c:v>
                      </c:pt>
                      <c:pt idx="42">
                        <c:v>1.5154148224542634E-2</c:v>
                      </c:pt>
                      <c:pt idx="43">
                        <c:v>1.2069122650795593E-2</c:v>
                      </c:pt>
                      <c:pt idx="44">
                        <c:v>9.6077035150404153E-3</c:v>
                      </c:pt>
                      <c:pt idx="45">
                        <c:v>7.6448952630430445E-3</c:v>
                      </c:pt>
                      <c:pt idx="46">
                        <c:v>6.0805010261560204E-3</c:v>
                      </c:pt>
                      <c:pt idx="47">
                        <c:v>4.8342646991232363E-3</c:v>
                      </c:pt>
                      <c:pt idx="48">
                        <c:v>3.8419494262553113E-3</c:v>
                      </c:pt>
                      <c:pt idx="49">
                        <c:v>3.0521757811871712E-3</c:v>
                      </c:pt>
                      <c:pt idx="50">
                        <c:v>2.4238753176652125E-3</c:v>
                      </c:pt>
                      <c:pt idx="51">
                        <c:v>1.9242418703228478E-3</c:v>
                      </c:pt>
                      <c:pt idx="52">
                        <c:v>1.5270849293665132E-3</c:v>
                      </c:pt>
                      <c:pt idx="53">
                        <c:v>1.211507400511235E-3</c:v>
                      </c:pt>
                      <c:pt idx="54">
                        <c:v>9.6084476937006134E-4</c:v>
                      </c:pt>
                      <c:pt idx="55">
                        <c:v>7.61814689302157E-4</c:v>
                      </c:pt>
                      <c:pt idx="56">
                        <c:v>6.0383578242502933E-4</c:v>
                      </c:pt>
                      <c:pt idx="57">
                        <c:v>4.784823845500471E-4</c:v>
                      </c:pt>
                      <c:pt idx="58">
                        <c:v>3.7904840791133545E-4</c:v>
                      </c:pt>
                      <c:pt idx="59">
                        <c:v>3.0019871513347349E-4</c:v>
                      </c:pt>
                      <c:pt idx="60">
                        <c:v>2.3769062016652581E-4</c:v>
                      </c:pt>
                      <c:pt idx="61">
                        <c:v>1.8815154288200672E-4</c:v>
                      </c:pt>
                      <c:pt idx="62">
                        <c:v>1.4890159613068659E-4</c:v>
                      </c:pt>
                      <c:pt idx="63">
                        <c:v>1.1781210199380822E-4</c:v>
                      </c:pt>
                      <c:pt idx="64">
                        <c:v>9.3192819451234812E-5</c:v>
                      </c:pt>
                      <c:pt idx="65">
                        <c:v>7.3702101592273744E-5</c:v>
                      </c:pt>
                      <c:pt idx="66">
                        <c:v>5.8275354149733865E-5</c:v>
                      </c:pt>
                      <c:pt idx="67">
                        <c:v>4.6068093190151281E-5</c:v>
                      </c:pt>
                      <c:pt idx="68">
                        <c:v>3.6410642515178335E-5</c:v>
                      </c:pt>
                      <c:pt idx="69">
                        <c:v>2.8772106537307176E-5</c:v>
                      </c:pt>
                      <c:pt idx="70">
                        <c:v>2.2731731023758545E-5</c:v>
                      </c:pt>
                      <c:pt idx="71">
                        <c:v>1.7956145504705306E-5</c:v>
                      </c:pt>
                      <c:pt idx="72">
                        <c:v>1.4181286134081569E-5</c:v>
                      </c:pt>
                      <c:pt idx="73">
                        <c:v>1.1198041523564572E-5</c:v>
                      </c:pt>
                      <c:pt idx="74">
                        <c:v>8.8408587273567027E-6</c:v>
                      </c:pt>
                      <c:pt idx="75">
                        <c:v>6.9787019274989334E-6</c:v>
                      </c:pt>
                      <c:pt idx="76">
                        <c:v>5.5078803155863027E-6</c:v>
                      </c:pt>
                      <c:pt idx="77">
                        <c:v>4.3463604906361032E-6</c:v>
                      </c:pt>
                      <c:pt idx="78">
                        <c:v>3.4292574462414513E-6</c:v>
                      </c:pt>
                      <c:pt idx="79">
                        <c:v>2.7052609487227185E-6</c:v>
                      </c:pt>
                      <c:pt idx="80">
                        <c:v>2.1338040491711256E-6</c:v>
                      </c:pt>
                      <c:pt idx="81">
                        <c:v>1.6828202150896504E-6</c:v>
                      </c:pt>
                    </c:numCache>
                  </c:numRef>
                </c:val>
                <c:smooth val="0"/>
              </c15:ser>
            </c15:filteredLineSeries>
          </c:ext>
        </c:extLst>
      </c:lineChart>
      <c:catAx>
        <c:axId val="3459506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434284888"/>
        <c:crosses val="autoZero"/>
        <c:auto val="1"/>
        <c:lblAlgn val="ctr"/>
        <c:lblOffset val="100"/>
        <c:noMultiLvlLbl val="0"/>
      </c:catAx>
      <c:valAx>
        <c:axId val="434284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 CO</a:t>
                </a:r>
                <a:r>
                  <a:rPr lang="de-DE" baseline="-25000"/>
                  <a:t>2</a:t>
                </a:r>
                <a:endParaRPr lang="de-DE"/>
              </a:p>
            </c:rich>
          </c:tx>
          <c:layout>
            <c:manualLayout>
              <c:xMode val="edge"/>
              <c:yMode val="edge"/>
              <c:x val="1.2124658539381997E-2"/>
              <c:y val="0.47459542585340558"/>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4595060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400" b="0" i="0" u="none" strike="noStrike" baseline="0">
                <a:effectLst/>
              </a:rPr>
              <a:t>global change rates (</a:t>
            </a:r>
            <a:r>
              <a:rPr lang="de-DE" sz="1400" b="0" i="1" u="none" strike="noStrike" baseline="0">
                <a:effectLst/>
              </a:rPr>
              <a:t>RR</a:t>
            </a:r>
            <a:r>
              <a:rPr lang="de-DE" sz="1400" b="0" i="1" u="none" strike="noStrike" baseline="-25000">
                <a:effectLst/>
              </a:rPr>
              <a:t>t</a:t>
            </a:r>
            <a:r>
              <a:rPr lang="de-DE" sz="1400" b="0" i="1" u="none" strike="noStrike" baseline="0">
                <a:effectLst/>
              </a:rPr>
              <a:t>)</a:t>
            </a:r>
            <a:r>
              <a:rPr lang="de-DE" baseline="0"/>
              <a:t/>
            </a:r>
            <a:br>
              <a:rPr lang="de-DE" baseline="0"/>
            </a:br>
            <a:r>
              <a:rPr lang="de-DE" sz="1050" baseline="0"/>
              <a:t>(if </a:t>
            </a:r>
            <a:r>
              <a:rPr lang="de-DE" sz="1200" b="0" i="0" u="none" strike="noStrike" baseline="0"/>
              <a:t>not specified: until </a:t>
            </a:r>
            <a:r>
              <a:rPr lang="de-DE" sz="1200" b="0" i="1" u="none" strike="noStrike" baseline="0"/>
              <a:t>E</a:t>
            </a:r>
            <a:r>
              <a:rPr lang="de-DE" sz="1200" b="0" i="1" u="none" strike="noStrike" baseline="-25000"/>
              <a:t>min</a:t>
            </a:r>
            <a:r>
              <a:rPr lang="de-DE" sz="1200" b="0" i="0" u="none" strike="noStrike" baseline="0"/>
              <a:t> is archieved, constant annual reduction amount</a:t>
            </a:r>
            <a:r>
              <a:rPr lang="de-DE" sz="1050" baseline="0"/>
              <a:t>)</a:t>
            </a:r>
            <a:endParaRPr lang="de-DE" sz="1200"/>
          </a:p>
        </c:rich>
      </c:tx>
      <c:layout/>
      <c:overlay val="0"/>
      <c:spPr>
        <a:noFill/>
        <a:ln>
          <a:noFill/>
        </a:ln>
        <a:effectLst/>
      </c:spPr>
    </c:title>
    <c:autoTitleDeleted val="0"/>
    <c:plotArea>
      <c:layout/>
      <c:lineChart>
        <c:grouping val="standard"/>
        <c:varyColors val="0"/>
        <c:ser>
          <c:idx val="0"/>
          <c:order val="0"/>
          <c:tx>
            <c:strRef>
              <c:f>graphs!$CD$9</c:f>
              <c:strCache>
                <c:ptCount val="1"/>
                <c:pt idx="0">
                  <c:v>RM-1 const</c:v>
                </c:pt>
              </c:strCache>
            </c:strRef>
          </c:tx>
          <c:spPr>
            <a:ln w="38100" cap="rnd">
              <a:solidFill>
                <a:srgbClr val="4F81BD"/>
              </a:solidFill>
              <a:round/>
            </a:ln>
            <a:effectLst/>
          </c:spPr>
          <c:marker>
            <c:symbol val="none"/>
          </c:marker>
          <c:dLbls>
            <c:dLbl>
              <c:idx val="0"/>
              <c:layout/>
              <c:tx>
                <c:rich>
                  <a:bodyPr wrap="square" lIns="38100" tIns="19050" rIns="38100" bIns="19050" anchor="ctr">
                    <a:spAutoFit/>
                  </a:bodyPr>
                  <a:lstStyle/>
                  <a:p>
                    <a:pPr>
                      <a:defRPr sz="1200" b="1"/>
                    </a:pPr>
                    <a:fld id="{5A23D6A6-B9AB-4299-95D5-F83C190B4B4C}" type="CELLRANGE">
                      <a:rPr lang="en-US"/>
                      <a:pPr>
                        <a:defRPr sz="1200" b="1"/>
                      </a:pPr>
                      <a:t>[ZELLBEREICH]</a:t>
                    </a:fld>
                    <a:endParaRPr lang="de-DE"/>
                  </a:p>
                </c:rich>
              </c:tx>
              <c:spPr>
                <a:noFill/>
                <a:ln>
                  <a:noFill/>
                </a:ln>
                <a:effectLst/>
              </c:spPr>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dLbl>
              <c:idx val="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0"/>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0"/>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b="1"/>
                </a:pPr>
                <a:endParaRPr lang="de-DE"/>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(graphs!$CD$10:$CD$70,graphs!$CD$86)</c15:sqref>
                  </c15:fullRef>
                </c:ext>
              </c:extLst>
              <c:f>graphs!$CD$10:$CD$40</c:f>
              <c:numCache>
                <c:formatCode>0.0%</c:formatCode>
                <c:ptCount val="31"/>
                <c:pt idx="0">
                  <c:v>-7.7676569107411941E-2</c:v>
                </c:pt>
                <c:pt idx="1">
                  <c:v>-7.7676569107411719E-2</c:v>
                </c:pt>
                <c:pt idx="2">
                  <c:v>-7.767656910741183E-2</c:v>
                </c:pt>
                <c:pt idx="3">
                  <c:v>-7.767656910741183E-2</c:v>
                </c:pt>
                <c:pt idx="4">
                  <c:v>-7.767656910741183E-2</c:v>
                </c:pt>
                <c:pt idx="5">
                  <c:v>-7.767656910741183E-2</c:v>
                </c:pt>
                <c:pt idx="6">
                  <c:v>-7.767656910741183E-2</c:v>
                </c:pt>
                <c:pt idx="7">
                  <c:v>-7.767656910741183E-2</c:v>
                </c:pt>
                <c:pt idx="8">
                  <c:v>-7.767656910741183E-2</c:v>
                </c:pt>
                <c:pt idx="9">
                  <c:v>-7.767656910741183E-2</c:v>
                </c:pt>
                <c:pt idx="10">
                  <c:v>-7.767656910741183E-2</c:v>
                </c:pt>
                <c:pt idx="11">
                  <c:v>-7.7676569107411719E-2</c:v>
                </c:pt>
                <c:pt idx="12">
                  <c:v>-7.767656910741183E-2</c:v>
                </c:pt>
                <c:pt idx="13">
                  <c:v>-7.767656910741183E-2</c:v>
                </c:pt>
                <c:pt idx="14">
                  <c:v>-7.767656910741183E-2</c:v>
                </c:pt>
                <c:pt idx="15">
                  <c:v>-7.767656910741183E-2</c:v>
                </c:pt>
                <c:pt idx="16">
                  <c:v>-7.767656910741183E-2</c:v>
                </c:pt>
                <c:pt idx="17">
                  <c:v>-7.767656910741183E-2</c:v>
                </c:pt>
                <c:pt idx="18">
                  <c:v>-7.767656910741183E-2</c:v>
                </c:pt>
                <c:pt idx="19">
                  <c:v>-7.767656910741183E-2</c:v>
                </c:pt>
                <c:pt idx="20">
                  <c:v>-7.767656910741183E-2</c:v>
                </c:pt>
                <c:pt idx="21">
                  <c:v>-7.767656910741183E-2</c:v>
                </c:pt>
                <c:pt idx="22">
                  <c:v>-7.767656910741183E-2</c:v>
                </c:pt>
                <c:pt idx="23">
                  <c:v>-7.767656910741183E-2</c:v>
                </c:pt>
                <c:pt idx="24">
                  <c:v>-7.7676569107411719E-2</c:v>
                </c:pt>
                <c:pt idx="25">
                  <c:v>-7.767656910741183E-2</c:v>
                </c:pt>
                <c:pt idx="26">
                  <c:v>-7.7676569107411941E-2</c:v>
                </c:pt>
                <c:pt idx="27">
                  <c:v>-7.767656910741183E-2</c:v>
                </c:pt>
                <c:pt idx="28">
                  <c:v>-7.7676569107411719E-2</c:v>
                </c:pt>
                <c:pt idx="29">
                  <c:v>-7.767656910741183E-2</c:v>
                </c:pt>
                <c:pt idx="30">
                  <c:v>#N/A</c:v>
                </c:pt>
              </c:numCache>
            </c:numRef>
          </c:val>
          <c:smooth val="0"/>
          <c:extLst xmlns:c16r2="http://schemas.microsoft.com/office/drawing/2015/06/chart">
            <c:ext xmlns:c16="http://schemas.microsoft.com/office/drawing/2014/chart" uri="{C3380CC4-5D6E-409C-BE32-E72D297353CC}">
              <c16:uniqueId val="{00000000-5148-4F83-A587-64FB9CF6D363}"/>
            </c:ext>
            <c:ext xmlns:c15="http://schemas.microsoft.com/office/drawing/2012/chart" uri="{02D57815-91ED-43cb-92C2-25804820EDAC}">
              <c15:datalabelsRange>
                <c15:f>'goal seek'!$C$9</c15:f>
                <c15:dlblRangeCache>
                  <c:ptCount val="1"/>
                  <c:pt idx="0">
                    <c:v>-7,8%</c:v>
                  </c:pt>
                </c15:dlblRangeCache>
              </c15:datalabelsRange>
            </c:ext>
            <c:ext xmlns:c15="http://schemas.microsoft.com/office/drawing/2012/chart" uri="{02D57815-91ED-43cb-92C2-25804820EDAC}">
              <c15:categoryFilterExceptions>
                <c15:categoryFilterException>
                  <c15:sqref>graphs!$CD$41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graphs!$CD$61</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graphs!$CD$62</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graphs!$CD$63</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graphs!$CD$64</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graphs!$CD$65</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s>
            </c:ext>
          </c:extLst>
        </c:ser>
        <c:ser>
          <c:idx val="1"/>
          <c:order val="1"/>
          <c:tx>
            <c:strRef>
              <c:f>graphs!$CE$9</c:f>
              <c:strCache>
                <c:ptCount val="1"/>
                <c:pt idx="0">
                  <c:v>RM-2 exp</c:v>
                </c:pt>
              </c:strCache>
            </c:strRef>
          </c:tx>
          <c:spPr>
            <a:ln w="38100" cap="rnd">
              <a:solidFill>
                <a:srgbClr val="C0504D"/>
              </a:solidFill>
              <a:round/>
            </a:ln>
            <a:effectLst/>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(graphs!$CE$10:$CE$70,graphs!$CE$86)</c15:sqref>
                  </c15:fullRef>
                </c:ext>
              </c:extLst>
              <c:f>graphs!$CE$10:$CE$40</c:f>
              <c:numCache>
                <c:formatCode>0.0%</c:formatCode>
                <c:ptCount val="31"/>
                <c:pt idx="0">
                  <c:v>-1.6000000000000014E-2</c:v>
                </c:pt>
                <c:pt idx="1">
                  <c:v>-1.8324991236321586E-2</c:v>
                </c:pt>
                <c:pt idx="2">
                  <c:v>-2.0987831488203934E-2</c:v>
                </c:pt>
                <c:pt idx="3">
                  <c:v>-2.4037614255670969E-2</c:v>
                </c:pt>
                <c:pt idx="4">
                  <c:v>-2.7530566911077914E-2</c:v>
                </c:pt>
                <c:pt idx="5">
                  <c:v>-3.1531087336029384E-2</c:v>
                </c:pt>
                <c:pt idx="6">
                  <c:v>-3.611293119402692E-2</c:v>
                </c:pt>
                <c:pt idx="7">
                  <c:v>-4.1360571728026652E-2</c:v>
                </c:pt>
                <c:pt idx="8">
                  <c:v>-4.7370757152833676E-2</c:v>
                </c:pt>
                <c:pt idx="9">
                  <c:v>-5.4254294355224886E-2</c:v>
                </c:pt>
                <c:pt idx="10">
                  <c:v>-6.2138091787019345E-2</c:v>
                </c:pt>
                <c:pt idx="11">
                  <c:v>-7.116749921492993E-2</c:v>
                </c:pt>
                <c:pt idx="12">
                  <c:v>-8.1508987464032234E-2</c:v>
                </c:pt>
                <c:pt idx="13">
                  <c:v>-9.3353217559989932E-2</c:v>
                </c:pt>
                <c:pt idx="14">
                  <c:v>-0.10691855585432763</c:v>
                </c:pt>
                <c:pt idx="15">
                  <c:v>-0.12245509993941972</c:v>
                </c:pt>
                <c:pt idx="16">
                  <c:v>-0.14024928957704708</c:v>
                </c:pt>
                <c:pt idx="17">
                  <c:v>-0.16062918764998257</c:v>
                </c:pt>
                <c:pt idx="18">
                  <c:v>-0.18397052849896189</c:v>
                </c:pt>
                <c:pt idx="19">
                  <c:v>-0.21070364515530837</c:v>
                </c:pt>
                <c:pt idx="20">
                  <c:v>-0.24132140318325279</c:v>
                </c:pt>
                <c:pt idx="21">
                  <c:v>-0.27638828740437138</c:v>
                </c:pt>
                <c:pt idx="22">
                  <c:v>-0.31655080903169042</c:v>
                </c:pt>
                <c:pt idx="23">
                  <c:v>-0.36254942508476518</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1-5148-4F83-A587-64FB9CF6D363}"/>
            </c:ext>
          </c:extLst>
        </c:ser>
        <c:ser>
          <c:idx val="2"/>
          <c:order val="2"/>
          <c:tx>
            <c:strRef>
              <c:f>graphs!$CF$9</c:f>
              <c:strCache>
                <c:ptCount val="1"/>
                <c:pt idx="0">
                  <c:v>RM-3 lin</c:v>
                </c:pt>
              </c:strCache>
            </c:strRef>
          </c:tx>
          <c:spPr>
            <a:ln w="38100" cap="rnd">
              <a:solidFill>
                <a:srgbClr val="9BBB59"/>
              </a:solidFill>
              <a:round/>
            </a:ln>
            <a:effectLst/>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(graphs!$CF$10:$CF$70,graphs!$CF$86)</c15:sqref>
                  </c15:fullRef>
                </c:ext>
              </c:extLst>
              <c:f>graphs!$CF$10:$CF$40</c:f>
              <c:numCache>
                <c:formatCode>0.0%</c:formatCode>
                <c:ptCount val="31"/>
                <c:pt idx="0">
                  <c:v>-1.6000000000000014E-2</c:v>
                </c:pt>
                <c:pt idx="1">
                  <c:v>-2.2475423443837461E-2</c:v>
                </c:pt>
                <c:pt idx="2">
                  <c:v>-2.8950846887674575E-2</c:v>
                </c:pt>
                <c:pt idx="3">
                  <c:v>-3.5426270331512133E-2</c:v>
                </c:pt>
                <c:pt idx="4">
                  <c:v>-4.1901693775349358E-2</c:v>
                </c:pt>
                <c:pt idx="5">
                  <c:v>-4.8377117219186694E-2</c:v>
                </c:pt>
                <c:pt idx="6">
                  <c:v>-5.4852540663024141E-2</c:v>
                </c:pt>
                <c:pt idx="7">
                  <c:v>-6.1327964106861588E-2</c:v>
                </c:pt>
                <c:pt idx="8">
                  <c:v>-6.7803387550698924E-2</c:v>
                </c:pt>
                <c:pt idx="9">
                  <c:v>-7.427881099453626E-2</c:v>
                </c:pt>
                <c:pt idx="10">
                  <c:v>-8.0754234438373595E-2</c:v>
                </c:pt>
                <c:pt idx="11">
                  <c:v>-8.7229657882211042E-2</c:v>
                </c:pt>
                <c:pt idx="12">
                  <c:v>-9.3705081326048489E-2</c:v>
                </c:pt>
                <c:pt idx="13">
                  <c:v>-0.10018050476988583</c:v>
                </c:pt>
                <c:pt idx="14">
                  <c:v>-0.10665592821372305</c:v>
                </c:pt>
                <c:pt idx="15">
                  <c:v>-0.1131313516575605</c:v>
                </c:pt>
                <c:pt idx="16">
                  <c:v>-0.11960677510139783</c:v>
                </c:pt>
                <c:pt idx="17">
                  <c:v>-0.12608219854523517</c:v>
                </c:pt>
                <c:pt idx="18">
                  <c:v>-0.1325576219890725</c:v>
                </c:pt>
                <c:pt idx="19">
                  <c:v>-0.13903304543290984</c:v>
                </c:pt>
                <c:pt idx="20">
                  <c:v>-0.14550846887674729</c:v>
                </c:pt>
                <c:pt idx="21">
                  <c:v>-0.15198389232058473</c:v>
                </c:pt>
                <c:pt idx="22">
                  <c:v>-0.15845931576442196</c:v>
                </c:pt>
                <c:pt idx="23">
                  <c:v>-0.16493473920825952</c:v>
                </c:pt>
                <c:pt idx="24">
                  <c:v>-0.17141016265209674</c:v>
                </c:pt>
                <c:pt idx="25">
                  <c:v>-0.17788558609593408</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2-5148-4F83-A587-64FB9CF6D363}"/>
            </c:ext>
          </c:extLst>
        </c:ser>
        <c:ser>
          <c:idx val="3"/>
          <c:order val="3"/>
          <c:tx>
            <c:strRef>
              <c:f>graphs!$CG$9</c:f>
              <c:strCache>
                <c:ptCount val="1"/>
                <c:pt idx="0">
                  <c:v>RM-4 quadr</c:v>
                </c:pt>
              </c:strCache>
            </c:strRef>
          </c:tx>
          <c:spPr>
            <a:ln w="38100" cap="rnd">
              <a:solidFill>
                <a:srgbClr val="8064A2"/>
              </a:solidFill>
              <a:round/>
            </a:ln>
            <a:effectLst/>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(graphs!$CG$10:$CG$70,graphs!$CG$86)</c15:sqref>
                  </c15:fullRef>
                </c:ext>
              </c:extLst>
              <c:f>graphs!$CG$10:$CG$40</c:f>
              <c:numCache>
                <c:formatCode>0.0%</c:formatCode>
                <c:ptCount val="31"/>
                <c:pt idx="0">
                  <c:v>-1.6000000000000014E-2</c:v>
                </c:pt>
                <c:pt idx="1">
                  <c:v>-1.6531309630515523E-2</c:v>
                </c:pt>
                <c:pt idx="2">
                  <c:v>-1.812523852206227E-2</c:v>
                </c:pt>
                <c:pt idx="3">
                  <c:v>-2.0781786674640479E-2</c:v>
                </c:pt>
                <c:pt idx="4">
                  <c:v>-2.4500954088249705E-2</c:v>
                </c:pt>
                <c:pt idx="5">
                  <c:v>-2.9282740762889947E-2</c:v>
                </c:pt>
                <c:pt idx="6">
                  <c:v>-3.5127146698561651E-2</c:v>
                </c:pt>
                <c:pt idx="7">
                  <c:v>-4.2034171895264705E-2</c:v>
                </c:pt>
                <c:pt idx="8">
                  <c:v>-5.0003816352998665E-2</c:v>
                </c:pt>
                <c:pt idx="9">
                  <c:v>-5.9036080071763863E-2</c:v>
                </c:pt>
                <c:pt idx="10">
                  <c:v>-6.9130963051560301E-2</c:v>
                </c:pt>
                <c:pt idx="11">
                  <c:v>-8.0288465292387978E-2</c:v>
                </c:pt>
                <c:pt idx="12">
                  <c:v>-9.2508586794246783E-2</c:v>
                </c:pt>
                <c:pt idx="13">
                  <c:v>-0.10579132755713683</c:v>
                </c:pt>
                <c:pt idx="14">
                  <c:v>-0.12013668758105822</c:v>
                </c:pt>
                <c:pt idx="15">
                  <c:v>-0.13554466686601063</c:v>
                </c:pt>
                <c:pt idx="16">
                  <c:v>-0.15201526541199439</c:v>
                </c:pt>
                <c:pt idx="17">
                  <c:v>-0.16954848321900928</c:v>
                </c:pt>
                <c:pt idx="18">
                  <c:v>-0.1881443202870553</c:v>
                </c:pt>
                <c:pt idx="19">
                  <c:v>-0.20780277661613267</c:v>
                </c:pt>
                <c:pt idx="20">
                  <c:v>-0.22852385220624116</c:v>
                </c:pt>
                <c:pt idx="21">
                  <c:v>-0.25030754705738079</c:v>
                </c:pt>
                <c:pt idx="22">
                  <c:v>-0.27315386116955187</c:v>
                </c:pt>
                <c:pt idx="23">
                  <c:v>-0.29706279454275397</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3-5148-4F83-A587-64FB9CF6D363}"/>
            </c:ext>
          </c:extLst>
        </c:ser>
        <c:ser>
          <c:idx val="5"/>
          <c:order val="4"/>
          <c:tx>
            <c:strRef>
              <c:f>graphs!$CH$9</c:f>
              <c:strCache>
                <c:ptCount val="1"/>
                <c:pt idx="0">
                  <c:v>RM-5 rad</c:v>
                </c:pt>
              </c:strCache>
            </c:strRef>
          </c:tx>
          <c:spPr>
            <a:ln w="38100"/>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graphs!$CH$10:$CH$60</c15:sqref>
                  </c15:fullRef>
                </c:ext>
              </c:extLst>
              <c:f>graphs!$CH$10:$CH$40</c:f>
              <c:numCache>
                <c:formatCode>0.0%</c:formatCode>
                <c:ptCount val="31"/>
                <c:pt idx="0">
                  <c:v>-1.6000000000000014E-2</c:v>
                </c:pt>
                <c:pt idx="1">
                  <c:v>-3.1984882019052474E-2</c:v>
                </c:pt>
                <c:pt idx="2">
                  <c:v>-4.3686627809993106E-2</c:v>
                </c:pt>
                <c:pt idx="3">
                  <c:v>-5.1743282806915425E-2</c:v>
                </c:pt>
                <c:pt idx="4">
                  <c:v>-5.8292022559120804E-2</c:v>
                </c:pt>
                <c:pt idx="5">
                  <c:v>-6.3954646057157505E-2</c:v>
                </c:pt>
                <c:pt idx="6">
                  <c:v>-6.9015855975295692E-2</c:v>
                </c:pt>
                <c:pt idx="7">
                  <c:v>-7.3634311751936021E-2</c:v>
                </c:pt>
                <c:pt idx="8">
                  <c:v>-7.7909181850880582E-2</c:v>
                </c:pt>
                <c:pt idx="9">
                  <c:v>-8.1907356977589885E-2</c:v>
                </c:pt>
                <c:pt idx="10">
                  <c:v>-8.567648534547001E-2</c:v>
                </c:pt>
                <c:pt idx="11">
                  <c:v>-8.9251931827246556E-2</c:v>
                </c:pt>
                <c:pt idx="12">
                  <c:v>-9.2660801083406463E-2</c:v>
                </c:pt>
                <c:pt idx="13">
                  <c:v>-9.5924410095262536E-2</c:v>
                </c:pt>
                <c:pt idx="14">
                  <c:v>-9.9059883429979179E-2</c:v>
                </c:pt>
                <c:pt idx="15">
                  <c:v>-0.10208122409519849</c:v>
                </c:pt>
                <c:pt idx="16">
                  <c:v>-0.10500005644972277</c:v>
                </c:pt>
                <c:pt idx="17">
                  <c:v>-0.10782615615596625</c:v>
                </c:pt>
                <c:pt idx="18">
                  <c:v>-0.11056783734814879</c:v>
                </c:pt>
                <c:pt idx="19">
                  <c:v>-0.11323224139673016</c:v>
                </c:pt>
                <c:pt idx="20">
                  <c:v>-0.11582555621361723</c:v>
                </c:pt>
                <c:pt idx="21">
                  <c:v>-0.11835318548869944</c:v>
                </c:pt>
                <c:pt idx="22">
                  <c:v>-0.12081988115815712</c:v>
                </c:pt>
                <c:pt idx="23">
                  <c:v>-0.12322984842074625</c:v>
                </c:pt>
                <c:pt idx="24">
                  <c:v>-0.12558682995078507</c:v>
                </c:pt>
                <c:pt idx="25">
                  <c:v>-0.12789417413336734</c:v>
                </c:pt>
                <c:pt idx="26">
                  <c:v>-0.13015489087776477</c:v>
                </c:pt>
                <c:pt idx="27">
                  <c:v>-0.1323716976658863</c:v>
                </c:pt>
                <c:pt idx="28">
                  <c:v>#N/A</c:v>
                </c:pt>
                <c:pt idx="29">
                  <c:v>#N/A</c:v>
                </c:pt>
                <c:pt idx="30">
                  <c:v>#N/A</c:v>
                </c:pt>
              </c:numCache>
            </c:numRef>
          </c:val>
          <c:smooth val="0"/>
        </c:ser>
        <c:ser>
          <c:idx val="6"/>
          <c:order val="5"/>
          <c:tx>
            <c:strRef>
              <c:f>graphs!$CI$9</c:f>
              <c:strCache>
                <c:ptCount val="1"/>
                <c:pt idx="0">
                  <c:v>RM-6 abs</c:v>
                </c:pt>
              </c:strCache>
            </c:strRef>
          </c:tx>
          <c:spPr>
            <a:ln w="38100">
              <a:solidFill>
                <a:sysClr val="windowText" lastClr="000000">
                  <a:lumMod val="50000"/>
                  <a:lumOff val="50000"/>
                </a:sysClr>
              </a:solidFill>
            </a:ln>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graphs!$CI$10:$CI$90</c15:sqref>
                  </c15:fullRef>
                </c:ext>
              </c:extLst>
              <c:f>graphs!$CI$10:$CI$40</c:f>
              <c:numCache>
                <c:formatCode>0.0%</c:formatCode>
                <c:ptCount val="31"/>
                <c:pt idx="0">
                  <c:v>-3.6144907258855219E-2</c:v>
                </c:pt>
                <c:pt idx="1">
                  <c:v>-3.750035407922292E-2</c:v>
                </c:pt>
                <c:pt idx="2">
                  <c:v>-3.8961421168470234E-2</c:v>
                </c:pt>
                <c:pt idx="3">
                  <c:v>-4.0540954366099613E-2</c:v>
                </c:pt>
                <c:pt idx="4">
                  <c:v>-4.2253970662515128E-2</c:v>
                </c:pt>
                <c:pt idx="5">
                  <c:v>-4.411813713468915E-2</c:v>
                </c:pt>
                <c:pt idx="6">
                  <c:v>-4.6154382511707448E-2</c:v>
                </c:pt>
                <c:pt idx="7">
                  <c:v>-4.8387686293766441E-2</c:v>
                </c:pt>
                <c:pt idx="8">
                  <c:v>-5.0848108622419397E-2</c:v>
                </c:pt>
                <c:pt idx="9">
                  <c:v>-5.3572151185011574E-2</c:v>
                </c:pt>
                <c:pt idx="10">
                  <c:v>-5.6604580319660536E-2</c:v>
                </c:pt>
                <c:pt idx="11">
                  <c:v>-6.0000906447945757E-2</c:v>
                </c:pt>
                <c:pt idx="12">
                  <c:v>-6.3830813092824679E-2</c:v>
                </c:pt>
                <c:pt idx="13">
                  <c:v>-6.8182988700688507E-2</c:v>
                </c:pt>
                <c:pt idx="14">
                  <c:v>-7.3172079790231659E-2</c:v>
                </c:pt>
                <c:pt idx="15">
                  <c:v>-7.8948937763625771E-2</c:v>
                </c:pt>
                <c:pt idx="16">
                  <c:v>-8.5716135620029998E-2</c:v>
                </c:pt>
                <c:pt idx="17">
                  <c:v>-9.3752213026486397E-2</c:v>
                </c:pt>
                <c:pt idx="18">
                  <c:v>-0.10345097044548857</c:v>
                </c:pt>
                <c:pt idx="19">
                  <c:v>-0.11538796767968462</c:v>
                </c:pt>
                <c:pt idx="20">
                  <c:v>-0.13043906646513148</c:v>
                </c:pt>
                <c:pt idx="21">
                  <c:v>-0.15000566542804672</c:v>
                </c:pt>
                <c:pt idx="22">
                  <c:v>-0.17647842971046102</c:v>
                </c:pt>
                <c:pt idx="23">
                  <c:v>-0.21429727657092656</c:v>
                </c:pt>
                <c:pt idx="24">
                  <c:v>-0.27274600199380816</c:v>
                </c:pt>
                <c:pt idx="25">
                  <c:v>-0.37503541093147208</c:v>
                </c:pt>
                <c:pt idx="26">
                  <c:v>#N/A</c:v>
                </c:pt>
                <c:pt idx="27">
                  <c:v>#N/A</c:v>
                </c:pt>
                <c:pt idx="28">
                  <c:v>#N/A</c:v>
                </c:pt>
                <c:pt idx="29">
                  <c:v>#N/A</c:v>
                </c:pt>
                <c:pt idx="30">
                  <c:v>#N/A</c:v>
                </c:pt>
              </c:numCache>
            </c:numRef>
          </c:val>
          <c:smooth val="0"/>
        </c:ser>
        <c:dLbls>
          <c:showLegendKey val="0"/>
          <c:showVal val="0"/>
          <c:showCatName val="0"/>
          <c:showSerName val="0"/>
          <c:showPercent val="0"/>
          <c:showBubbleSize val="0"/>
        </c:dLbls>
        <c:smooth val="0"/>
        <c:axId val="434287240"/>
        <c:axId val="517527384"/>
        <c:extLst xmlns:c16r2="http://schemas.microsoft.com/office/drawing/2015/06/chart">
          <c:ext xmlns:c15="http://schemas.microsoft.com/office/drawing/2012/chart" uri="{02D57815-91ED-43cb-92C2-25804820EDAC}">
            <c15:filteredLineSeries>
              <c15:ser>
                <c:idx val="4"/>
                <c:order val="6"/>
                <c:tx>
                  <c:strRef>
                    <c:extLst xmlns:c16r2="http://schemas.microsoft.com/office/drawing/2015/06/chart">
                      <c:ext uri="{02D57815-91ED-43cb-92C2-25804820EDAC}">
                        <c15:formulaRef>
                          <c15:sqref>graphs!$CJ$9</c15:sqref>
                        </c15:formulaRef>
                      </c:ext>
                    </c:extLst>
                    <c:strCache>
                      <c:ptCount val="1"/>
                      <c:pt idx="0">
                        <c:v>SPM-R</c:v>
                      </c:pt>
                    </c:strCache>
                  </c:strRef>
                </c:tx>
                <c:spPr>
                  <a:ln>
                    <a:solidFill>
                      <a:sysClr val="windowText" lastClr="000000">
                        <a:lumMod val="65000"/>
                        <a:lumOff val="35000"/>
                      </a:sysClr>
                    </a:solidFill>
                  </a:ln>
                </c:spPr>
                <c:marker>
                  <c:symbol val="none"/>
                </c:marker>
                <c:cat>
                  <c:numRef>
                    <c:extLst>
                      <c:ex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uri="{02D57815-91ED-43cb-92C2-25804820EDAC}">
                        <c15:fullRef>
                          <c15:sqref>graphs!$CJ$10:$CJ$90</c15:sqref>
                        </c15:fullRef>
                        <c15:formulaRef>
                          <c15:sqref>graphs!$CJ$10:$CJ$40</c15:sqref>
                        </c15:formulaRef>
                      </c:ext>
                    </c:extLst>
                    <c:numCache>
                      <c:formatCode>0.0%</c:formatCode>
                      <c:ptCount val="31"/>
                      <c:pt idx="0">
                        <c:v>-1.1281600276042858E-2</c:v>
                      </c:pt>
                      <c:pt idx="1">
                        <c:v>-5.0224262245711304E-2</c:v>
                      </c:pt>
                      <c:pt idx="2">
                        <c:v>-8.0814854933102809E-2</c:v>
                      </c:pt>
                      <c:pt idx="3">
                        <c:v>-0.10209617637966262</c:v>
                      </c:pt>
                      <c:pt idx="4">
                        <c:v>-0.11775649313364533</c:v>
                      </c:pt>
                      <c:pt idx="5">
                        <c:v>-0.1297630095477974</c:v>
                      </c:pt>
                      <c:pt idx="6">
                        <c:v>-0.13926086984216324</c:v>
                      </c:pt>
                      <c:pt idx="7">
                        <c:v>-0.146961946726615</c:v>
                      </c:pt>
                      <c:pt idx="8">
                        <c:v>-0.15333204710287318</c:v>
                      </c:pt>
                      <c:pt idx="9">
                        <c:v>-0.15868877415144733</c:v>
                      </c:pt>
                      <c:pt idx="10">
                        <c:v>-0.16325612612079476</c:v>
                      </c:pt>
                      <c:pt idx="11">
                        <c:v>-0.16719661425213095</c:v>
                      </c:pt>
                      <c:pt idx="12">
                        <c:v>-0.17063100550023935</c:v>
                      </c:pt>
                      <c:pt idx="13">
                        <c:v>-0.17365091730451299</c:v>
                      </c:pt>
                      <c:pt idx="14">
                        <c:v>-0.17632711186357919</c:v>
                      </c:pt>
                      <c:pt idx="15">
                        <c:v>-0.17871511081380209</c:v>
                      </c:pt>
                      <c:pt idx="16">
                        <c:v>-0.18085908867589184</c:v>
                      </c:pt>
                      <c:pt idx="17">
                        <c:v>-0.18279463074838287</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15:ser>
            </c15:filteredLineSeries>
          </c:ext>
        </c:extLst>
      </c:lineChart>
      <c:catAx>
        <c:axId val="434287240"/>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crossAx val="517527384"/>
        <c:crosses val="autoZero"/>
        <c:auto val="1"/>
        <c:lblAlgn val="ctr"/>
        <c:lblOffset val="100"/>
        <c:tickLblSkip val="5"/>
        <c:noMultiLvlLbl val="0"/>
      </c:catAx>
      <c:valAx>
        <c:axId val="517527384"/>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428724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Change</a:t>
            </a:r>
            <a:r>
              <a:rPr lang="de-DE" baseline="0"/>
              <a:t> emissions in comparison to the year</a:t>
            </a:r>
            <a:r>
              <a:rPr lang="de-DE"/>
              <a:t> </a:t>
            </a:r>
            <a:r>
              <a:rPr lang="de-DE" b="1"/>
              <a:t>1990</a:t>
            </a:r>
          </a:p>
        </c:rich>
      </c:tx>
      <c:layout/>
      <c:overlay val="0"/>
      <c:spPr>
        <a:noFill/>
        <a:ln>
          <a:noFill/>
        </a:ln>
        <a:effectLst/>
      </c:spPr>
    </c:title>
    <c:autoTitleDeleted val="0"/>
    <c:plotArea>
      <c:layout/>
      <c:barChart>
        <c:barDir val="col"/>
        <c:grouping val="clustered"/>
        <c:varyColors val="0"/>
        <c:ser>
          <c:idx val="0"/>
          <c:order val="0"/>
          <c:tx>
            <c:strRef>
              <c:f>graphs!$CC$93</c:f>
              <c:strCache>
                <c:ptCount val="1"/>
                <c:pt idx="0">
                  <c:v>2030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graphs!$CD$92:$CJ$92</c:f>
              <c:strCache>
                <c:ptCount val="7"/>
                <c:pt idx="0">
                  <c:v>RM-1 const</c:v>
                </c:pt>
                <c:pt idx="1">
                  <c:v>RM-2 exp</c:v>
                </c:pt>
                <c:pt idx="2">
                  <c:v>RM-3 lin</c:v>
                </c:pt>
                <c:pt idx="3">
                  <c:v>RM-4 quadr</c:v>
                </c:pt>
                <c:pt idx="4">
                  <c:v>RM-5 rad</c:v>
                </c:pt>
                <c:pt idx="5">
                  <c:v>RM-6 abs</c:v>
                </c:pt>
                <c:pt idx="6">
                  <c:v>SPM-R</c:v>
                </c:pt>
              </c:strCache>
            </c:strRef>
          </c:cat>
          <c:val>
            <c:numRef>
              <c:f>graphs!$CD$93:$CJ$93</c:f>
              <c:numCache>
                <c:formatCode>0%</c:formatCode>
                <c:ptCount val="7"/>
                <c:pt idx="0">
                  <c:v>-0.36806430159603609</c:v>
                </c:pt>
                <c:pt idx="1">
                  <c:v>4.3810121036561789E-2</c:v>
                </c:pt>
                <c:pt idx="2">
                  <c:v>-0.11087172559134273</c:v>
                </c:pt>
                <c:pt idx="3">
                  <c:v>4.2249198170037028E-2</c:v>
                </c:pt>
                <c:pt idx="4">
                  <c:v>-0.2182667105692786</c:v>
                </c:pt>
                <c:pt idx="5">
                  <c:v>-7.349763035099699E-2</c:v>
                </c:pt>
                <c:pt idx="6">
                  <c:v>-0.59949121562917229</c:v>
                </c:pt>
              </c:numCache>
            </c:numRef>
          </c:val>
          <c:extLst xmlns:c16r2="http://schemas.microsoft.com/office/drawing/2015/06/chart">
            <c:ext xmlns:c16="http://schemas.microsoft.com/office/drawing/2014/chart" uri="{C3380CC4-5D6E-409C-BE32-E72D297353CC}">
              <c16:uniqueId val="{00000000-EDFF-403C-876C-9DE8192898F9}"/>
            </c:ext>
          </c:extLst>
        </c:ser>
        <c:ser>
          <c:idx val="1"/>
          <c:order val="1"/>
          <c:tx>
            <c:strRef>
              <c:f>graphs!$CC$94</c:f>
              <c:strCache>
                <c:ptCount val="1"/>
                <c:pt idx="0">
                  <c:v>2050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graphs!$CD$92:$CJ$92</c:f>
              <c:strCache>
                <c:ptCount val="7"/>
                <c:pt idx="0">
                  <c:v>RM-1 const</c:v>
                </c:pt>
                <c:pt idx="1">
                  <c:v>RM-2 exp</c:v>
                </c:pt>
                <c:pt idx="2">
                  <c:v>RM-3 lin</c:v>
                </c:pt>
                <c:pt idx="3">
                  <c:v>RM-4 quadr</c:v>
                </c:pt>
                <c:pt idx="4">
                  <c:v>RM-5 rad</c:v>
                </c:pt>
                <c:pt idx="5">
                  <c:v>RM-6 abs</c:v>
                </c:pt>
                <c:pt idx="6">
                  <c:v>SPM-R</c:v>
                </c:pt>
              </c:strCache>
            </c:strRef>
          </c:cat>
          <c:val>
            <c:numRef>
              <c:f>graphs!$CD$94:$CJ$94</c:f>
              <c:numCache>
                <c:formatCode>0%</c:formatCode>
                <c:ptCount val="7"/>
                <c:pt idx="0">
                  <c:v>-0.87547790673960801</c:v>
                </c:pt>
                <c:pt idx="1">
                  <c:v>-1.1581197738005677</c:v>
                </c:pt>
                <c:pt idx="2">
                  <c:v>-1.0085576126134799</c:v>
                </c:pt>
                <c:pt idx="3">
                  <c:v>-1.1550607667856796</c:v>
                </c:pt>
                <c:pt idx="4">
                  <c:v>-0.94419728627087807</c:v>
                </c:pt>
                <c:pt idx="5">
                  <c:v>-1.1581197738005677</c:v>
                </c:pt>
                <c:pt idx="6">
                  <c:v>-0.99351120789095893</c:v>
                </c:pt>
              </c:numCache>
            </c:numRef>
          </c:val>
          <c:extLst xmlns:c16r2="http://schemas.microsoft.com/office/drawing/2015/06/chart">
            <c:ext xmlns:c16="http://schemas.microsoft.com/office/drawing/2014/chart" uri="{C3380CC4-5D6E-409C-BE32-E72D297353CC}">
              <c16:uniqueId val="{00000001-EDFF-403C-876C-9DE8192898F9}"/>
            </c:ext>
          </c:extLst>
        </c:ser>
        <c:dLbls>
          <c:showLegendKey val="0"/>
          <c:showVal val="0"/>
          <c:showCatName val="0"/>
          <c:showSerName val="0"/>
          <c:showPercent val="0"/>
          <c:showBubbleSize val="0"/>
        </c:dLbls>
        <c:gapWidth val="219"/>
        <c:overlap val="-27"/>
        <c:axId val="517521896"/>
        <c:axId val="517526600"/>
      </c:barChart>
      <c:catAx>
        <c:axId val="517521896"/>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de-DE"/>
          </a:p>
        </c:txPr>
        <c:crossAx val="517526600"/>
        <c:crosses val="autoZero"/>
        <c:auto val="1"/>
        <c:lblAlgn val="ctr"/>
        <c:lblOffset val="100"/>
        <c:noMultiLvlLbl val="0"/>
      </c:catAx>
      <c:valAx>
        <c:axId val="5175266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1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400" b="0" i="0" u="none" strike="noStrike" baseline="0">
                <a:effectLst/>
              </a:rPr>
              <a:t>Change emissions in comparison to the year </a:t>
            </a:r>
            <a:r>
              <a:rPr lang="de-DE" b="1"/>
              <a:t>2010</a:t>
            </a:r>
          </a:p>
        </c:rich>
      </c:tx>
      <c:layout/>
      <c:overlay val="0"/>
      <c:spPr>
        <a:noFill/>
        <a:ln>
          <a:noFill/>
        </a:ln>
        <a:effectLst/>
      </c:spPr>
    </c:title>
    <c:autoTitleDeleted val="0"/>
    <c:plotArea>
      <c:layout/>
      <c:barChart>
        <c:barDir val="col"/>
        <c:grouping val="clustered"/>
        <c:varyColors val="0"/>
        <c:ser>
          <c:idx val="0"/>
          <c:order val="0"/>
          <c:tx>
            <c:strRef>
              <c:f>graphs!$CC$101</c:f>
              <c:strCache>
                <c:ptCount val="1"/>
                <c:pt idx="0">
                  <c:v>2030</c:v>
                </c:pt>
              </c:strCache>
            </c:strRef>
          </c:tx>
          <c:spPr>
            <a:solidFill>
              <a:schemeClr val="accent1"/>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graphs!$CD$100:$CJ$100</c:f>
              <c:strCache>
                <c:ptCount val="7"/>
                <c:pt idx="0">
                  <c:v>RM-1 const</c:v>
                </c:pt>
                <c:pt idx="1">
                  <c:v>RM-2 exp</c:v>
                </c:pt>
                <c:pt idx="2">
                  <c:v>RM-3 lin</c:v>
                </c:pt>
                <c:pt idx="3">
                  <c:v>RM-4 quadr</c:v>
                </c:pt>
                <c:pt idx="4">
                  <c:v>RM-5 rad</c:v>
                </c:pt>
                <c:pt idx="5">
                  <c:v>RM-6 abs</c:v>
                </c:pt>
                <c:pt idx="6">
                  <c:v>SPM-R</c:v>
                </c:pt>
              </c:strCache>
            </c:strRef>
          </c:cat>
          <c:val>
            <c:numRef>
              <c:f>graphs!$CD$101:$CJ$101</c:f>
              <c:numCache>
                <c:formatCode>0%</c:formatCode>
                <c:ptCount val="7"/>
                <c:pt idx="0">
                  <c:v>-0.54518600961554986</c:v>
                </c:pt>
                <c:pt idx="1">
                  <c:v>-0.24875355585808656</c:v>
                </c:pt>
                <c:pt idx="2">
                  <c:v>-0.36008049637205741</c:v>
                </c:pt>
                <c:pt idx="3">
                  <c:v>-0.24987697642033591</c:v>
                </c:pt>
                <c:pt idx="4">
                  <c:v>-0.43737434412975951</c:v>
                </c:pt>
                <c:pt idx="5">
                  <c:v>-0.33318177639753876</c:v>
                </c:pt>
                <c:pt idx="6">
                  <c:v>-0.71174757358417517</c:v>
                </c:pt>
              </c:numCache>
            </c:numRef>
          </c:val>
          <c:extLst xmlns:c16r2="http://schemas.microsoft.com/office/drawing/2015/06/chart">
            <c:ext xmlns:c16="http://schemas.microsoft.com/office/drawing/2014/chart" uri="{C3380CC4-5D6E-409C-BE32-E72D297353CC}">
              <c16:uniqueId val="{00000000-F7E1-4557-9F2A-734E7EDAA09E}"/>
            </c:ext>
          </c:extLst>
        </c:ser>
        <c:ser>
          <c:idx val="1"/>
          <c:order val="1"/>
          <c:tx>
            <c:strRef>
              <c:f>graphs!$CC$102</c:f>
              <c:strCache>
                <c:ptCount val="1"/>
                <c:pt idx="0">
                  <c:v>2050</c:v>
                </c:pt>
              </c:strCache>
            </c:strRef>
          </c:tx>
          <c:spPr>
            <a:solidFill>
              <a:schemeClr val="accent2"/>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graphs!$CD$100:$CJ$100</c:f>
              <c:strCache>
                <c:ptCount val="7"/>
                <c:pt idx="0">
                  <c:v>RM-1 const</c:v>
                </c:pt>
                <c:pt idx="1">
                  <c:v>RM-2 exp</c:v>
                </c:pt>
                <c:pt idx="2">
                  <c:v>RM-3 lin</c:v>
                </c:pt>
                <c:pt idx="3">
                  <c:v>RM-4 quadr</c:v>
                </c:pt>
                <c:pt idx="4">
                  <c:v>RM-5 rad</c:v>
                </c:pt>
                <c:pt idx="5">
                  <c:v>RM-6 abs</c:v>
                </c:pt>
                <c:pt idx="6">
                  <c:v>SPM-R</c:v>
                </c:pt>
              </c:strCache>
            </c:strRef>
          </c:cat>
          <c:val>
            <c:numRef>
              <c:f>graphs!$CD$102:$CJ$102</c:f>
              <c:numCache>
                <c:formatCode>0%</c:formatCode>
                <c:ptCount val="7"/>
                <c:pt idx="0">
                  <c:v>-0.91037950495624631</c:v>
                </c:pt>
                <c:pt idx="1">
                  <c:v>-1.113801270386455</c:v>
                </c:pt>
                <c:pt idx="2">
                  <c:v>-1.0061590474327231</c:v>
                </c:pt>
                <c:pt idx="3">
                  <c:v>-1.1115996552687</c:v>
                </c:pt>
                <c:pt idx="4">
                  <c:v>-0.959837915519691</c:v>
                </c:pt>
                <c:pt idx="5">
                  <c:v>-1.113801270386455</c:v>
                </c:pt>
                <c:pt idx="6">
                  <c:v>-0.99532991499081036</c:v>
                </c:pt>
              </c:numCache>
            </c:numRef>
          </c:val>
          <c:extLst xmlns:c16r2="http://schemas.microsoft.com/office/drawing/2015/06/chart">
            <c:ext xmlns:c16="http://schemas.microsoft.com/office/drawing/2014/chart" uri="{C3380CC4-5D6E-409C-BE32-E72D297353CC}">
              <c16:uniqueId val="{00000001-F7E1-4557-9F2A-734E7EDAA09E}"/>
            </c:ext>
          </c:extLst>
        </c:ser>
        <c:dLbls>
          <c:showLegendKey val="0"/>
          <c:showVal val="0"/>
          <c:showCatName val="0"/>
          <c:showSerName val="0"/>
          <c:showPercent val="0"/>
          <c:showBubbleSize val="0"/>
        </c:dLbls>
        <c:gapWidth val="219"/>
        <c:overlap val="-27"/>
        <c:axId val="517523464"/>
        <c:axId val="517522288"/>
      </c:barChart>
      <c:catAx>
        <c:axId val="517523464"/>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de-DE"/>
          </a:p>
        </c:txPr>
        <c:crossAx val="517522288"/>
        <c:crosses val="autoZero"/>
        <c:auto val="1"/>
        <c:lblAlgn val="ctr"/>
        <c:lblOffset val="100"/>
        <c:noMultiLvlLbl val="0"/>
      </c:catAx>
      <c:valAx>
        <c:axId val="517522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3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global per capita emissions</a:t>
            </a:r>
          </a:p>
        </c:rich>
      </c:tx>
      <c:layout/>
      <c:overlay val="0"/>
      <c:spPr>
        <a:noFill/>
        <a:ln>
          <a:noFill/>
        </a:ln>
        <a:effectLst/>
      </c:spPr>
    </c:title>
    <c:autoTitleDeleted val="0"/>
    <c:plotArea>
      <c:layout/>
      <c:lineChart>
        <c:grouping val="standard"/>
        <c:varyColors val="0"/>
        <c:ser>
          <c:idx val="0"/>
          <c:order val="0"/>
          <c:tx>
            <c:strRef>
              <c:f>graphs!$CV$8</c:f>
              <c:strCache>
                <c:ptCount val="1"/>
                <c:pt idx="0">
                  <c:v>RM-1 const</c:v>
                </c:pt>
              </c:strCache>
            </c:strRef>
          </c:tx>
          <c:spPr>
            <a:ln w="28575" cap="rnd">
              <a:solidFill>
                <a:schemeClr val="accent1"/>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graphs!$CV$9:$CV$90</c:f>
              <c:numCache>
                <c:formatCode>#,##0.00</c:formatCode>
                <c:ptCount val="82"/>
                <c:pt idx="0">
                  <c:v>5.5380009378986879</c:v>
                </c:pt>
                <c:pt idx="1">
                  <c:v>5.0065509374230635</c:v>
                </c:pt>
                <c:pt idx="2">
                  <c:v>4.5706515052626742</c:v>
                </c:pt>
                <c:pt idx="3">
                  <c:v>4.1737557649919541</c:v>
                </c:pt>
                <c:pt idx="4">
                  <c:v>3.8122411212702159</c:v>
                </c:pt>
                <c:pt idx="5">
                  <c:v>3.4828145203805843</c:v>
                </c:pt>
                <c:pt idx="6">
                  <c:v>3.1825183709932454</c:v>
                </c:pt>
                <c:pt idx="7">
                  <c:v>2.908713707158606</c:v>
                </c:pt>
                <c:pt idx="8">
                  <c:v>2.6590149167558348</c:v>
                </c:pt>
                <c:pt idx="9">
                  <c:v>2.4312362137534484</c:v>
                </c:pt>
                <c:pt idx="10">
                  <c:v>2.2233953341811801</c:v>
                </c:pt>
                <c:pt idx="11">
                  <c:v>2.0336990523520599</c:v>
                </c:pt>
                <c:pt idx="12">
                  <c:v>1.8605232534208249</c:v>
                </c:pt>
                <c:pt idx="13">
                  <c:v>1.7023985202632157</c:v>
                </c:pt>
                <c:pt idx="14">
                  <c:v>1.5579926273422506</c:v>
                </c:pt>
                <c:pt idx="15">
                  <c:v>1.4260955887592444</c:v>
                </c:pt>
                <c:pt idx="16">
                  <c:v>1.3056037044587787</c:v>
                </c:pt>
                <c:pt idx="17">
                  <c:v>1.1955093154192149</c:v>
                </c:pt>
                <c:pt idx="18">
                  <c:v>1.0948934044494565</c:v>
                </c:pt>
                <c:pt idx="19">
                  <c:v>1.0029201850060494</c:v>
                </c:pt>
                <c:pt idx="20">
                  <c:v>0.91882882553056622</c:v>
                </c:pt>
                <c:pt idx="21">
                  <c:v>0.8419280369694212</c:v>
                </c:pt>
                <c:pt idx="22">
                  <c:v>0.77158962860319136</c:v>
                </c:pt>
                <c:pt idx="23">
                  <c:v>0.70724244503579714</c:v>
                </c:pt>
                <c:pt idx="24">
                  <c:v>0.64836617152091902</c:v>
                </c:pt>
                <c:pt idx="25">
                  <c:v>0.5944868521643315</c:v>
                </c:pt>
                <c:pt idx="26">
                  <c:v>0.54517213126958797</c:v>
                </c:pt>
                <c:pt idx="27">
                  <c:v>0.50002733201754435</c:v>
                </c:pt>
                <c:pt idx="28">
                  <c:v>0.45869242906004604</c:v>
                </c:pt>
                <c:pt idx="29">
                  <c:v>0.4208393457450702</c:v>
                </c:pt>
                <c:pt idx="30">
                  <c:v>0.38616881994772534</c:v>
                </c:pt>
                <c:pt idx="31">
                  <c:v>0.35189412247727075</c:v>
                </c:pt>
                <c:pt idx="32">
                  <c:v>0.31799659072325265</c:v>
                </c:pt>
                <c:pt idx="33">
                  <c:v>0.28445828437487358</c:v>
                </c:pt>
                <c:pt idx="34">
                  <c:v>0.25126201499526007</c:v>
                </c:pt>
                <c:pt idx="35">
                  <c:v>0.21839113745279276</c:v>
                </c:pt>
                <c:pt idx="36">
                  <c:v>0.18582934954961045</c:v>
                </c:pt>
                <c:pt idx="37">
                  <c:v>0.15356086593839693</c:v>
                </c:pt>
                <c:pt idx="38">
                  <c:v>0.12157024925829858</c:v>
                </c:pt>
                <c:pt idx="39">
                  <c:v>8.984258164458811E-2</c:v>
                </c:pt>
                <c:pt idx="40">
                  <c:v>5.8363709223822481E-2</c:v>
                </c:pt>
                <c:pt idx="41">
                  <c:v>2.7120369942735714E-2</c:v>
                </c:pt>
                <c:pt idx="42">
                  <c:v>-3.8999419532009414E-3</c:v>
                </c:pt>
                <c:pt idx="43">
                  <c:v>-3.4709214853405231E-2</c:v>
                </c:pt>
                <c:pt idx="44">
                  <c:v>-6.5319000244401001E-2</c:v>
                </c:pt>
                <c:pt idx="45">
                  <c:v>-9.5740431780751492E-2</c:v>
                </c:pt>
                <c:pt idx="46">
                  <c:v>-0.12598424542683759</c:v>
                </c:pt>
                <c:pt idx="47">
                  <c:v>-0.15606073689232022</c:v>
                </c:pt>
                <c:pt idx="48">
                  <c:v>-0.18597979212623786</c:v>
                </c:pt>
                <c:pt idx="49">
                  <c:v>-0.2157509841537274</c:v>
                </c:pt>
                <c:pt idx="50">
                  <c:v>-0.24538355739202058</c:v>
                </c:pt>
                <c:pt idx="51">
                  <c:v>-0.27488643554696779</c:v>
                </c:pt>
                <c:pt idx="52">
                  <c:v>-0.30426821528643644</c:v>
                </c:pt>
                <c:pt idx="53">
                  <c:v>-0.33353713840975524</c:v>
                </c:pt>
                <c:pt idx="54">
                  <c:v>-0.36270108782675631</c:v>
                </c:pt>
                <c:pt idx="55">
                  <c:v>-0.39176759961197793</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extLst xmlns:c16r2="http://schemas.microsoft.com/office/drawing/2015/06/chart">
            <c:ext xmlns:c16="http://schemas.microsoft.com/office/drawing/2014/chart" uri="{C3380CC4-5D6E-409C-BE32-E72D297353CC}">
              <c16:uniqueId val="{00000000-634A-4195-A499-00FDC26F6F03}"/>
            </c:ext>
          </c:extLst>
        </c:ser>
        <c:ser>
          <c:idx val="1"/>
          <c:order val="1"/>
          <c:tx>
            <c:strRef>
              <c:f>graphs!$CW$8</c:f>
              <c:strCache>
                <c:ptCount val="1"/>
                <c:pt idx="0">
                  <c:v>RM-2 exp</c:v>
                </c:pt>
              </c:strCache>
            </c:strRef>
          </c:tx>
          <c:spPr>
            <a:ln w="28575" cap="rnd">
              <a:solidFill>
                <a:schemeClr val="accent2"/>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graphs!$CW$9:$CW$90</c:f>
              <c:numCache>
                <c:formatCode>#,##0.00</c:formatCode>
                <c:ptCount val="82"/>
                <c:pt idx="0">
                  <c:v>5.5380009378986879</c:v>
                </c:pt>
                <c:pt idx="1">
                  <c:v>5.3413433481318746</c:v>
                </c:pt>
                <c:pt idx="2">
                  <c:v>5.1900848659272443</c:v>
                </c:pt>
                <c:pt idx="3">
                  <c:v>5.0306978070743122</c:v>
                </c:pt>
                <c:pt idx="4">
                  <c:v>4.8621840925534965</c:v>
                </c:pt>
                <c:pt idx="5">
                  <c:v>4.6835385647334782</c:v>
                </c:pt>
                <c:pt idx="6">
                  <c:v>4.4938349382793765</c:v>
                </c:pt>
                <c:pt idx="7">
                  <c:v>4.2923001839515544</c:v>
                </c:pt>
                <c:pt idx="8">
                  <c:v>4.0783259123102447</c:v>
                </c:pt>
                <c:pt idx="9">
                  <c:v>3.851491806422199</c:v>
                </c:pt>
                <c:pt idx="10">
                  <c:v>3.6116831956347615</c:v>
                </c:pt>
                <c:pt idx="11">
                  <c:v>3.3591956576419757</c:v>
                </c:pt>
                <c:pt idx="12">
                  <c:v>3.0948376958468864</c:v>
                </c:pt>
                <c:pt idx="13">
                  <c:v>2.8200426604550652</c:v>
                </c:pt>
                <c:pt idx="14">
                  <c:v>2.5369664632875413</c:v>
                </c:pt>
                <c:pt idx="15">
                  <c:v>2.248566773091071</c:v>
                </c:pt>
                <c:pt idx="16">
                  <c:v>1.9586400511980764</c:v>
                </c:pt>
                <c:pt idx="17">
                  <c:v>1.6718046291058262</c:v>
                </c:pt>
                <c:pt idx="18">
                  <c:v>1.3933974781253378</c:v>
                </c:pt>
                <c:pt idx="19">
                  <c:v>1.1292553451149849</c:v>
                </c:pt>
                <c:pt idx="20">
                  <c:v>0.88535460324577808</c:v>
                </c:pt>
                <c:pt idx="21">
                  <c:v>0.66731701889318273</c:v>
                </c:pt>
                <c:pt idx="22">
                  <c:v>0.47980631142177077</c:v>
                </c:pt>
                <c:pt idx="23">
                  <c:v>0.325889887240425</c:v>
                </c:pt>
                <c:pt idx="24">
                  <c:v>0.20648389790830263</c:v>
                </c:pt>
                <c:pt idx="25">
                  <c:v>8.8522749420769292E-2</c:v>
                </c:pt>
                <c:pt idx="26">
                  <c:v>-2.8062726488479472E-2</c:v>
                </c:pt>
                <c:pt idx="27">
                  <c:v>-0.14333974138562858</c:v>
                </c:pt>
                <c:pt idx="28">
                  <c:v>-0.25737322990305517</c:v>
                </c:pt>
                <c:pt idx="29">
                  <c:v>-0.37022600034007996</c:v>
                </c:pt>
                <c:pt idx="30">
                  <c:v>-0.44906469006110433</c:v>
                </c:pt>
                <c:pt idx="31">
                  <c:v>-0.44683973414662931</c:v>
                </c:pt>
                <c:pt idx="32">
                  <c:v>-0.44469153841659359</c:v>
                </c:pt>
                <c:pt idx="33">
                  <c:v>-0.44261813801672784</c:v>
                </c:pt>
                <c:pt idx="34">
                  <c:v>-0.4406178884320287</c:v>
                </c:pt>
                <c:pt idx="35">
                  <c:v>-0.4386892795396462</c:v>
                </c:pt>
                <c:pt idx="36">
                  <c:v>-0.43683057899177669</c:v>
                </c:pt>
                <c:pt idx="37">
                  <c:v>-0.43504009694967122</c:v>
                </c:pt>
                <c:pt idx="38">
                  <c:v>-0.43331563906353454</c:v>
                </c:pt>
                <c:pt idx="39">
                  <c:v>-0.4316544527538641</c:v>
                </c:pt>
                <c:pt idx="40">
                  <c:v>-0.43005353928601153</c:v>
                </c:pt>
                <c:pt idx="41">
                  <c:v>-0.42851026512707235</c:v>
                </c:pt>
                <c:pt idx="42">
                  <c:v>-0.42702272074259945</c:v>
                </c:pt>
                <c:pt idx="43">
                  <c:v>-0.42558943568411306</c:v>
                </c:pt>
                <c:pt idx="44">
                  <c:v>-0.42420886853781348</c:v>
                </c:pt>
                <c:pt idx="45">
                  <c:v>-0.42287960466410141</c:v>
                </c:pt>
                <c:pt idx="46">
                  <c:v>-0.42160026997653038</c:v>
                </c:pt>
                <c:pt idx="47">
                  <c:v>-0.42036937673330671</c:v>
                </c:pt>
                <c:pt idx="48">
                  <c:v>-0.41918548503199965</c:v>
                </c:pt>
                <c:pt idx="49">
                  <c:v>-0.41804735687779748</c:v>
                </c:pt>
                <c:pt idx="50">
                  <c:v>-0.41695380529942494</c:v>
                </c:pt>
                <c:pt idx="51">
                  <c:v>-0.41590367834188041</c:v>
                </c:pt>
                <c:pt idx="52">
                  <c:v>-0.4148958331494717</c:v>
                </c:pt>
                <c:pt idx="53">
                  <c:v>-0.41392909733813177</c:v>
                </c:pt>
                <c:pt idx="54">
                  <c:v>-0.41300227659235433</c:v>
                </c:pt>
                <c:pt idx="55">
                  <c:v>-0.41211417569956599</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extLst xmlns:c16r2="http://schemas.microsoft.com/office/drawing/2015/06/chart">
            <c:ext xmlns:c16="http://schemas.microsoft.com/office/drawing/2014/chart" uri="{C3380CC4-5D6E-409C-BE32-E72D297353CC}">
              <c16:uniqueId val="{00000001-634A-4195-A499-00FDC26F6F03}"/>
            </c:ext>
          </c:extLst>
        </c:ser>
        <c:ser>
          <c:idx val="2"/>
          <c:order val="2"/>
          <c:tx>
            <c:strRef>
              <c:f>graphs!$CX$8</c:f>
              <c:strCache>
                <c:ptCount val="1"/>
                <c:pt idx="0">
                  <c:v>RM-3 lin</c:v>
                </c:pt>
              </c:strCache>
            </c:strRef>
          </c:tx>
          <c:spPr>
            <a:ln w="28575" cap="rnd">
              <a:solidFill>
                <a:schemeClr val="accent3"/>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graphs!$CX$9:$CX$90</c:f>
              <c:numCache>
                <c:formatCode>#,##0.00</c:formatCode>
                <c:ptCount val="82"/>
                <c:pt idx="0">
                  <c:v>5.5380009378986879</c:v>
                </c:pt>
                <c:pt idx="1">
                  <c:v>5.3413433481318746</c:v>
                </c:pt>
                <c:pt idx="2">
                  <c:v>5.1681416615113411</c:v>
                </c:pt>
                <c:pt idx="3">
                  <c:v>4.968683164734192</c:v>
                </c:pt>
                <c:pt idx="4">
                  <c:v>4.7462085995647803</c:v>
                </c:pt>
                <c:pt idx="5">
                  <c:v>4.5042619290952395</c:v>
                </c:pt>
                <c:pt idx="6">
                  <c:v>4.2466439014378334</c:v>
                </c:pt>
                <c:pt idx="7">
                  <c:v>3.9773355583353762</c:v>
                </c:pt>
                <c:pt idx="8">
                  <c:v>3.7003488352871692</c:v>
                </c:pt>
                <c:pt idx="9">
                  <c:v>3.4195844095724208</c:v>
                </c:pt>
                <c:pt idx="10">
                  <c:v>3.1387724002774857</c:v>
                </c:pt>
                <c:pt idx="11">
                  <c:v>2.8613976606341476</c:v>
                </c:pt>
                <c:pt idx="12">
                  <c:v>2.5906271498274993</c:v>
                </c:pt>
                <c:pt idx="13">
                  <c:v>2.3292566644596819</c:v>
                </c:pt>
                <c:pt idx="14">
                  <c:v>2.0796663672419515</c:v>
                </c:pt>
                <c:pt idx="15">
                  <c:v>1.8437941164094898</c:v>
                </c:pt>
                <c:pt idx="16">
                  <c:v>1.6231222183838661</c:v>
                </c:pt>
                <c:pt idx="17">
                  <c:v>1.4186859366391418</c:v>
                </c:pt>
                <c:pt idx="18">
                  <c:v>1.2310975951593637</c:v>
                </c:pt>
                <c:pt idx="19">
                  <c:v>1.0605823834722548</c:v>
                </c:pt>
                <c:pt idx="20">
                  <c:v>0.90701796596797091</c:v>
                </c:pt>
                <c:pt idx="21">
                  <c:v>0.76998235217420752</c:v>
                </c:pt>
                <c:pt idx="22">
                  <c:v>0.64880328552826672</c:v>
                </c:pt>
                <c:pt idx="23">
                  <c:v>0.54260882273413391</c:v>
                </c:pt>
                <c:pt idx="24">
                  <c:v>0.45037684793923216</c:v>
                </c:pt>
                <c:pt idx="25">
                  <c:v>0.3709832695215326</c:v>
                </c:pt>
                <c:pt idx="26">
                  <c:v>0.30324576068366593</c:v>
                </c:pt>
                <c:pt idx="27">
                  <c:v>0.23630857731493041</c:v>
                </c:pt>
                <c:pt idx="28">
                  <c:v>0.17013340914556016</c:v>
                </c:pt>
                <c:pt idx="29">
                  <c:v>0.10468332534427645</c:v>
                </c:pt>
                <c:pt idx="30">
                  <c:v>3.9922571288034413E-2</c:v>
                </c:pt>
                <c:pt idx="31">
                  <c:v>-2.4183448111683367E-2</c:v>
                </c:pt>
                <c:pt idx="32">
                  <c:v>-8.7668161977870529E-2</c:v>
                </c:pt>
                <c:pt idx="33">
                  <c:v>-0.15056383727541353</c:v>
                </c:pt>
                <c:pt idx="34">
                  <c:v>-0.212901771678738</c:v>
                </c:pt>
                <c:pt idx="35">
                  <c:v>-0.27471240620843657</c:v>
                </c:pt>
                <c:pt idx="36">
                  <c:v>-0.33602514701472203</c:v>
                </c:pt>
                <c:pt idx="37">
                  <c:v>-0.3968684479668802</c:v>
                </c:pt>
                <c:pt idx="38">
                  <c:v>-0.43331563906353454</c:v>
                </c:pt>
                <c:pt idx="39">
                  <c:v>-0.4316544527538641</c:v>
                </c:pt>
                <c:pt idx="40">
                  <c:v>-0.43005353928601153</c:v>
                </c:pt>
                <c:pt idx="41">
                  <c:v>-0.42851026512707235</c:v>
                </c:pt>
                <c:pt idx="42">
                  <c:v>-0.42702272074259945</c:v>
                </c:pt>
                <c:pt idx="43">
                  <c:v>-0.42558943568411306</c:v>
                </c:pt>
                <c:pt idx="44">
                  <c:v>-0.42420886853781348</c:v>
                </c:pt>
                <c:pt idx="45">
                  <c:v>-0.42287960466410141</c:v>
                </c:pt>
                <c:pt idx="46">
                  <c:v>-0.42160026997653038</c:v>
                </c:pt>
                <c:pt idx="47">
                  <c:v>-0.42036937673330671</c:v>
                </c:pt>
                <c:pt idx="48">
                  <c:v>-0.41918548503199965</c:v>
                </c:pt>
                <c:pt idx="49">
                  <c:v>-0.41804735687779748</c:v>
                </c:pt>
                <c:pt idx="50">
                  <c:v>-0.41695380529942494</c:v>
                </c:pt>
                <c:pt idx="51">
                  <c:v>-0.41590367834188041</c:v>
                </c:pt>
                <c:pt idx="52">
                  <c:v>-0.4148958331494717</c:v>
                </c:pt>
                <c:pt idx="53">
                  <c:v>-0.41392909733813177</c:v>
                </c:pt>
                <c:pt idx="54">
                  <c:v>-0.41300227659235433</c:v>
                </c:pt>
                <c:pt idx="55">
                  <c:v>-0.41211417569956599</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extLst xmlns:c16r2="http://schemas.microsoft.com/office/drawing/2015/06/chart">
            <c:ext xmlns:c16="http://schemas.microsoft.com/office/drawing/2014/chart" uri="{C3380CC4-5D6E-409C-BE32-E72D297353CC}">
              <c16:uniqueId val="{00000002-634A-4195-A499-00FDC26F6F03}"/>
            </c:ext>
          </c:extLst>
        </c:ser>
        <c:ser>
          <c:idx val="3"/>
          <c:order val="3"/>
          <c:tx>
            <c:strRef>
              <c:f>graphs!$CY$8</c:f>
              <c:strCache>
                <c:ptCount val="1"/>
                <c:pt idx="0">
                  <c:v>RM-4 quadr</c:v>
                </c:pt>
              </c:strCache>
            </c:strRef>
          </c:tx>
          <c:spPr>
            <a:ln w="28575" cap="rnd">
              <a:solidFill>
                <a:schemeClr val="accent4"/>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graphs!$CY$9:$CY$90</c:f>
              <c:numCache>
                <c:formatCode>#,##0.00</c:formatCode>
                <c:ptCount val="82"/>
                <c:pt idx="0">
                  <c:v>5.5380009378986879</c:v>
                </c:pt>
                <c:pt idx="1">
                  <c:v>5.3413433481318746</c:v>
                </c:pt>
                <c:pt idx="2">
                  <c:v>5.199568004107884</c:v>
                </c:pt>
                <c:pt idx="3">
                  <c:v>5.0546261576515885</c:v>
                </c:pt>
                <c:pt idx="4">
                  <c:v>4.901608395739097</c:v>
                </c:pt>
                <c:pt idx="5">
                  <c:v>4.736223663206621</c:v>
                </c:pt>
                <c:pt idx="6">
                  <c:v>4.5549360698000401</c:v>
                </c:pt>
                <c:pt idx="7">
                  <c:v>4.3551106152923431</c:v>
                </c:pt>
                <c:pt idx="8">
                  <c:v>4.1350975762786195</c:v>
                </c:pt>
                <c:pt idx="9">
                  <c:v>3.8943121838882315</c:v>
                </c:pt>
                <c:pt idx="10">
                  <c:v>3.6333733541829161</c:v>
                </c:pt>
                <c:pt idx="11">
                  <c:v>3.3541722868109507</c:v>
                </c:pt>
                <c:pt idx="12">
                  <c:v>3.0598643520261679</c:v>
                </c:pt>
                <c:pt idx="13">
                  <c:v>2.7547842258853934</c:v>
                </c:pt>
                <c:pt idx="14">
                  <c:v>2.4442599312632778</c:v>
                </c:pt>
                <c:pt idx="15">
                  <c:v>2.1343350401827292</c:v>
                </c:pt>
                <c:pt idx="16">
                  <c:v>1.8314060639500771</c:v>
                </c:pt>
                <c:pt idx="17">
                  <c:v>1.5418106142670263</c:v>
                </c:pt>
                <c:pt idx="18">
                  <c:v>1.2713963118075444</c:v>
                </c:pt>
                <c:pt idx="19">
                  <c:v>1.0251114192923747</c:v>
                </c:pt>
                <c:pt idx="20">
                  <c:v>0.80665788793296844</c:v>
                </c:pt>
                <c:pt idx="21">
                  <c:v>0.61825695019054172</c:v>
                </c:pt>
                <c:pt idx="22">
                  <c:v>0.4605537402600367</c:v>
                </c:pt>
                <c:pt idx="23">
                  <c:v>0.33267601851459544</c:v>
                </c:pt>
                <c:pt idx="24">
                  <c:v>0.23243783122745126</c:v>
                </c:pt>
                <c:pt idx="25">
                  <c:v>0.13341990291678188</c:v>
                </c:pt>
                <c:pt idx="26">
                  <c:v>3.556414415166418E-2</c:v>
                </c:pt>
                <c:pt idx="27">
                  <c:v>-6.118594309228545E-2</c:v>
                </c:pt>
                <c:pt idx="28">
                  <c:v>-0.15688496931888085</c:v>
                </c:pt>
                <c:pt idx="29">
                  <c:v>-0.25158573365561077</c:v>
                </c:pt>
                <c:pt idx="30">
                  <c:v>-0.34533931449740696</c:v>
                </c:pt>
                <c:pt idx="31">
                  <c:v>-0.43819511084347901</c:v>
                </c:pt>
                <c:pt idx="32">
                  <c:v>-0.44469153841659359</c:v>
                </c:pt>
                <c:pt idx="33">
                  <c:v>-0.44261813801672784</c:v>
                </c:pt>
                <c:pt idx="34">
                  <c:v>-0.4406178884320287</c:v>
                </c:pt>
                <c:pt idx="35">
                  <c:v>-0.4386892795396462</c:v>
                </c:pt>
                <c:pt idx="36">
                  <c:v>-0.43683057899177669</c:v>
                </c:pt>
                <c:pt idx="37">
                  <c:v>-0.43504009694967122</c:v>
                </c:pt>
                <c:pt idx="38">
                  <c:v>-0.43331563906353454</c:v>
                </c:pt>
                <c:pt idx="39">
                  <c:v>-0.4316544527538641</c:v>
                </c:pt>
                <c:pt idx="40">
                  <c:v>-0.43005353928601153</c:v>
                </c:pt>
                <c:pt idx="41">
                  <c:v>-0.42851026512707235</c:v>
                </c:pt>
                <c:pt idx="42">
                  <c:v>-0.42702272074259945</c:v>
                </c:pt>
                <c:pt idx="43">
                  <c:v>-0.42558943568411306</c:v>
                </c:pt>
                <c:pt idx="44">
                  <c:v>-0.42420886853781348</c:v>
                </c:pt>
                <c:pt idx="45">
                  <c:v>-0.42287960466410141</c:v>
                </c:pt>
                <c:pt idx="46">
                  <c:v>-0.42160026997653038</c:v>
                </c:pt>
                <c:pt idx="47">
                  <c:v>-0.42036937673330671</c:v>
                </c:pt>
                <c:pt idx="48">
                  <c:v>-0.41918548503199965</c:v>
                </c:pt>
                <c:pt idx="49">
                  <c:v>-0.41804735687779748</c:v>
                </c:pt>
                <c:pt idx="50">
                  <c:v>-0.41695380529942494</c:v>
                </c:pt>
                <c:pt idx="51">
                  <c:v>-0.41590367834188041</c:v>
                </c:pt>
                <c:pt idx="52">
                  <c:v>-0.4148958331494717</c:v>
                </c:pt>
                <c:pt idx="53">
                  <c:v>-0.41392909733813177</c:v>
                </c:pt>
                <c:pt idx="54">
                  <c:v>-0.41300227659235433</c:v>
                </c:pt>
                <c:pt idx="55">
                  <c:v>-0.41211417569956599</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extLst xmlns:c16r2="http://schemas.microsoft.com/office/drawing/2015/06/chart">
            <c:ext xmlns:c16="http://schemas.microsoft.com/office/drawing/2014/chart" uri="{C3380CC4-5D6E-409C-BE32-E72D297353CC}">
              <c16:uniqueId val="{00000003-634A-4195-A499-00FDC26F6F03}"/>
            </c:ext>
          </c:extLst>
        </c:ser>
        <c:ser>
          <c:idx val="5"/>
          <c:order val="4"/>
          <c:tx>
            <c:strRef>
              <c:f>graphs!$CZ$8</c:f>
              <c:strCache>
                <c:ptCount val="1"/>
                <c:pt idx="0">
                  <c:v>RM-5 rad</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graphs!$CZ$9:$CZ$90</c:f>
              <c:numCache>
                <c:formatCode>#,##0.00</c:formatCode>
                <c:ptCount val="82"/>
                <c:pt idx="0">
                  <c:v>5.5380009378986879</c:v>
                </c:pt>
                <c:pt idx="1">
                  <c:v>5.3413433481318746</c:v>
                </c:pt>
                <c:pt idx="2">
                  <c:v>5.1178654534039936</c:v>
                </c:pt>
                <c:pt idx="3">
                  <c:v>4.8456804812724448</c:v>
                </c:pt>
                <c:pt idx="4">
                  <c:v>4.5504127299651485</c:v>
                </c:pt>
                <c:pt idx="5">
                  <c:v>4.244570801770557</c:v>
                </c:pt>
                <c:pt idx="6">
                  <c:v>3.9362983250768075</c:v>
                </c:pt>
                <c:pt idx="7">
                  <c:v>3.6314252280430681</c:v>
                </c:pt>
                <c:pt idx="8">
                  <c:v>3.3342343519591089</c:v>
                </c:pt>
                <c:pt idx="9">
                  <c:v>3.0478455816331924</c:v>
                </c:pt>
                <c:pt idx="10">
                  <c:v>2.774506581190141</c:v>
                </c:pt>
                <c:pt idx="11">
                  <c:v>2.5157785102544294</c:v>
                </c:pt>
                <c:pt idx="12">
                  <c:v>2.2726671586075069</c:v>
                </c:pt>
                <c:pt idx="13">
                  <c:v>2.0457304002308856</c:v>
                </c:pt>
                <c:pt idx="14">
                  <c:v>1.8351605544327518</c:v>
                </c:pt>
                <c:pt idx="15">
                  <c:v>1.6408541802248362</c:v>
                </c:pt>
                <c:pt idx="16">
                  <c:v>1.4624685525209649</c:v>
                </c:pt>
                <c:pt idx="17">
                  <c:v>1.2994748939652987</c:v>
                </c:pt>
                <c:pt idx="18">
                  <c:v>1.1512059178978835</c:v>
                </c:pt>
                <c:pt idx="19">
                  <c:v>1.0168973934796546</c:v>
                </c:pt>
                <c:pt idx="20">
                  <c:v>0.89571949442862264</c:v>
                </c:pt>
                <c:pt idx="21">
                  <c:v>0.78680498569819002</c:v>
                </c:pt>
                <c:pt idx="22">
                  <c:v>0.68927085217237338</c:v>
                </c:pt>
                <c:pt idx="23">
                  <c:v>0.60223565764043607</c:v>
                </c:pt>
                <c:pt idx="24">
                  <c:v>0.52483285122855139</c:v>
                </c:pt>
                <c:pt idx="25">
                  <c:v>0.4562221495337675</c:v>
                </c:pt>
                <c:pt idx="26">
                  <c:v>0.39559765203133573</c:v>
                </c:pt>
                <c:pt idx="27">
                  <c:v>0.34219407573994343</c:v>
                </c:pt>
                <c:pt idx="28">
                  <c:v>0.29529138936622396</c:v>
                </c:pt>
                <c:pt idx="29">
                  <c:v>0.24892443514560755</c:v>
                </c:pt>
                <c:pt idx="30">
                  <c:v>0.20306759910842759</c:v>
                </c:pt>
                <c:pt idx="31">
                  <c:v>0.15769608802268464</c:v>
                </c:pt>
                <c:pt idx="32">
                  <c:v>0.11278586386836817</c:v>
                </c:pt>
                <c:pt idx="33">
                  <c:v>6.8313759520818113E-2</c:v>
                </c:pt>
                <c:pt idx="34">
                  <c:v>2.4257405829122305E-2</c:v>
                </c:pt>
                <c:pt idx="35">
                  <c:v>-1.9404919186372608E-2</c:v>
                </c:pt>
                <c:pt idx="36">
                  <c:v>-6.2694305869041497E-2</c:v>
                </c:pt>
                <c:pt idx="37">
                  <c:v>-0.10563116688522463</c:v>
                </c:pt>
                <c:pt idx="38">
                  <c:v>-0.14823507119442544</c:v>
                </c:pt>
                <c:pt idx="39">
                  <c:v>-0.19052446988188629</c:v>
                </c:pt>
                <c:pt idx="40">
                  <c:v>-0.23251658776280204</c:v>
                </c:pt>
                <c:pt idx="41">
                  <c:v>-0.27422769242374923</c:v>
                </c:pt>
                <c:pt idx="42">
                  <c:v>-0.31567354075958598</c:v>
                </c:pt>
                <c:pt idx="43">
                  <c:v>-0.35686949948401625</c:v>
                </c:pt>
                <c:pt idx="44">
                  <c:v>-0.39783028477250132</c:v>
                </c:pt>
                <c:pt idx="45">
                  <c:v>-0.42287960466410141</c:v>
                </c:pt>
                <c:pt idx="46">
                  <c:v>-0.42160026997653038</c:v>
                </c:pt>
                <c:pt idx="47">
                  <c:v>-0.42036937673330671</c:v>
                </c:pt>
                <c:pt idx="48">
                  <c:v>-0.41918548503199965</c:v>
                </c:pt>
                <c:pt idx="49">
                  <c:v>-0.41804735687779748</c:v>
                </c:pt>
                <c:pt idx="50">
                  <c:v>-0.41695380529942494</c:v>
                </c:pt>
                <c:pt idx="51">
                  <c:v>-0.41590367834188041</c:v>
                </c:pt>
                <c:pt idx="52">
                  <c:v>-0.4148958331494717</c:v>
                </c:pt>
                <c:pt idx="53">
                  <c:v>-0.41392909733813177</c:v>
                </c:pt>
                <c:pt idx="54">
                  <c:v>-0.41300227659235433</c:v>
                </c:pt>
                <c:pt idx="55">
                  <c:v>-0.41211417569956599</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ser>
        <c:ser>
          <c:idx val="6"/>
          <c:order val="5"/>
          <c:tx>
            <c:strRef>
              <c:f>graphs!$DA$8</c:f>
              <c:strCache>
                <c:ptCount val="1"/>
                <c:pt idx="0">
                  <c:v>RM-6 abs</c:v>
                </c:pt>
              </c:strCache>
            </c:strRef>
          </c:tx>
          <c:spPr>
            <a:ln>
              <a:solidFill>
                <a:schemeClr val="tx1">
                  <a:lumMod val="50000"/>
                  <a:lumOff val="50000"/>
                </a:schemeClr>
              </a:solidFill>
            </a:ln>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graphs!$DA$9:$DA$90</c:f>
              <c:numCache>
                <c:formatCode>#,##0.00</c:formatCode>
                <c:ptCount val="82"/>
                <c:pt idx="0">
                  <c:v>5.5380009378986879</c:v>
                </c:pt>
                <c:pt idx="1">
                  <c:v>5.231992874162545</c:v>
                </c:pt>
                <c:pt idx="2">
                  <c:v>4.9845269757889765</c:v>
                </c:pt>
                <c:pt idx="3">
                  <c:v>4.742752411522936</c:v>
                </c:pt>
                <c:pt idx="4">
                  <c:v>4.5063714130325092</c:v>
                </c:pt>
                <c:pt idx="5">
                  <c:v>4.2750784283914385</c:v>
                </c:pt>
                <c:pt idx="6">
                  <c:v>4.0486071609284364</c:v>
                </c:pt>
                <c:pt idx="7">
                  <c:v>3.8267539937591137</c:v>
                </c:pt>
                <c:pt idx="8">
                  <c:v>3.609334657431059</c:v>
                </c:pt>
                <c:pt idx="9">
                  <c:v>3.3961433225016022</c:v>
                </c:pt>
                <c:pt idx="10">
                  <c:v>3.1869834860970587</c:v>
                </c:pt>
                <c:pt idx="11">
                  <c:v>2.9816751861241206</c:v>
                </c:pt>
                <c:pt idx="12">
                  <c:v>2.7800521341359881</c:v>
                </c:pt>
                <c:pt idx="13">
                  <c:v>2.5819639368355936</c:v>
                </c:pt>
                <c:pt idx="14">
                  <c:v>2.387271042548599</c:v>
                </c:pt>
                <c:pt idx="15">
                  <c:v>2.1958407225846641</c:v>
                </c:pt>
                <c:pt idx="16">
                  <c:v>2.0075392181913219</c:v>
                </c:pt>
                <c:pt idx="17">
                  <c:v>1.8222310500876255</c:v>
                </c:pt>
                <c:pt idx="18">
                  <c:v>1.6397816988509946</c:v>
                </c:pt>
                <c:pt idx="19">
                  <c:v>1.4600622441923337</c:v>
                </c:pt>
                <c:pt idx="20">
                  <c:v>1.2829484623630936</c:v>
                </c:pt>
                <c:pt idx="21">
                  <c:v>1.1083230099351249</c:v>
                </c:pt>
                <c:pt idx="22">
                  <c:v>0.9360747882253998</c:v>
                </c:pt>
                <c:pt idx="23">
                  <c:v>0.76609781055036685</c:v>
                </c:pt>
                <c:pt idx="24">
                  <c:v>0.59828934506981779</c:v>
                </c:pt>
                <c:pt idx="25">
                  <c:v>0.43254973562314591</c:v>
                </c:pt>
                <c:pt idx="26">
                  <c:v>0.26878164818144817</c:v>
                </c:pt>
                <c:pt idx="27">
                  <c:v>0.10689023170804828</c:v>
                </c:pt>
                <c:pt idx="28">
                  <c:v>-5.3216289546730133E-2</c:v>
                </c:pt>
                <c:pt idx="29">
                  <c:v>-0.21162656556431944</c:v>
                </c:pt>
                <c:pt idx="30">
                  <c:v>-0.36842637776723036</c:v>
                </c:pt>
                <c:pt idx="31">
                  <c:v>-0.44683973414662931</c:v>
                </c:pt>
                <c:pt idx="32">
                  <c:v>-0.44469153841659359</c:v>
                </c:pt>
                <c:pt idx="33">
                  <c:v>-0.44261813801672784</c:v>
                </c:pt>
                <c:pt idx="34">
                  <c:v>-0.4406178884320287</c:v>
                </c:pt>
                <c:pt idx="35">
                  <c:v>-0.4386892795396462</c:v>
                </c:pt>
                <c:pt idx="36">
                  <c:v>-0.43683057899177669</c:v>
                </c:pt>
                <c:pt idx="37">
                  <c:v>-0.43504009694967122</c:v>
                </c:pt>
                <c:pt idx="38">
                  <c:v>-0.43331563906353454</c:v>
                </c:pt>
                <c:pt idx="39">
                  <c:v>-0.4316544527538641</c:v>
                </c:pt>
                <c:pt idx="40">
                  <c:v>-0.43005353928601153</c:v>
                </c:pt>
                <c:pt idx="41">
                  <c:v>-0.42851026512707235</c:v>
                </c:pt>
                <c:pt idx="42">
                  <c:v>-0.42702272074259945</c:v>
                </c:pt>
                <c:pt idx="43">
                  <c:v>-0.42558943568411306</c:v>
                </c:pt>
                <c:pt idx="44">
                  <c:v>-0.42420886853781348</c:v>
                </c:pt>
                <c:pt idx="45">
                  <c:v>-0.42287960466410141</c:v>
                </c:pt>
                <c:pt idx="46">
                  <c:v>-0.42160026997653038</c:v>
                </c:pt>
                <c:pt idx="47">
                  <c:v>-0.42036937673330671</c:v>
                </c:pt>
                <c:pt idx="48">
                  <c:v>-0.41918548503199965</c:v>
                </c:pt>
                <c:pt idx="49">
                  <c:v>-0.41804735687779748</c:v>
                </c:pt>
                <c:pt idx="50">
                  <c:v>-0.41695380529942494</c:v>
                </c:pt>
                <c:pt idx="51">
                  <c:v>-0.41590367834188041</c:v>
                </c:pt>
                <c:pt idx="52">
                  <c:v>-0.4148958331494717</c:v>
                </c:pt>
                <c:pt idx="53">
                  <c:v>-0.41392909733813177</c:v>
                </c:pt>
                <c:pt idx="54">
                  <c:v>-0.41300227659235433</c:v>
                </c:pt>
                <c:pt idx="55">
                  <c:v>-0.41211417569956599</c:v>
                </c:pt>
                <c:pt idx="56">
                  <c:v>-0.41126367481488102</c:v>
                </c:pt>
                <c:pt idx="57">
                  <c:v>-0.41044969219470817</c:v>
                </c:pt>
                <c:pt idx="58">
                  <c:v>-0.40967131961440889</c:v>
                </c:pt>
                <c:pt idx="59">
                  <c:v>-0.4089278288137877</c:v>
                </c:pt>
                <c:pt idx="60">
                  <c:v>-0.40821863507440415</c:v>
                </c:pt>
                <c:pt idx="61">
                  <c:v>-0.40754303226687932</c:v>
                </c:pt>
                <c:pt idx="62">
                  <c:v>-0.4069003958745831</c:v>
                </c:pt>
                <c:pt idx="63">
                  <c:v>-0.4062897605754755</c:v>
                </c:pt>
                <c:pt idx="64">
                  <c:v>-0.40570973655936077</c:v>
                </c:pt>
                <c:pt idx="65">
                  <c:v>-0.40515872898775418</c:v>
                </c:pt>
                <c:pt idx="66">
                  <c:v>-0.40463547652243254</c:v>
                </c:pt>
                <c:pt idx="67">
                  <c:v>-0.40413930761311961</c:v>
                </c:pt>
                <c:pt idx="68">
                  <c:v>-0.40366998663723264</c:v>
                </c:pt>
                <c:pt idx="69">
                  <c:v>-0.40322721486880642</c:v>
                </c:pt>
                <c:pt idx="70">
                  <c:v>-0.40281089599451109</c:v>
                </c:pt>
                <c:pt idx="71">
                  <c:v>-0.40242097189374981</c:v>
                </c:pt>
                <c:pt idx="72">
                  <c:v>-0.40205740690561037</c:v>
                </c:pt>
                <c:pt idx="73">
                  <c:v>-0.4017201858572052</c:v>
                </c:pt>
                <c:pt idx="74">
                  <c:v>-0.40140937415048711</c:v>
                </c:pt>
                <c:pt idx="75">
                  <c:v>-0.40112511533806333</c:v>
                </c:pt>
                <c:pt idx="76">
                  <c:v>-0.40086769528542576</c:v>
                </c:pt>
                <c:pt idx="77">
                  <c:v>-0.40063754792143252</c:v>
                </c:pt>
                <c:pt idx="78">
                  <c:v>-0.40043525238876759</c:v>
                </c:pt>
                <c:pt idx="79">
                  <c:v>-0.40026154661057195</c:v>
                </c:pt>
                <c:pt idx="80">
                  <c:v>-0.40011731336609185</c:v>
                </c:pt>
                <c:pt idx="81">
                  <c:v>-0.40000359293342208</c:v>
                </c:pt>
              </c:numCache>
            </c:numRef>
          </c:val>
          <c:smooth val="0"/>
        </c:ser>
        <c:dLbls>
          <c:showLegendKey val="0"/>
          <c:showVal val="0"/>
          <c:showCatName val="0"/>
          <c:showSerName val="0"/>
          <c:showPercent val="0"/>
          <c:showBubbleSize val="0"/>
        </c:dLbls>
        <c:smooth val="0"/>
        <c:axId val="517524248"/>
        <c:axId val="517521504"/>
        <c:extLst>
          <c:ext xmlns:c15="http://schemas.microsoft.com/office/drawing/2012/chart" uri="{02D57815-91ED-43cb-92C2-25804820EDAC}">
            <c15:filteredLineSeries>
              <c15:ser>
                <c:idx val="4"/>
                <c:order val="6"/>
                <c:tx>
                  <c:strRef>
                    <c:extLst>
                      <c:ext uri="{02D57815-91ED-43cb-92C2-25804820EDAC}">
                        <c15:formulaRef>
                          <c15:sqref>graphs!$DB$8</c15:sqref>
                        </c15:formulaRef>
                      </c:ext>
                    </c:extLst>
                    <c:strCache>
                      <c:ptCount val="1"/>
                      <c:pt idx="0">
                        <c:v>SPM-R</c:v>
                      </c:pt>
                    </c:strCache>
                  </c:strRef>
                </c:tx>
                <c:spPr>
                  <a:ln>
                    <a:solidFill>
                      <a:schemeClr val="tx1">
                        <a:lumMod val="65000"/>
                        <a:lumOff val="35000"/>
                      </a:schemeClr>
                    </a:solidFill>
                  </a:ln>
                </c:spPr>
                <c:marker>
                  <c:symbol val="none"/>
                </c:marker>
                <c:cat>
                  <c:numRef>
                    <c:extLst>
                      <c:ex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c:ext uri="{02D57815-91ED-43cb-92C2-25804820EDAC}">
                        <c15:formulaRef>
                          <c15:sqref>graphs!$DB$9:$DB$90</c15:sqref>
                        </c15:formulaRef>
                      </c:ext>
                    </c:extLst>
                    <c:numCache>
                      <c:formatCode>#,##0.00</c:formatCode>
                      <c:ptCount val="82"/>
                      <c:pt idx="0">
                        <c:v>5.5380009378986879</c:v>
                      </c:pt>
                      <c:pt idx="1">
                        <c:v>5.3669557393710878</c:v>
                      </c:pt>
                      <c:pt idx="2">
                        <c:v>5.0455128133898501</c:v>
                      </c:pt>
                      <c:pt idx="3">
                        <c:v>4.5917051380405063</c:v>
                      </c:pt>
                      <c:pt idx="4">
                        <c:v>4.0829484857561358</c:v>
                      </c:pt>
                      <c:pt idx="5">
                        <c:v>3.5680350697422973</c:v>
                      </c:pt>
                      <c:pt idx="6">
                        <c:v>3.0762667050617409</c:v>
                      </c:pt>
                      <c:pt idx="7">
                        <c:v>2.62387020832365</c:v>
                      </c:pt>
                      <c:pt idx="8">
                        <c:v>2.2184380632099239</c:v>
                      </c:pt>
                      <c:pt idx="9">
                        <c:v>1.8620166943835716</c:v>
                      </c:pt>
                      <c:pt idx="10">
                        <c:v>1.5532685415938485</c:v>
                      </c:pt>
                      <c:pt idx="11">
                        <c:v>1.2889196437086718</c:v>
                      </c:pt>
                      <c:pt idx="12">
                        <c:v>1.0647153102085376</c:v>
                      </c:pt>
                      <c:pt idx="13">
                        <c:v>0.87604049855954269</c:v>
                      </c:pt>
                      <c:pt idx="14">
                        <c:v>0.71830461445934102</c:v>
                      </c:pt>
                      <c:pt idx="15">
                        <c:v>0.58716941298138003</c:v>
                      </c:pt>
                      <c:pt idx="16">
                        <c:v>0.47867059777993848</c:v>
                      </c:pt>
                      <c:pt idx="17">
                        <c:v>0.38927249438726241</c:v>
                      </c:pt>
                      <c:pt idx="18">
                        <c:v>0.3158788606102686</c:v>
                      </c:pt>
                      <c:pt idx="19">
                        <c:v>0.25581664866247456</c:v>
                      </c:pt>
                      <c:pt idx="20">
                        <c:v>0.20680332660169568</c:v>
                      </c:pt>
                      <c:pt idx="21">
                        <c:v>0.16690757420455452</c:v>
                      </c:pt>
                      <c:pt idx="22">
                        <c:v>0.13450726360769436</c:v>
                      </c:pt>
                      <c:pt idx="23">
                        <c:v>0.10824835833886315</c:v>
                      </c:pt>
                      <c:pt idx="24">
                        <c:v>8.7006455427568158E-2</c:v>
                      </c:pt>
                      <c:pt idx="25">
                        <c:v>6.9852162919584751E-2</c:v>
                      </c:pt>
                      <c:pt idx="26">
                        <c:v>5.602029786092938E-2</c:v>
                      </c:pt>
                      <c:pt idx="27">
                        <c:v>4.4883092513494233E-2</c:v>
                      </c:pt>
                      <c:pt idx="28">
                        <c:v>3.5927165531704421E-2</c:v>
                      </c:pt>
                      <c:pt idx="29">
                        <c:v>2.873387278313743E-2</c:v>
                      </c:pt>
                      <c:pt idx="30">
                        <c:v>2.2962646277379598E-2</c:v>
                      </c:pt>
                      <c:pt idx="31">
                        <c:v>1.8337049638040077E-2</c:v>
                      </c:pt>
                      <c:pt idx="32">
                        <c:v>1.4633145146079439E-2</c:v>
                      </c:pt>
                      <c:pt idx="33">
                        <c:v>1.166986440003975E-2</c:v>
                      </c:pt>
                      <c:pt idx="34">
                        <c:v>9.3010438596773139E-3</c:v>
                      </c:pt>
                      <c:pt idx="35">
                        <c:v>7.4088669640174449E-3</c:v>
                      </c:pt>
                      <c:pt idx="36">
                        <c:v>5.8984922595278462E-3</c:v>
                      </c:pt>
                      <c:pt idx="37">
                        <c:v>4.693675383180578E-3</c:v>
                      </c:pt>
                      <c:pt idx="38">
                        <c:v>3.7331891498495469E-3</c:v>
                      </c:pt>
                      <c:pt idx="39">
                        <c:v>2.9679211476958001E-3</c:v>
                      </c:pt>
                      <c:pt idx="40">
                        <c:v>2.3585194851514788E-3</c:v>
                      </c:pt>
                      <c:pt idx="41">
                        <c:v>1.8734847738496666E-3</c:v>
                      </c:pt>
                      <c:pt idx="42">
                        <c:v>1.4876242770990411E-3</c:v>
                      </c:pt>
                      <c:pt idx="43">
                        <c:v>1.180802551299872E-3</c:v>
                      </c:pt>
                      <c:pt idx="44">
                        <c:v>9.3693633042806162E-4</c:v>
                      </c:pt>
                      <c:pt idx="45">
                        <c:v>7.4318857161703548E-4</c:v>
                      </c:pt>
                      <c:pt idx="46">
                        <c:v>5.8931974119998804E-4</c:v>
                      </c:pt>
                      <c:pt idx="47">
                        <c:v>4.6716708931822095E-4</c:v>
                      </c:pt>
                      <c:pt idx="48">
                        <c:v>3.7022745602603344E-4</c:v>
                      </c:pt>
                      <c:pt idx="49">
                        <c:v>2.9332276277051119E-4</c:v>
                      </c:pt>
                      <c:pt idx="50">
                        <c:v>2.3233196259123283E-4</c:v>
                      </c:pt>
                      <c:pt idx="51">
                        <c:v>1.8397684411189242E-4</c:v>
                      </c:pt>
                      <c:pt idx="52">
                        <c:v>1.4565084461138429E-4</c:v>
                      </c:pt>
                      <c:pt idx="53">
                        <c:v>1.1528233671542113E-4</c:v>
                      </c:pt>
                      <c:pt idx="54">
                        <c:v>9.1225534988894475E-5</c:v>
                      </c:pt>
                      <c:pt idx="55">
                        <c:v>7.2173478785650451E-5</c:v>
                      </c:pt>
                      <c:pt idx="56">
                        <c:v>5.7088671922950926E-5</c:v>
                      </c:pt>
                      <c:pt idx="57">
                        <c:v>4.5147804013599269E-5</c:v>
                      </c:pt>
                      <c:pt idx="58">
                        <c:v>3.5697761256730471E-5</c:v>
                      </c:pt>
                      <c:pt idx="59">
                        <c:v>2.8220599722349443E-5</c:v>
                      </c:pt>
                      <c:pt idx="60">
                        <c:v>2.2305687479165014E-5</c:v>
                      </c:pt>
                      <c:pt idx="61">
                        <c:v>1.7627551795821789E-5</c:v>
                      </c:pt>
                      <c:pt idx="62">
                        <c:v>1.392830308320314E-5</c:v>
                      </c:pt>
                      <c:pt idx="63">
                        <c:v>1.1003643841829388E-5</c:v>
                      </c:pt>
                      <c:pt idx="64">
                        <c:v>8.6917779836286304E-6</c:v>
                      </c:pt>
                      <c:pt idx="65">
                        <c:v>6.8646091505406813E-6</c:v>
                      </c:pt>
                      <c:pt idx="66">
                        <c:v>5.4207530335381785E-6</c:v>
                      </c:pt>
                      <c:pt idx="67">
                        <c:v>4.2799832838906688E-6</c:v>
                      </c:pt>
                      <c:pt idx="68">
                        <c:v>3.3788238109322054E-6</c:v>
                      </c:pt>
                      <c:pt idx="69">
                        <c:v>2.6670566402176897E-6</c:v>
                      </c:pt>
                      <c:pt idx="70">
                        <c:v>2.1049629749853804E-6</c:v>
                      </c:pt>
                      <c:pt idx="71">
                        <c:v>1.661133224245769E-6</c:v>
                      </c:pt>
                      <c:pt idx="72">
                        <c:v>1.3107335930242122E-6</c:v>
                      </c:pt>
                      <c:pt idx="73">
                        <c:v>1.034133177490359E-6</c:v>
                      </c:pt>
                      <c:pt idx="74">
                        <c:v>8.1581691234508634E-7</c:v>
                      </c:pt>
                      <c:pt idx="75">
                        <c:v>6.4352473921332749E-7</c:v>
                      </c:pt>
                      <c:pt idx="76">
                        <c:v>5.0757041103840113E-7</c:v>
                      </c:pt>
                      <c:pt idx="77">
                        <c:v>4.0030234697725123E-7</c:v>
                      </c:pt>
                      <c:pt idx="78">
                        <c:v>3.1567714275672551E-7</c:v>
                      </c:pt>
                      <c:pt idx="79">
                        <c:v>2.4892228306228472E-7</c:v>
                      </c:pt>
                      <c:pt idx="80">
                        <c:v>1.9626941227679052E-7</c:v>
                      </c:pt>
                      <c:pt idx="81">
                        <c:v>1.5474347868893201E-7</c:v>
                      </c:pt>
                    </c:numCache>
                  </c:numRef>
                </c:val>
                <c:smooth val="0"/>
              </c15:ser>
            </c15:filteredLineSeries>
          </c:ext>
        </c:extLst>
      </c:lineChart>
      <c:catAx>
        <c:axId val="5175242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1504"/>
        <c:crosses val="autoZero"/>
        <c:auto val="1"/>
        <c:lblAlgn val="ctr"/>
        <c:lblOffset val="100"/>
        <c:noMultiLvlLbl val="0"/>
      </c:catAx>
      <c:valAx>
        <c:axId val="517521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CO</a:t>
                </a:r>
                <a:r>
                  <a:rPr lang="de-DE" baseline="-25000"/>
                  <a:t>2</a:t>
                </a:r>
                <a:r>
                  <a:rPr lang="de-DE"/>
                  <a:t>  / capita</a:t>
                </a:r>
              </a:p>
            </c:rich>
          </c:tx>
          <c:layout>
            <c:manualLayout>
              <c:xMode val="edge"/>
              <c:yMode val="edge"/>
              <c:x val="9.2894628494914339E-3"/>
              <c:y val="0.40070989173228344"/>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42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50000"/>
          <a:lumOff val="50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Cumulative</a:t>
            </a:r>
            <a:r>
              <a:rPr lang="de-DE" baseline="0"/>
              <a:t> emissions: 2020 - year of reference point</a:t>
            </a:r>
            <a:endParaRPr lang="de-DE"/>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graphs!$BT$93</c:f>
              <c:strCache>
                <c:ptCount val="1"/>
                <c:pt idx="0">
                  <c:v>2030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graphs!$BU$92:$CA$92</c:f>
              <c:strCache>
                <c:ptCount val="7"/>
                <c:pt idx="0">
                  <c:v>RM-1 const</c:v>
                </c:pt>
                <c:pt idx="1">
                  <c:v>RM-2 exp</c:v>
                </c:pt>
                <c:pt idx="2">
                  <c:v>RM-3 lin</c:v>
                </c:pt>
                <c:pt idx="3">
                  <c:v>RM-4 quadr</c:v>
                </c:pt>
                <c:pt idx="4">
                  <c:v>RM-5 rad</c:v>
                </c:pt>
                <c:pt idx="5">
                  <c:v>RM-6 abs</c:v>
                </c:pt>
                <c:pt idx="6">
                  <c:v>SPM-R</c:v>
                </c:pt>
              </c:strCache>
            </c:strRef>
          </c:cat>
          <c:val>
            <c:numRef>
              <c:f>graphs!$BU$93:$CA$93</c:f>
              <c:numCache>
                <c:formatCode>#,##0</c:formatCode>
                <c:ptCount val="7"/>
                <c:pt idx="0">
                  <c:v>295.97621995355172</c:v>
                </c:pt>
                <c:pt idx="1">
                  <c:v>397.47502271452493</c:v>
                </c:pt>
                <c:pt idx="2">
                  <c:v>374.75441982620816</c:v>
                </c:pt>
                <c:pt idx="3">
                  <c:v>400.47668954526711</c:v>
                </c:pt>
                <c:pt idx="4">
                  <c:v>352.08655016741528</c:v>
                </c:pt>
                <c:pt idx="5">
                  <c:v>364.49129319599632</c:v>
                </c:pt>
                <c:pt idx="6">
                  <c:v>284.9884569956464</c:v>
                </c:pt>
              </c:numCache>
            </c:numRef>
          </c:val>
        </c:ser>
        <c:ser>
          <c:idx val="1"/>
          <c:order val="1"/>
          <c:tx>
            <c:strRef>
              <c:f>graphs!$BT$94</c:f>
              <c:strCache>
                <c:ptCount val="1"/>
                <c:pt idx="0">
                  <c:v>2050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graphs!$BU$92:$CA$92</c:f>
              <c:strCache>
                <c:ptCount val="7"/>
                <c:pt idx="0">
                  <c:v>RM-1 const</c:v>
                </c:pt>
                <c:pt idx="1">
                  <c:v>RM-2 exp</c:v>
                </c:pt>
                <c:pt idx="2">
                  <c:v>RM-3 lin</c:v>
                </c:pt>
                <c:pt idx="3">
                  <c:v>RM-4 quadr</c:v>
                </c:pt>
                <c:pt idx="4">
                  <c:v>RM-5 rad</c:v>
                </c:pt>
                <c:pt idx="5">
                  <c:v>RM-6 abs</c:v>
                </c:pt>
                <c:pt idx="6">
                  <c:v>SPM-R</c:v>
                </c:pt>
              </c:strCache>
            </c:strRef>
          </c:cat>
          <c:val>
            <c:numRef>
              <c:f>graphs!$BU$94:$CA$94</c:f>
              <c:numCache>
                <c:formatCode>#,##0</c:formatCode>
                <c:ptCount val="7"/>
                <c:pt idx="0">
                  <c:v>461.41303190382342</c:v>
                </c:pt>
                <c:pt idx="1">
                  <c:v>553.98930810728814</c:v>
                </c:pt>
                <c:pt idx="2">
                  <c:v>541.71297840095508</c:v>
                </c:pt>
                <c:pt idx="3">
                  <c:v>553.92674671038446</c:v>
                </c:pt>
                <c:pt idx="4">
                  <c:v>516.6081400254451</c:v>
                </c:pt>
                <c:pt idx="5">
                  <c:v>553.85188035443036</c:v>
                </c:pt>
                <c:pt idx="6">
                  <c:v>335.28695334240194</c:v>
                </c:pt>
              </c:numCache>
            </c:numRef>
          </c:val>
        </c:ser>
        <c:dLbls>
          <c:showLegendKey val="0"/>
          <c:showVal val="0"/>
          <c:showCatName val="0"/>
          <c:showSerName val="0"/>
          <c:showPercent val="0"/>
          <c:showBubbleSize val="0"/>
        </c:dLbls>
        <c:gapWidth val="219"/>
        <c:overlap val="-27"/>
        <c:axId val="517525032"/>
        <c:axId val="517525424"/>
      </c:barChart>
      <c:catAx>
        <c:axId val="517525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5424"/>
        <c:crosses val="autoZero"/>
        <c:auto val="1"/>
        <c:lblAlgn val="ctr"/>
        <c:lblOffset val="100"/>
        <c:noMultiLvlLbl val="0"/>
      </c:catAx>
      <c:valAx>
        <c:axId val="517525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5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Global paths 2010 -</a:t>
            </a:r>
            <a:r>
              <a:rPr lang="de-DE" baseline="0"/>
              <a:t> 2100</a:t>
            </a:r>
            <a:endParaRPr lang="de-DE"/>
          </a:p>
        </c:rich>
      </c:tx>
      <c:overlay val="0"/>
    </c:title>
    <c:autoTitleDeleted val="0"/>
    <c:plotArea>
      <c:layout/>
      <c:lineChart>
        <c:grouping val="standard"/>
        <c:varyColors val="0"/>
        <c:ser>
          <c:idx val="0"/>
          <c:order val="0"/>
          <c:tx>
            <c:strRef>
              <c:f>graphs!$DE$7</c:f>
              <c:strCache>
                <c:ptCount val="1"/>
                <c:pt idx="0">
                  <c:v>RM-1 const</c:v>
                </c:pt>
              </c:strCache>
            </c:strRef>
          </c:tx>
          <c:marker>
            <c:symbol val="none"/>
          </c:marker>
          <c:cat>
            <c:numRef>
              <c:f>graphs!$DD$8:$DD$98</c:f>
              <c:numCache>
                <c:formatCode>General</c:formatCode>
                <c:ptCount val="9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pt idx="41">
                  <c:v>2051</c:v>
                </c:pt>
                <c:pt idx="42">
                  <c:v>2052</c:v>
                </c:pt>
                <c:pt idx="43">
                  <c:v>2053</c:v>
                </c:pt>
                <c:pt idx="44">
                  <c:v>2054</c:v>
                </c:pt>
                <c:pt idx="45">
                  <c:v>2055</c:v>
                </c:pt>
                <c:pt idx="46">
                  <c:v>2056</c:v>
                </c:pt>
                <c:pt idx="47">
                  <c:v>2057</c:v>
                </c:pt>
                <c:pt idx="48">
                  <c:v>2058</c:v>
                </c:pt>
                <c:pt idx="49">
                  <c:v>2059</c:v>
                </c:pt>
                <c:pt idx="50">
                  <c:v>2060</c:v>
                </c:pt>
                <c:pt idx="51">
                  <c:v>2061</c:v>
                </c:pt>
                <c:pt idx="52">
                  <c:v>2062</c:v>
                </c:pt>
                <c:pt idx="53">
                  <c:v>2063</c:v>
                </c:pt>
                <c:pt idx="54">
                  <c:v>2064</c:v>
                </c:pt>
                <c:pt idx="55">
                  <c:v>2065</c:v>
                </c:pt>
                <c:pt idx="56">
                  <c:v>2066</c:v>
                </c:pt>
                <c:pt idx="57">
                  <c:v>2067</c:v>
                </c:pt>
                <c:pt idx="58">
                  <c:v>2068</c:v>
                </c:pt>
                <c:pt idx="59">
                  <c:v>2069</c:v>
                </c:pt>
                <c:pt idx="60">
                  <c:v>2070</c:v>
                </c:pt>
                <c:pt idx="61">
                  <c:v>2071</c:v>
                </c:pt>
                <c:pt idx="62">
                  <c:v>2072</c:v>
                </c:pt>
                <c:pt idx="63">
                  <c:v>2073</c:v>
                </c:pt>
                <c:pt idx="64">
                  <c:v>2074</c:v>
                </c:pt>
                <c:pt idx="65">
                  <c:v>2075</c:v>
                </c:pt>
                <c:pt idx="66">
                  <c:v>2076</c:v>
                </c:pt>
                <c:pt idx="67">
                  <c:v>2077</c:v>
                </c:pt>
                <c:pt idx="68">
                  <c:v>2078</c:v>
                </c:pt>
                <c:pt idx="69">
                  <c:v>2079</c:v>
                </c:pt>
                <c:pt idx="70">
                  <c:v>2080</c:v>
                </c:pt>
                <c:pt idx="71">
                  <c:v>2081</c:v>
                </c:pt>
                <c:pt idx="72">
                  <c:v>2082</c:v>
                </c:pt>
                <c:pt idx="73">
                  <c:v>2083</c:v>
                </c:pt>
                <c:pt idx="74">
                  <c:v>2084</c:v>
                </c:pt>
                <c:pt idx="75">
                  <c:v>2085</c:v>
                </c:pt>
                <c:pt idx="76">
                  <c:v>2086</c:v>
                </c:pt>
                <c:pt idx="77">
                  <c:v>2087</c:v>
                </c:pt>
                <c:pt idx="78">
                  <c:v>2088</c:v>
                </c:pt>
                <c:pt idx="79">
                  <c:v>2089</c:v>
                </c:pt>
                <c:pt idx="80">
                  <c:v>2090</c:v>
                </c:pt>
                <c:pt idx="81">
                  <c:v>2091</c:v>
                </c:pt>
                <c:pt idx="82">
                  <c:v>2092</c:v>
                </c:pt>
                <c:pt idx="83">
                  <c:v>2093</c:v>
                </c:pt>
                <c:pt idx="84">
                  <c:v>2094</c:v>
                </c:pt>
                <c:pt idx="85">
                  <c:v>2095</c:v>
                </c:pt>
                <c:pt idx="86">
                  <c:v>2096</c:v>
                </c:pt>
                <c:pt idx="87">
                  <c:v>2097</c:v>
                </c:pt>
                <c:pt idx="88">
                  <c:v>2098</c:v>
                </c:pt>
                <c:pt idx="89">
                  <c:v>2099</c:v>
                </c:pt>
                <c:pt idx="90">
                  <c:v>2100</c:v>
                </c:pt>
              </c:numCache>
            </c:numRef>
          </c:cat>
          <c:val>
            <c:numRef>
              <c:f>graphs!$DE$8:$DE$98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39.02505693376456</c:v>
                </c:pt>
                <c:pt idx="11">
                  <c:v>35.993724401928318</c:v>
                </c:pt>
                <c:pt idx="12">
                  <c:v>33.197855380988798</c:v>
                </c:pt>
                <c:pt idx="13">
                  <c:v>30.61915987326956</c:v>
                </c:pt>
                <c:pt idx="14">
                  <c:v>28.240768585362645</c:v>
                </c:pt>
                <c:pt idx="15">
                  <c:v>26.047122572695297</c:v>
                </c:pt>
                <c:pt idx="16">
                  <c:v>24.023871456128106</c:v>
                </c:pt>
                <c:pt idx="17">
                  <c:v>22.157779544738592</c:v>
                </c:pt>
                <c:pt idx="18">
                  <c:v>20.436639250664907</c:v>
                </c:pt>
                <c:pt idx="19">
                  <c:v>18.84919122958739</c:v>
                </c:pt>
                <c:pt idx="20">
                  <c:v>17.385050724423525</c:v>
                </c:pt>
                <c:pt idx="21">
                  <c:v>16.034639630391982</c:v>
                </c:pt>
                <c:pt idx="22">
                  <c:v>14.789123837029395</c:v>
                </c:pt>
                <c:pt idx="23">
                  <c:v>13.64035543726431</c:v>
                </c:pt>
                <c:pt idx="24">
                  <c:v>12.580819425491988</c:v>
                </c:pt>
                <c:pt idx="25">
                  <c:v>11.603584535959891</c:v>
                </c:pt>
                <c:pt idx="26">
                  <c:v>10.702257899858708</c:v>
                </c:pt>
                <c:pt idx="27">
                  <c:v>9.8709432244949884</c:v>
                </c:pt>
                <c:pt idx="28">
                  <c:v>9.1042022209621649</c:v>
                </c:pt>
                <c:pt idx="29">
                  <c:v>8.3970190279777448</c:v>
                </c:pt>
                <c:pt idx="30">
                  <c:v>7.744767399154779</c:v>
                </c:pt>
                <c:pt idx="31">
                  <c:v>7.143180439053503</c:v>
                </c:pt>
                <c:pt idx="32">
                  <c:v>6.5883226900326513</c:v>
                </c:pt>
                <c:pt idx="33">
                  <c:v>6.0765643872984008</c:v>
                </c:pt>
                <c:pt idx="34">
                  <c:v>5.6045577137327793</c:v>
                </c:pt>
                <c:pt idx="35">
                  <c:v>5.1692148991655369</c:v>
                </c:pt>
                <c:pt idx="36">
                  <c:v>4.7676880208194419</c:v>
                </c:pt>
                <c:pt idx="37">
                  <c:v>4.397350372787681</c:v>
                </c:pt>
                <c:pt idx="38">
                  <c:v>4.0557792826663359</c:v>
                </c:pt>
                <c:pt idx="39">
                  <c:v>3.7407402629318951</c:v>
                </c:pt>
                <c:pt idx="40">
                  <c:v>3.4257012431974543</c:v>
                </c:pt>
                <c:pt idx="41">
                  <c:v>3.1106622234630135</c:v>
                </c:pt>
                <c:pt idx="42">
                  <c:v>2.7956232037285726</c:v>
                </c:pt>
                <c:pt idx="43">
                  <c:v>2.4805841839941318</c:v>
                </c:pt>
                <c:pt idx="44">
                  <c:v>2.165545164259691</c:v>
                </c:pt>
                <c:pt idx="45">
                  <c:v>1.8505061445252502</c:v>
                </c:pt>
                <c:pt idx="46">
                  <c:v>1.5354671247908094</c:v>
                </c:pt>
                <c:pt idx="47">
                  <c:v>1.2204281050563686</c:v>
                </c:pt>
                <c:pt idx="48">
                  <c:v>0.90538908532192774</c:v>
                </c:pt>
                <c:pt idx="49">
                  <c:v>0.59035006558748693</c:v>
                </c:pt>
                <c:pt idx="50">
                  <c:v>0.27531104585304611</c:v>
                </c:pt>
                <c:pt idx="51">
                  <c:v>-3.9727973881394707E-2</c:v>
                </c:pt>
                <c:pt idx="52">
                  <c:v>-0.35476699361583552</c:v>
                </c:pt>
                <c:pt idx="53">
                  <c:v>-0.66980601335027634</c:v>
                </c:pt>
                <c:pt idx="54">
                  <c:v>-0.98484503308471716</c:v>
                </c:pt>
                <c:pt idx="55">
                  <c:v>-1.299884052819158</c:v>
                </c:pt>
                <c:pt idx="56">
                  <c:v>-1.6149230725535988</c:v>
                </c:pt>
                <c:pt idx="57">
                  <c:v>-1.9299620922880396</c:v>
                </c:pt>
                <c:pt idx="58">
                  <c:v>-2.2450011120224804</c:v>
                </c:pt>
                <c:pt idx="59">
                  <c:v>-2.5600401317569212</c:v>
                </c:pt>
                <c:pt idx="60">
                  <c:v>-2.8750791514913621</c:v>
                </c:pt>
                <c:pt idx="61">
                  <c:v>-3.1901181712258029</c:v>
                </c:pt>
                <c:pt idx="62">
                  <c:v>-3.5051571909602437</c:v>
                </c:pt>
                <c:pt idx="63">
                  <c:v>-3.8201962106946845</c:v>
                </c:pt>
                <c:pt idx="64">
                  <c:v>-4.1352352304291253</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1"/>
          <c:order val="1"/>
          <c:tx>
            <c:strRef>
              <c:f>graphs!$DF$7</c:f>
              <c:strCache>
                <c:ptCount val="1"/>
                <c:pt idx="0">
                  <c:v>RM-2 exp</c:v>
                </c:pt>
              </c:strCache>
            </c:strRef>
          </c:tx>
          <c:marker>
            <c:symbol val="none"/>
          </c:marker>
          <c:cat>
            <c:numRef>
              <c:f>graphs!$DD$8:$DD$98</c:f>
              <c:numCache>
                <c:formatCode>General</c:formatCode>
                <c:ptCount val="9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pt idx="41">
                  <c:v>2051</c:v>
                </c:pt>
                <c:pt idx="42">
                  <c:v>2052</c:v>
                </c:pt>
                <c:pt idx="43">
                  <c:v>2053</c:v>
                </c:pt>
                <c:pt idx="44">
                  <c:v>2054</c:v>
                </c:pt>
                <c:pt idx="45">
                  <c:v>2055</c:v>
                </c:pt>
                <c:pt idx="46">
                  <c:v>2056</c:v>
                </c:pt>
                <c:pt idx="47">
                  <c:v>2057</c:v>
                </c:pt>
                <c:pt idx="48">
                  <c:v>2058</c:v>
                </c:pt>
                <c:pt idx="49">
                  <c:v>2059</c:v>
                </c:pt>
                <c:pt idx="50">
                  <c:v>2060</c:v>
                </c:pt>
                <c:pt idx="51">
                  <c:v>2061</c:v>
                </c:pt>
                <c:pt idx="52">
                  <c:v>2062</c:v>
                </c:pt>
                <c:pt idx="53">
                  <c:v>2063</c:v>
                </c:pt>
                <c:pt idx="54">
                  <c:v>2064</c:v>
                </c:pt>
                <c:pt idx="55">
                  <c:v>2065</c:v>
                </c:pt>
                <c:pt idx="56">
                  <c:v>2066</c:v>
                </c:pt>
                <c:pt idx="57">
                  <c:v>2067</c:v>
                </c:pt>
                <c:pt idx="58">
                  <c:v>2068</c:v>
                </c:pt>
                <c:pt idx="59">
                  <c:v>2069</c:v>
                </c:pt>
                <c:pt idx="60">
                  <c:v>2070</c:v>
                </c:pt>
                <c:pt idx="61">
                  <c:v>2071</c:v>
                </c:pt>
                <c:pt idx="62">
                  <c:v>2072</c:v>
                </c:pt>
                <c:pt idx="63">
                  <c:v>2073</c:v>
                </c:pt>
                <c:pt idx="64">
                  <c:v>2074</c:v>
                </c:pt>
                <c:pt idx="65">
                  <c:v>2075</c:v>
                </c:pt>
                <c:pt idx="66">
                  <c:v>2076</c:v>
                </c:pt>
                <c:pt idx="67">
                  <c:v>2077</c:v>
                </c:pt>
                <c:pt idx="68">
                  <c:v>2078</c:v>
                </c:pt>
                <c:pt idx="69">
                  <c:v>2079</c:v>
                </c:pt>
                <c:pt idx="70">
                  <c:v>2080</c:v>
                </c:pt>
                <c:pt idx="71">
                  <c:v>2081</c:v>
                </c:pt>
                <c:pt idx="72">
                  <c:v>2082</c:v>
                </c:pt>
                <c:pt idx="73">
                  <c:v>2083</c:v>
                </c:pt>
                <c:pt idx="74">
                  <c:v>2084</c:v>
                </c:pt>
                <c:pt idx="75">
                  <c:v>2085</c:v>
                </c:pt>
                <c:pt idx="76">
                  <c:v>2086</c:v>
                </c:pt>
                <c:pt idx="77">
                  <c:v>2087</c:v>
                </c:pt>
                <c:pt idx="78">
                  <c:v>2088</c:v>
                </c:pt>
                <c:pt idx="79">
                  <c:v>2089</c:v>
                </c:pt>
                <c:pt idx="80">
                  <c:v>2090</c:v>
                </c:pt>
                <c:pt idx="81">
                  <c:v>2091</c:v>
                </c:pt>
                <c:pt idx="82">
                  <c:v>2092</c:v>
                </c:pt>
                <c:pt idx="83">
                  <c:v>2093</c:v>
                </c:pt>
                <c:pt idx="84">
                  <c:v>2094</c:v>
                </c:pt>
                <c:pt idx="85">
                  <c:v>2095</c:v>
                </c:pt>
                <c:pt idx="86">
                  <c:v>2096</c:v>
                </c:pt>
                <c:pt idx="87">
                  <c:v>2097</c:v>
                </c:pt>
                <c:pt idx="88">
                  <c:v>2098</c:v>
                </c:pt>
                <c:pt idx="89">
                  <c:v>2099</c:v>
                </c:pt>
                <c:pt idx="90">
                  <c:v>2100</c:v>
                </c:pt>
              </c:numCache>
            </c:numRef>
          </c:cat>
          <c:val>
            <c:numRef>
              <c:f>graphs!$DF$8:$DF$98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41.634696394584374</c:v>
                </c:pt>
                <c:pt idx="11">
                  <c:v>40.871740948026705</c:v>
                </c:pt>
                <c:pt idx="12">
                  <c:v>40.013931736379995</c:v>
                </c:pt>
                <c:pt idx="13">
                  <c:v>39.052092280448143</c:v>
                </c:pt>
                <c:pt idx="14">
                  <c:v>37.976966040903676</c:v>
                </c:pt>
                <c:pt idx="15">
                  <c:v>36.779511007910521</c:v>
                </c:pt>
                <c:pt idx="16">
                  <c:v>35.451295057531894</c:v>
                </c:pt>
                <c:pt idx="17">
                  <c:v>33.98500922545341</c:v>
                </c:pt>
                <c:pt idx="18">
                  <c:v>32.375113606597644</c:v>
                </c:pt>
                <c:pt idx="19">
                  <c:v>30.618624663201448</c:v>
                </c:pt>
                <c:pt idx="20">
                  <c:v>28.716041753487143</c:v>
                </c:pt>
                <c:pt idx="21">
                  <c:v>26.672392874539952</c:v>
                </c:pt>
                <c:pt idx="22">
                  <c:v>24.498353138093332</c:v>
                </c:pt>
                <c:pt idx="23">
                  <c:v>22.211353047731443</c:v>
                </c:pt>
                <c:pt idx="24">
                  <c:v>19.836547256297379</c:v>
                </c:pt>
                <c:pt idx="25">
                  <c:v>17.407460879574462</c:v>
                </c:pt>
                <c:pt idx="26">
                  <c:v>14.966076857873905</c:v>
                </c:pt>
                <c:pt idx="27">
                  <c:v>12.562088089886416</c:v>
                </c:pt>
                <c:pt idx="28">
                  <c:v>10.251034104939498</c:v>
                </c:pt>
                <c:pt idx="29">
                  <c:v>8.091103852417362</c:v>
                </c:pt>
                <c:pt idx="30">
                  <c:v>6.1385473174505822</c:v>
                </c:pt>
                <c:pt idx="31">
                  <c:v>4.4419247372297175</c:v>
                </c:pt>
                <c:pt idx="32">
                  <c:v>3.0358298680017715</c:v>
                </c:pt>
                <c:pt idx="33">
                  <c:v>1.9351914947025706</c:v>
                </c:pt>
                <c:pt idx="34">
                  <c:v>0.83455312140336968</c:v>
                </c:pt>
                <c:pt idx="35">
                  <c:v>-0.26608525189583121</c:v>
                </c:pt>
                <c:pt idx="36">
                  <c:v>-1.3667236251950321</c:v>
                </c:pt>
                <c:pt idx="37">
                  <c:v>-2.467361998494233</c:v>
                </c:pt>
                <c:pt idx="38">
                  <c:v>-3.5680003717934339</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2"/>
          <c:order val="2"/>
          <c:tx>
            <c:strRef>
              <c:f>graphs!$DG$7</c:f>
              <c:strCache>
                <c:ptCount val="1"/>
                <c:pt idx="0">
                  <c:v>RM-3 lin</c:v>
                </c:pt>
              </c:strCache>
            </c:strRef>
          </c:tx>
          <c:marker>
            <c:symbol val="none"/>
          </c:marker>
          <c:cat>
            <c:numRef>
              <c:f>graphs!$DD$8:$DD$98</c:f>
              <c:numCache>
                <c:formatCode>General</c:formatCode>
                <c:ptCount val="9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pt idx="41">
                  <c:v>2051</c:v>
                </c:pt>
                <c:pt idx="42">
                  <c:v>2052</c:v>
                </c:pt>
                <c:pt idx="43">
                  <c:v>2053</c:v>
                </c:pt>
                <c:pt idx="44">
                  <c:v>2054</c:v>
                </c:pt>
                <c:pt idx="45">
                  <c:v>2055</c:v>
                </c:pt>
                <c:pt idx="46">
                  <c:v>2056</c:v>
                </c:pt>
                <c:pt idx="47">
                  <c:v>2057</c:v>
                </c:pt>
                <c:pt idx="48">
                  <c:v>2058</c:v>
                </c:pt>
                <c:pt idx="49">
                  <c:v>2059</c:v>
                </c:pt>
                <c:pt idx="50">
                  <c:v>2060</c:v>
                </c:pt>
                <c:pt idx="51">
                  <c:v>2061</c:v>
                </c:pt>
                <c:pt idx="52">
                  <c:v>2062</c:v>
                </c:pt>
                <c:pt idx="53">
                  <c:v>2063</c:v>
                </c:pt>
                <c:pt idx="54">
                  <c:v>2064</c:v>
                </c:pt>
                <c:pt idx="55">
                  <c:v>2065</c:v>
                </c:pt>
                <c:pt idx="56">
                  <c:v>2066</c:v>
                </c:pt>
                <c:pt idx="57">
                  <c:v>2067</c:v>
                </c:pt>
                <c:pt idx="58">
                  <c:v>2068</c:v>
                </c:pt>
                <c:pt idx="59">
                  <c:v>2069</c:v>
                </c:pt>
                <c:pt idx="60">
                  <c:v>2070</c:v>
                </c:pt>
                <c:pt idx="61">
                  <c:v>2071</c:v>
                </c:pt>
                <c:pt idx="62">
                  <c:v>2072</c:v>
                </c:pt>
                <c:pt idx="63">
                  <c:v>2073</c:v>
                </c:pt>
                <c:pt idx="64">
                  <c:v>2074</c:v>
                </c:pt>
                <c:pt idx="65">
                  <c:v>2075</c:v>
                </c:pt>
                <c:pt idx="66">
                  <c:v>2076</c:v>
                </c:pt>
                <c:pt idx="67">
                  <c:v>2077</c:v>
                </c:pt>
                <c:pt idx="68">
                  <c:v>2078</c:v>
                </c:pt>
                <c:pt idx="69">
                  <c:v>2079</c:v>
                </c:pt>
                <c:pt idx="70">
                  <c:v>2080</c:v>
                </c:pt>
                <c:pt idx="71">
                  <c:v>2081</c:v>
                </c:pt>
                <c:pt idx="72">
                  <c:v>2082</c:v>
                </c:pt>
                <c:pt idx="73">
                  <c:v>2083</c:v>
                </c:pt>
                <c:pt idx="74">
                  <c:v>2084</c:v>
                </c:pt>
                <c:pt idx="75">
                  <c:v>2085</c:v>
                </c:pt>
                <c:pt idx="76">
                  <c:v>2086</c:v>
                </c:pt>
                <c:pt idx="77">
                  <c:v>2087</c:v>
                </c:pt>
                <c:pt idx="78">
                  <c:v>2088</c:v>
                </c:pt>
                <c:pt idx="79">
                  <c:v>2089</c:v>
                </c:pt>
                <c:pt idx="80">
                  <c:v>2090</c:v>
                </c:pt>
                <c:pt idx="81">
                  <c:v>2091</c:v>
                </c:pt>
                <c:pt idx="82">
                  <c:v>2092</c:v>
                </c:pt>
                <c:pt idx="83">
                  <c:v>2093</c:v>
                </c:pt>
                <c:pt idx="84">
                  <c:v>2094</c:v>
                </c:pt>
                <c:pt idx="85">
                  <c:v>2095</c:v>
                </c:pt>
                <c:pt idx="86">
                  <c:v>2096</c:v>
                </c:pt>
                <c:pt idx="87">
                  <c:v>2097</c:v>
                </c:pt>
                <c:pt idx="88">
                  <c:v>2098</c:v>
                </c:pt>
                <c:pt idx="89">
                  <c:v>2099</c:v>
                </c:pt>
                <c:pt idx="90">
                  <c:v>2100</c:v>
                </c:pt>
              </c:numCache>
            </c:numRef>
          </c:cat>
          <c:val>
            <c:numRef>
              <c:f>graphs!$DG$8:$DG$98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41.634696394584374</c:v>
                </c:pt>
                <c:pt idx="11">
                  <c:v>40.698938963160479</c:v>
                </c:pt>
                <c:pt idx="12">
                  <c:v>39.520670212747206</c:v>
                </c:pt>
                <c:pt idx="13">
                  <c:v>38.120600266107886</c:v>
                </c:pt>
                <c:pt idx="14">
                  <c:v>36.52328254722493</c:v>
                </c:pt>
                <c:pt idx="15">
                  <c:v>34.756391426208353</c:v>
                </c:pt>
                <c:pt idx="16">
                  <c:v>32.849915052202277</c:v>
                </c:pt>
                <c:pt idx="17">
                  <c:v>30.835296640967364</c:v>
                </c:pt>
                <c:pt idx="18">
                  <c:v>28.74455907257909</c:v>
                </c:pt>
                <c:pt idx="19">
                  <c:v>26.609447402105705</c:v>
                </c:pt>
                <c:pt idx="20">
                  <c:v>24.460621848320489</c:v>
                </c:pt>
                <c:pt idx="21">
                  <c:v>22.326930172905357</c:v>
                </c:pt>
                <c:pt idx="22">
                  <c:v>20.234783365292255</c:v>
                </c:pt>
                <c:pt idx="23">
                  <c:v>18.207652553847989</c:v>
                </c:pt>
                <c:pt idx="24">
                  <c:v>16.265698470124367</c:v>
                </c:pt>
                <c:pt idx="25">
                  <c:v>14.425538016544882</c:v>
                </c:pt>
                <c:pt idx="26">
                  <c:v>12.700145935283334</c:v>
                </c:pt>
                <c:pt idx="27">
                  <c:v>11.098883613917479</c:v>
                </c:pt>
                <c:pt idx="28">
                  <c:v>9.6276419953230956</c:v>
                </c:pt>
                <c:pt idx="29">
                  <c:v>8.2890816083755485</c:v>
                </c:pt>
                <c:pt idx="30">
                  <c:v>7.0829500351464167</c:v>
                </c:pt>
                <c:pt idx="31">
                  <c:v>6.0064557196926422</c:v>
                </c:pt>
                <c:pt idx="32">
                  <c:v>5.0546768561808477</c:v>
                </c:pt>
                <c:pt idx="33">
                  <c:v>4.2209850471246346</c:v>
                </c:pt>
                <c:pt idx="34">
                  <c:v>3.4974653136449327</c:v>
                </c:pt>
                <c:pt idx="35">
                  <c:v>2.8753166464770041</c:v>
                </c:pt>
                <c:pt idx="36">
                  <c:v>2.2531679793090755</c:v>
                </c:pt>
                <c:pt idx="37">
                  <c:v>1.6310193121411469</c:v>
                </c:pt>
                <c:pt idx="38">
                  <c:v>1.0088706449732183</c:v>
                </c:pt>
                <c:pt idx="39">
                  <c:v>0.38672197780528972</c:v>
                </c:pt>
                <c:pt idx="40">
                  <c:v>-0.23542668936263889</c:v>
                </c:pt>
                <c:pt idx="41">
                  <c:v>-0.85757535653056749</c:v>
                </c:pt>
                <c:pt idx="42">
                  <c:v>-1.4797240236984961</c:v>
                </c:pt>
                <c:pt idx="43">
                  <c:v>-2.1018726908664247</c:v>
                </c:pt>
                <c:pt idx="44">
                  <c:v>-2.7240213580343533</c:v>
                </c:pt>
                <c:pt idx="45">
                  <c:v>-3.3461700252022819</c:v>
                </c:pt>
                <c:pt idx="46">
                  <c:v>-3.9683186923702105</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3"/>
          <c:order val="3"/>
          <c:tx>
            <c:strRef>
              <c:f>graphs!$DH$7</c:f>
              <c:strCache>
                <c:ptCount val="1"/>
                <c:pt idx="0">
                  <c:v>RM-4 quadr</c:v>
                </c:pt>
              </c:strCache>
            </c:strRef>
          </c:tx>
          <c:marker>
            <c:symbol val="none"/>
          </c:marker>
          <c:cat>
            <c:numRef>
              <c:f>graphs!$DD$8:$DD$98</c:f>
              <c:numCache>
                <c:formatCode>General</c:formatCode>
                <c:ptCount val="9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pt idx="41">
                  <c:v>2051</c:v>
                </c:pt>
                <c:pt idx="42">
                  <c:v>2052</c:v>
                </c:pt>
                <c:pt idx="43">
                  <c:v>2053</c:v>
                </c:pt>
                <c:pt idx="44">
                  <c:v>2054</c:v>
                </c:pt>
                <c:pt idx="45">
                  <c:v>2055</c:v>
                </c:pt>
                <c:pt idx="46">
                  <c:v>2056</c:v>
                </c:pt>
                <c:pt idx="47">
                  <c:v>2057</c:v>
                </c:pt>
                <c:pt idx="48">
                  <c:v>2058</c:v>
                </c:pt>
                <c:pt idx="49">
                  <c:v>2059</c:v>
                </c:pt>
                <c:pt idx="50">
                  <c:v>2060</c:v>
                </c:pt>
                <c:pt idx="51">
                  <c:v>2061</c:v>
                </c:pt>
                <c:pt idx="52">
                  <c:v>2062</c:v>
                </c:pt>
                <c:pt idx="53">
                  <c:v>2063</c:v>
                </c:pt>
                <c:pt idx="54">
                  <c:v>2064</c:v>
                </c:pt>
                <c:pt idx="55">
                  <c:v>2065</c:v>
                </c:pt>
                <c:pt idx="56">
                  <c:v>2066</c:v>
                </c:pt>
                <c:pt idx="57">
                  <c:v>2067</c:v>
                </c:pt>
                <c:pt idx="58">
                  <c:v>2068</c:v>
                </c:pt>
                <c:pt idx="59">
                  <c:v>2069</c:v>
                </c:pt>
                <c:pt idx="60">
                  <c:v>2070</c:v>
                </c:pt>
                <c:pt idx="61">
                  <c:v>2071</c:v>
                </c:pt>
                <c:pt idx="62">
                  <c:v>2072</c:v>
                </c:pt>
                <c:pt idx="63">
                  <c:v>2073</c:v>
                </c:pt>
                <c:pt idx="64">
                  <c:v>2074</c:v>
                </c:pt>
                <c:pt idx="65">
                  <c:v>2075</c:v>
                </c:pt>
                <c:pt idx="66">
                  <c:v>2076</c:v>
                </c:pt>
                <c:pt idx="67">
                  <c:v>2077</c:v>
                </c:pt>
                <c:pt idx="68">
                  <c:v>2078</c:v>
                </c:pt>
                <c:pt idx="69">
                  <c:v>2079</c:v>
                </c:pt>
                <c:pt idx="70">
                  <c:v>2080</c:v>
                </c:pt>
                <c:pt idx="71">
                  <c:v>2081</c:v>
                </c:pt>
                <c:pt idx="72">
                  <c:v>2082</c:v>
                </c:pt>
                <c:pt idx="73">
                  <c:v>2083</c:v>
                </c:pt>
                <c:pt idx="74">
                  <c:v>2084</c:v>
                </c:pt>
                <c:pt idx="75">
                  <c:v>2085</c:v>
                </c:pt>
                <c:pt idx="76">
                  <c:v>2086</c:v>
                </c:pt>
                <c:pt idx="77">
                  <c:v>2087</c:v>
                </c:pt>
                <c:pt idx="78">
                  <c:v>2088</c:v>
                </c:pt>
                <c:pt idx="79">
                  <c:v>2089</c:v>
                </c:pt>
                <c:pt idx="80">
                  <c:v>2090</c:v>
                </c:pt>
                <c:pt idx="81">
                  <c:v>2091</c:v>
                </c:pt>
                <c:pt idx="82">
                  <c:v>2092</c:v>
                </c:pt>
                <c:pt idx="83">
                  <c:v>2093</c:v>
                </c:pt>
                <c:pt idx="84">
                  <c:v>2094</c:v>
                </c:pt>
                <c:pt idx="85">
                  <c:v>2095</c:v>
                </c:pt>
                <c:pt idx="86">
                  <c:v>2096</c:v>
                </c:pt>
                <c:pt idx="87">
                  <c:v>2097</c:v>
                </c:pt>
                <c:pt idx="88">
                  <c:v>2098</c:v>
                </c:pt>
                <c:pt idx="89">
                  <c:v>2099</c:v>
                </c:pt>
                <c:pt idx="90">
                  <c:v>2100</c:v>
                </c:pt>
              </c:numCache>
            </c:numRef>
          </c:cat>
          <c:val>
            <c:numRef>
              <c:f>graphs!$DH$8:$DH$98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41.634696394584374</c:v>
                </c:pt>
                <c:pt idx="11">
                  <c:v>40.94642033711299</c:v>
                </c:pt>
                <c:pt idx="12">
                  <c:v>40.204256701878194</c:v>
                </c:pt>
                <c:pt idx="13">
                  <c:v>39.368740415687277</c:v>
                </c:pt>
                <c:pt idx="14">
                  <c:v>38.404168714250304</c:v>
                </c:pt>
                <c:pt idx="15">
                  <c:v>37.279589397576622</c:v>
                </c:pt>
                <c:pt idx="16">
                  <c:v>35.970063791945805</c:v>
                </c:pt>
                <c:pt idx="17">
                  <c:v>34.458091947431519</c:v>
                </c:pt>
                <c:pt idx="18">
                  <c:v>32.735055845817413</c:v>
                </c:pt>
                <c:pt idx="19">
                  <c:v>30.802506467750074</c:v>
                </c:pt>
                <c:pt idx="20">
                  <c:v>28.673099531232598</c:v>
                </c:pt>
                <c:pt idx="21">
                  <c:v>26.370980374694042</c:v>
                </c:pt>
                <c:pt idx="22">
                  <c:v>23.931438247852281</c:v>
                </c:pt>
                <c:pt idx="23">
                  <c:v>21.399699625260347</c:v>
                </c:pt>
                <c:pt idx="24">
                  <c:v>18.828810597051955</c:v>
                </c:pt>
                <c:pt idx="25">
                  <c:v>16.276665737191337</c:v>
                </c:pt>
                <c:pt idx="26">
                  <c:v>13.80236407512988</c:v>
                </c:pt>
                <c:pt idx="27">
                  <c:v>11.462194181355065</c:v>
                </c:pt>
                <c:pt idx="28">
                  <c:v>9.3056474481057752</c:v>
                </c:pt>
                <c:pt idx="29">
                  <c:v>7.3719080701785655</c:v>
                </c:pt>
                <c:pt idx="30">
                  <c:v>5.6872512398710828</c:v>
                </c:pt>
                <c:pt idx="31">
                  <c:v>4.2636893325199043</c:v>
                </c:pt>
                <c:pt idx="32">
                  <c:v>3.0990461285146633</c:v>
                </c:pt>
                <c:pt idx="33">
                  <c:v>2.1784348251611947</c:v>
                </c:pt>
                <c:pt idx="34">
                  <c:v>1.2578235218077261</c:v>
                </c:pt>
                <c:pt idx="35">
                  <c:v>0.33721221845425742</c:v>
                </c:pt>
                <c:pt idx="36">
                  <c:v>-0.58339908489921122</c:v>
                </c:pt>
                <c:pt idx="37">
                  <c:v>-1.5040103882526799</c:v>
                </c:pt>
                <c:pt idx="38">
                  <c:v>-2.4246216916061485</c:v>
                </c:pt>
                <c:pt idx="39">
                  <c:v>-3.3452329949596171</c:v>
                </c:pt>
                <c:pt idx="40">
                  <c:v>-4.2658442983130858</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5"/>
          <c:order val="4"/>
          <c:tx>
            <c:strRef>
              <c:f>graphs!$DI$7</c:f>
              <c:strCache>
                <c:ptCount val="1"/>
                <c:pt idx="0">
                  <c:v>RM-5 rad</c:v>
                </c:pt>
              </c:strCache>
            </c:strRef>
          </c:tx>
          <c:marker>
            <c:symbol val="none"/>
          </c:marker>
          <c:val>
            <c:numRef>
              <c:f>graphs!$DI$8:$DI$98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41.634696394584374</c:v>
                </c:pt>
                <c:pt idx="11">
                  <c:v>40.303015542504525</c:v>
                </c:pt>
                <c:pt idx="12">
                  <c:v>38.54231270287876</c:v>
                </c:pt>
                <c:pt idx="13">
                  <c:v>36.548006916661137</c:v>
                </c:pt>
                <c:pt idx="14">
                  <c:v>34.417549672984222</c:v>
                </c:pt>
                <c:pt idx="15">
                  <c:v>32.216387465493881</c:v>
                </c:pt>
                <c:pt idx="16">
                  <c:v>29.992945908131034</c:v>
                </c:pt>
                <c:pt idx="17">
                  <c:v>27.784435978772759</c:v>
                </c:pt>
                <c:pt idx="18">
                  <c:v>25.619773303478404</c:v>
                </c:pt>
                <c:pt idx="19">
                  <c:v>23.52132538582547</c:v>
                </c:pt>
                <c:pt idx="20">
                  <c:v>21.506100896100762</c:v>
                </c:pt>
                <c:pt idx="21">
                  <c:v>19.58663984505209</c:v>
                </c:pt>
                <c:pt idx="22">
                  <c:v>17.771726106477395</c:v>
                </c:pt>
                <c:pt idx="23">
                  <c:v>16.066983763338975</c:v>
                </c:pt>
                <c:pt idx="24">
                  <c:v>14.475390224671248</c:v>
                </c:pt>
                <c:pt idx="25">
                  <c:v>12.997724671281137</c:v>
                </c:pt>
                <c:pt idx="26">
                  <c:v>11.632962847078664</c:v>
                </c:pt>
                <c:pt idx="27">
                  <c:v>10.378625178573007</c:v>
                </c:pt>
                <c:pt idx="28">
                  <c:v>9.2310830379311444</c:v>
                </c:pt>
                <c:pt idx="29">
                  <c:v>8.1858268150268643</c:v>
                </c:pt>
                <c:pt idx="30">
                  <c:v>7.2376988711080346</c:v>
                </c:pt>
                <c:pt idx="31">
                  <c:v>6.381094154104435</c:v>
                </c:pt>
                <c:pt idx="32">
                  <c:v>5.6101311167465262</c:v>
                </c:pt>
                <c:pt idx="33">
                  <c:v>4.9187955096093399</c:v>
                </c:pt>
                <c:pt idx="34">
                  <c:v>4.3010595743813465</c:v>
                </c:pt>
                <c:pt idx="35">
                  <c:v>3.7509791122174319</c:v>
                </c:pt>
                <c:pt idx="36">
                  <c:v>3.2627708351819971</c:v>
                </c:pt>
                <c:pt idx="37">
                  <c:v>2.8308723206342146</c:v>
                </c:pt>
                <c:pt idx="38">
                  <c:v>2.3989738060864321</c:v>
                </c:pt>
                <c:pt idx="39">
                  <c:v>1.9670752915386496</c:v>
                </c:pt>
                <c:pt idx="40">
                  <c:v>1.5351767769908671</c:v>
                </c:pt>
                <c:pt idx="41">
                  <c:v>1.1032782624430846</c:v>
                </c:pt>
                <c:pt idx="42">
                  <c:v>0.67137974789530208</c:v>
                </c:pt>
                <c:pt idx="43">
                  <c:v>0.23948123334751958</c:v>
                </c:pt>
                <c:pt idx="44">
                  <c:v>-0.19241728120026291</c:v>
                </c:pt>
                <c:pt idx="45">
                  <c:v>-0.62431579574804541</c:v>
                </c:pt>
                <c:pt idx="46">
                  <c:v>-1.0562143102958279</c:v>
                </c:pt>
                <c:pt idx="47">
                  <c:v>-1.4881128248436104</c:v>
                </c:pt>
                <c:pt idx="48">
                  <c:v>-1.9200113393913929</c:v>
                </c:pt>
                <c:pt idx="49">
                  <c:v>-2.3519098539391754</c:v>
                </c:pt>
                <c:pt idx="50">
                  <c:v>-2.7838083684869579</c:v>
                </c:pt>
                <c:pt idx="51">
                  <c:v>-3.2157068830347404</c:v>
                </c:pt>
                <c:pt idx="52">
                  <c:v>-3.6476053975825229</c:v>
                </c:pt>
                <c:pt idx="53">
                  <c:v>-4.0795039121303054</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6"/>
          <c:order val="5"/>
          <c:tx>
            <c:strRef>
              <c:f>graphs!$DJ$7</c:f>
              <c:strCache>
                <c:ptCount val="1"/>
                <c:pt idx="0">
                  <c:v>RM-6 abs</c:v>
                </c:pt>
              </c:strCache>
            </c:strRef>
          </c:tx>
          <c:spPr>
            <a:ln>
              <a:solidFill>
                <a:schemeClr val="tx1">
                  <a:lumMod val="50000"/>
                  <a:lumOff val="50000"/>
                </a:schemeClr>
              </a:solidFill>
            </a:ln>
          </c:spPr>
          <c:marker>
            <c:symbol val="none"/>
          </c:marker>
          <c:val>
            <c:numRef>
              <c:f>graphs!$DJ$8:$DJ$98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40.782331457979197</c:v>
                </c:pt>
                <c:pt idx="11">
                  <c:v>39.252979588128746</c:v>
                </c:pt>
                <c:pt idx="12">
                  <c:v>37.723627718278294</c:v>
                </c:pt>
                <c:pt idx="13">
                  <c:v>36.194275848427843</c:v>
                </c:pt>
                <c:pt idx="14">
                  <c:v>34.664923978577391</c:v>
                </c:pt>
                <c:pt idx="15">
                  <c:v>33.13557210872694</c:v>
                </c:pt>
                <c:pt idx="16">
                  <c:v>31.606220238876492</c:v>
                </c:pt>
                <c:pt idx="17">
                  <c:v>30.076868369026045</c:v>
                </c:pt>
                <c:pt idx="18">
                  <c:v>28.547516499175597</c:v>
                </c:pt>
                <c:pt idx="19">
                  <c:v>27.018164629325149</c:v>
                </c:pt>
                <c:pt idx="20">
                  <c:v>25.488812759474701</c:v>
                </c:pt>
                <c:pt idx="21">
                  <c:v>23.959460889624253</c:v>
                </c:pt>
                <c:pt idx="22">
                  <c:v>22.430109019773806</c:v>
                </c:pt>
                <c:pt idx="23">
                  <c:v>20.900757149923358</c:v>
                </c:pt>
                <c:pt idx="24">
                  <c:v>19.37140528007291</c:v>
                </c:pt>
                <c:pt idx="25">
                  <c:v>17.842053410222462</c:v>
                </c:pt>
                <c:pt idx="26">
                  <c:v>16.312701540372014</c:v>
                </c:pt>
                <c:pt idx="27">
                  <c:v>14.783349670521565</c:v>
                </c:pt>
                <c:pt idx="28">
                  <c:v>13.253997800671115</c:v>
                </c:pt>
                <c:pt idx="29">
                  <c:v>11.724645930820666</c:v>
                </c:pt>
                <c:pt idx="30">
                  <c:v>10.195294060970216</c:v>
                </c:pt>
                <c:pt idx="31">
                  <c:v>8.6659421911197665</c:v>
                </c:pt>
                <c:pt idx="32">
                  <c:v>7.1365903212693178</c:v>
                </c:pt>
                <c:pt idx="33">
                  <c:v>5.6072384514188691</c:v>
                </c:pt>
                <c:pt idx="34">
                  <c:v>4.0778865815684204</c:v>
                </c:pt>
                <c:pt idx="35">
                  <c:v>2.5485347117179717</c:v>
                </c:pt>
                <c:pt idx="36">
                  <c:v>1.0191828418675228</c:v>
                </c:pt>
                <c:pt idx="37">
                  <c:v>-0.51016902798292607</c:v>
                </c:pt>
                <c:pt idx="38">
                  <c:v>-2.0395208978333752</c:v>
                </c:pt>
                <c:pt idx="39">
                  <c:v>-3.5688727676838239</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pt idx="82">
                  <c:v>-4.3499999999999996</c:v>
                </c:pt>
                <c:pt idx="83">
                  <c:v>-4.3499999999999996</c:v>
                </c:pt>
                <c:pt idx="84">
                  <c:v>-4.3499999999999996</c:v>
                </c:pt>
                <c:pt idx="85">
                  <c:v>-4.3499999999999996</c:v>
                </c:pt>
                <c:pt idx="86">
                  <c:v>-4.3499999999999996</c:v>
                </c:pt>
                <c:pt idx="87">
                  <c:v>-4.3499999999999996</c:v>
                </c:pt>
                <c:pt idx="88">
                  <c:v>-4.3499999999999996</c:v>
                </c:pt>
                <c:pt idx="89">
                  <c:v>-4.3499999999999996</c:v>
                </c:pt>
                <c:pt idx="90">
                  <c:v>-4.3499999999999996</c:v>
                </c:pt>
              </c:numCache>
            </c:numRef>
          </c:val>
          <c:smooth val="0"/>
        </c:ser>
        <c:ser>
          <c:idx val="4"/>
          <c:order val="6"/>
          <c:tx>
            <c:strRef>
              <c:f>graphs!$DK$7</c:f>
              <c:strCache>
                <c:ptCount val="1"/>
                <c:pt idx="0">
                  <c:v>SPM-R</c:v>
                </c:pt>
              </c:strCache>
            </c:strRef>
          </c:tx>
          <c:spPr>
            <a:ln>
              <a:solidFill>
                <a:schemeClr val="tx1">
                  <a:lumMod val="65000"/>
                  <a:lumOff val="35000"/>
                </a:schemeClr>
              </a:solidFill>
            </a:ln>
          </c:spPr>
          <c:marker>
            <c:symbol val="none"/>
          </c:marker>
          <c:val>
            <c:numRef>
              <c:f>graphs!$DK$8:$DK$98</c:f>
              <c:numCache>
                <c:formatCode>#,##0.00</c:formatCode>
                <c:ptCount val="91"/>
                <c:pt idx="0" formatCode="0.00">
                  <c:v>38.224529350401248</c:v>
                </c:pt>
                <c:pt idx="1">
                  <c:v>39.188828105256881</c:v>
                </c:pt>
                <c:pt idx="2">
                  <c:v>40.171970290267417</c:v>
                </c:pt>
                <c:pt idx="3">
                  <c:v>40.523658056136497</c:v>
                </c:pt>
                <c:pt idx="4">
                  <c:v>41.303966235512704</c:v>
                </c:pt>
                <c:pt idx="5">
                  <c:v>41.480360497070492</c:v>
                </c:pt>
                <c:pt idx="6">
                  <c:v>41.012741198578425</c:v>
                </c:pt>
                <c:pt idx="7">
                  <c:v>41.193001288292642</c:v>
                </c:pt>
                <c:pt idx="8">
                  <c:v>42.101177440626522</c:v>
                </c:pt>
                <c:pt idx="9">
                  <c:v>42.311683327829648</c:v>
                </c:pt>
                <c:pt idx="10">
                  <c:v>41.834339829518569</c:v>
                </c:pt>
                <c:pt idx="11">
                  <c:v>39.733240975044623</c:v>
                </c:pt>
                <c:pt idx="12">
                  <c:v>36.522204869624375</c:v>
                </c:pt>
                <c:pt idx="13">
                  <c:v>32.793427399481033</c:v>
                </c:pt>
                <c:pt idx="14">
                  <c:v>28.931788391085348</c:v>
                </c:pt>
                <c:pt idx="15">
                  <c:v>25.177512457858086</c:v>
                </c:pt>
                <c:pt idx="16">
                  <c:v>21.671270172514866</c:v>
                </c:pt>
                <c:pt idx="17">
                  <c:v>18.486418119923655</c:v>
                </c:pt>
                <c:pt idx="18">
                  <c:v>15.651857785996114</c:v>
                </c:pt>
                <c:pt idx="19">
                  <c:v>13.168083660743605</c:v>
                </c:pt>
                <c:pt idx="20">
                  <c:v>11.018313333856071</c:v>
                </c:pt>
                <c:pt idx="21">
                  <c:v>9.1760886496662266</c:v>
                </c:pt>
                <c:pt idx="22">
                  <c:v>7.6103634168143444</c:v>
                </c:pt>
                <c:pt idx="23">
                  <c:v>6.2888168284638262</c:v>
                </c:pt>
                <c:pt idx="24">
                  <c:v>5.1799279200617256</c:v>
                </c:pt>
                <c:pt idx="25">
                  <c:v>4.2541965278203868</c:v>
                </c:pt>
                <c:pt idx="26">
                  <c:v>3.4847864207506483</c:v>
                </c:pt>
                <c:pt idx="27">
                  <c:v>2.8477861737325547</c:v>
                </c:pt>
                <c:pt idx="28">
                  <c:v>2.3222251737788593</c:v>
                </c:pt>
                <c:pt idx="29">
                  <c:v>1.8899401284246782</c:v>
                </c:pt>
                <c:pt idx="30">
                  <c:v>1.5353572783066616</c:v>
                </c:pt>
                <c:pt idx="31">
                  <c:v>1.2452340190892004</c:v>
                </c:pt>
                <c:pt idx="32">
                  <c:v>1.0083884535049643</c:v>
                </c:pt>
                <c:pt idx="33">
                  <c:v>0.81543478321211005</c:v>
                </c:pt>
                <c:pt idx="34">
                  <c:v>0.65853513342908965</c:v>
                </c:pt>
                <c:pt idx="35">
                  <c:v>0.53117344366821539</c:v>
                </c:pt>
                <c:pt idx="36">
                  <c:v>0.42795377134786117</c:v>
                </c:pt>
                <c:pt idx="37">
                  <c:v>0.3444232447171347</c:v>
                </c:pt>
                <c:pt idx="38">
                  <c:v>0.27691860830715598</c:v>
                </c:pt>
                <c:pt idx="39">
                  <c:v>0.22243457015738544</c:v>
                </c:pt>
                <c:pt idx="40">
                  <c:v>0.17851180150263735</c:v>
                </c:pt>
                <c:pt idx="41">
                  <c:v>0.14314232650366598</c:v>
                </c:pt>
                <c:pt idx="42">
                  <c:v>0.11469008108803347</c:v>
                </c:pt>
                <c:pt idx="43">
                  <c:v>9.1824553318918978E-2</c:v>
                </c:pt>
                <c:pt idx="44">
                  <c:v>7.3465600361367511E-2</c:v>
                </c:pt>
                <c:pt idx="45">
                  <c:v>5.8737740815139106E-2</c:v>
                </c:pt>
                <c:pt idx="46">
                  <c:v>4.6932427746303962E-2</c:v>
                </c:pt>
                <c:pt idx="47">
                  <c:v>3.7477005992540335E-2</c:v>
                </c:pt>
                <c:pt idx="48">
                  <c:v>2.9909240852516977E-2</c:v>
                </c:pt>
                <c:pt idx="49">
                  <c:v>2.3856470934856572E-2</c:v>
                </c:pt>
                <c:pt idx="50">
                  <c:v>1.9018584686248563E-2</c:v>
                </c:pt>
                <c:pt idx="51">
                  <c:v>1.5154148224542634E-2</c:v>
                </c:pt>
                <c:pt idx="52">
                  <c:v>1.2069122650795593E-2</c:v>
                </c:pt>
                <c:pt idx="53">
                  <c:v>9.6077035150404153E-3</c:v>
                </c:pt>
                <c:pt idx="54">
                  <c:v>7.6448952630430445E-3</c:v>
                </c:pt>
                <c:pt idx="55">
                  <c:v>6.0805010261560204E-3</c:v>
                </c:pt>
                <c:pt idx="56">
                  <c:v>4.8342646991232363E-3</c:v>
                </c:pt>
                <c:pt idx="57">
                  <c:v>3.8419494262553113E-3</c:v>
                </c:pt>
                <c:pt idx="58">
                  <c:v>3.0521757811871712E-3</c:v>
                </c:pt>
                <c:pt idx="59">
                  <c:v>2.4238753176652125E-3</c:v>
                </c:pt>
                <c:pt idx="60">
                  <c:v>1.9242418703228478E-3</c:v>
                </c:pt>
                <c:pt idx="61">
                  <c:v>1.5270849293665132E-3</c:v>
                </c:pt>
                <c:pt idx="62">
                  <c:v>1.211507400511235E-3</c:v>
                </c:pt>
                <c:pt idx="63">
                  <c:v>9.6084476937006134E-4</c:v>
                </c:pt>
                <c:pt idx="64">
                  <c:v>7.61814689302157E-4</c:v>
                </c:pt>
                <c:pt idx="65">
                  <c:v>6.0383578242502933E-4</c:v>
                </c:pt>
                <c:pt idx="66">
                  <c:v>4.784823845500471E-4</c:v>
                </c:pt>
                <c:pt idx="67">
                  <c:v>3.7904840791133545E-4</c:v>
                </c:pt>
                <c:pt idx="68">
                  <c:v>3.0019871513347349E-4</c:v>
                </c:pt>
                <c:pt idx="69">
                  <c:v>2.3769062016652581E-4</c:v>
                </c:pt>
                <c:pt idx="70">
                  <c:v>1.8815154288200672E-4</c:v>
                </c:pt>
                <c:pt idx="71">
                  <c:v>1.4890159613068659E-4</c:v>
                </c:pt>
                <c:pt idx="72">
                  <c:v>1.1781210199380822E-4</c:v>
                </c:pt>
                <c:pt idx="73">
                  <c:v>9.3192819451234812E-5</c:v>
                </c:pt>
                <c:pt idx="74">
                  <c:v>7.3702101592273744E-5</c:v>
                </c:pt>
                <c:pt idx="75">
                  <c:v>5.8275354149733865E-5</c:v>
                </c:pt>
                <c:pt idx="76">
                  <c:v>4.6068093190151281E-5</c:v>
                </c:pt>
                <c:pt idx="77">
                  <c:v>3.6410642515178335E-5</c:v>
                </c:pt>
                <c:pt idx="78">
                  <c:v>2.8772106537307176E-5</c:v>
                </c:pt>
                <c:pt idx="79">
                  <c:v>2.2731731023758545E-5</c:v>
                </c:pt>
                <c:pt idx="80">
                  <c:v>1.7956145504705306E-5</c:v>
                </c:pt>
                <c:pt idx="81">
                  <c:v>1.4181286134081569E-5</c:v>
                </c:pt>
                <c:pt idx="82">
                  <c:v>1.1198041523564572E-5</c:v>
                </c:pt>
                <c:pt idx="83">
                  <c:v>8.8408587273567027E-6</c:v>
                </c:pt>
                <c:pt idx="84">
                  <c:v>6.9787019274989334E-6</c:v>
                </c:pt>
                <c:pt idx="85">
                  <c:v>5.5078803155863027E-6</c:v>
                </c:pt>
                <c:pt idx="86">
                  <c:v>4.3463604906361032E-6</c:v>
                </c:pt>
                <c:pt idx="87">
                  <c:v>3.4292574462414513E-6</c:v>
                </c:pt>
                <c:pt idx="88">
                  <c:v>2.7052609487227185E-6</c:v>
                </c:pt>
                <c:pt idx="89">
                  <c:v>2.1338040491711256E-6</c:v>
                </c:pt>
                <c:pt idx="90">
                  <c:v>1.6828202150896504E-6</c:v>
                </c:pt>
              </c:numCache>
            </c:numRef>
          </c:val>
          <c:smooth val="0"/>
        </c:ser>
        <c:dLbls>
          <c:showLegendKey val="0"/>
          <c:showVal val="0"/>
          <c:showCatName val="0"/>
          <c:showSerName val="0"/>
          <c:showPercent val="0"/>
          <c:showBubbleSize val="0"/>
        </c:dLbls>
        <c:smooth val="0"/>
        <c:axId val="517877424"/>
        <c:axId val="517874680"/>
      </c:lineChart>
      <c:catAx>
        <c:axId val="517877424"/>
        <c:scaling>
          <c:orientation val="minMax"/>
        </c:scaling>
        <c:delete val="0"/>
        <c:axPos val="b"/>
        <c:numFmt formatCode="General" sourceLinked="1"/>
        <c:majorTickMark val="out"/>
        <c:minorTickMark val="none"/>
        <c:tickLblPos val="nextTo"/>
        <c:spPr>
          <a:ln>
            <a:noFill/>
          </a:ln>
        </c:spPr>
        <c:crossAx val="517874680"/>
        <c:crosses val="autoZero"/>
        <c:auto val="1"/>
        <c:lblAlgn val="ctr"/>
        <c:lblOffset val="100"/>
        <c:tickLblSkip val="10"/>
        <c:noMultiLvlLbl val="0"/>
      </c:catAx>
      <c:valAx>
        <c:axId val="517874680"/>
        <c:scaling>
          <c:orientation val="minMax"/>
        </c:scaling>
        <c:delete val="0"/>
        <c:axPos val="l"/>
        <c:majorGridlines/>
        <c:title>
          <c:tx>
            <c:rich>
              <a:bodyPr rot="-5400000" vert="horz"/>
              <a:lstStyle/>
              <a:p>
                <a:pPr>
                  <a:defRPr/>
                </a:pPr>
                <a:r>
                  <a:rPr lang="de-DE"/>
                  <a:t>Gt CO</a:t>
                </a:r>
                <a:r>
                  <a:rPr lang="de-DE" baseline="-25000"/>
                  <a:t>2</a:t>
                </a:r>
                <a:endParaRPr lang="de-DE"/>
              </a:p>
            </c:rich>
          </c:tx>
          <c:layout>
            <c:manualLayout>
              <c:xMode val="edge"/>
              <c:yMode val="edge"/>
              <c:x val="7.2916856408129106E-3"/>
              <c:y val="0.4255661108308193"/>
            </c:manualLayout>
          </c:layout>
          <c:overlay val="0"/>
        </c:title>
        <c:numFmt formatCode="0" sourceLinked="0"/>
        <c:majorTickMark val="out"/>
        <c:minorTickMark val="none"/>
        <c:tickLblPos val="nextTo"/>
        <c:crossAx val="517877424"/>
        <c:crosses val="autoZero"/>
        <c:crossBetween val="midCat"/>
      </c:valAx>
    </c:plotArea>
    <c:legend>
      <c:legendPos val="r"/>
      <c:overlay val="0"/>
    </c:legend>
    <c:plotVisOnly val="1"/>
    <c:dispBlanksAs val="gap"/>
    <c:showDLblsOverMax val="0"/>
  </c:chart>
  <c:spPr>
    <a:ln>
      <a:solidFill>
        <a:schemeClr val="tx1">
          <a:lumMod val="50000"/>
          <a:lumOff val="50000"/>
        </a:schemeClr>
      </a:solidFill>
    </a:ln>
  </c:sp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overhoot 2020 - 2100</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v>overhoost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graphs!$J$3:$O$3</c:f>
              <c:strCache>
                <c:ptCount val="6"/>
                <c:pt idx="0">
                  <c:v>RM-1 const</c:v>
                </c:pt>
                <c:pt idx="1">
                  <c:v>RM-2 exp</c:v>
                </c:pt>
                <c:pt idx="2">
                  <c:v>RM-3 lin</c:v>
                </c:pt>
                <c:pt idx="3">
                  <c:v>RM-4 quadr</c:v>
                </c:pt>
                <c:pt idx="4">
                  <c:v>RM-5 rad</c:v>
                </c:pt>
                <c:pt idx="5">
                  <c:v>RM-6 abs</c:v>
                </c:pt>
              </c:strCache>
            </c:strRef>
          </c:cat>
          <c:val>
            <c:numRef>
              <c:f>graphs!$J$5:$O$5</c:f>
              <c:numCache>
                <c:formatCode>#,##0</c:formatCode>
                <c:ptCount val="6"/>
                <c:pt idx="0">
                  <c:v>142.75575901885998</c:v>
                </c:pt>
                <c:pt idx="1">
                  <c:v>234.77034012312299</c:v>
                </c:pt>
                <c:pt idx="2">
                  <c:v>206.36126585877378</c:v>
                </c:pt>
                <c:pt idx="3">
                  <c:v>230.46271593687152</c:v>
                </c:pt>
                <c:pt idx="4">
                  <c:v>183.03514003758721</c:v>
                </c:pt>
                <c:pt idx="5">
                  <c:v>227.96856269349993</c:v>
                </c:pt>
              </c:numCache>
            </c:numRef>
          </c:val>
        </c:ser>
        <c:dLbls>
          <c:showLegendKey val="0"/>
          <c:showVal val="0"/>
          <c:showCatName val="0"/>
          <c:showSerName val="0"/>
          <c:showPercent val="0"/>
          <c:showBubbleSize val="0"/>
        </c:dLbls>
        <c:gapWidth val="219"/>
        <c:overlap val="-27"/>
        <c:axId val="517879384"/>
        <c:axId val="517873504"/>
      </c:barChart>
      <c:catAx>
        <c:axId val="517879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de-DE"/>
          </a:p>
        </c:txPr>
        <c:crossAx val="517873504"/>
        <c:crosses val="autoZero"/>
        <c:auto val="1"/>
        <c:lblAlgn val="ctr"/>
        <c:lblOffset val="100"/>
        <c:noMultiLvlLbl val="0"/>
      </c:catAx>
      <c:valAx>
        <c:axId val="51787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a:t>
                </a:r>
                <a:r>
                  <a:rPr lang="de-DE" baseline="0"/>
                  <a:t> CO</a:t>
                </a:r>
                <a:r>
                  <a:rPr lang="de-DE" baseline="-25000"/>
                  <a:t>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79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de-DE" sz="900" b="0" i="0" u="none" strike="noStrike" baseline="0">
                <a:effectLst/>
              </a:rPr>
              <a:t>change rates</a:t>
            </a:r>
            <a:endParaRPr lang="de-DE" sz="900"/>
          </a:p>
        </c:rich>
      </c:tx>
      <c:layout/>
      <c:overlay val="0"/>
      <c:spPr>
        <a:noFill/>
        <a:ln>
          <a:noFill/>
        </a:ln>
        <a:effectLst/>
      </c:spPr>
    </c:title>
    <c:autoTitleDeleted val="0"/>
    <c:plotArea>
      <c:layout/>
      <c:lineChart>
        <c:grouping val="standard"/>
        <c:varyColors val="0"/>
        <c:ser>
          <c:idx val="0"/>
          <c:order val="0"/>
          <c:tx>
            <c:strRef>
              <c:f>graphs!$CD$9</c:f>
              <c:strCache>
                <c:ptCount val="1"/>
                <c:pt idx="0">
                  <c:v>RM-1 const</c:v>
                </c:pt>
              </c:strCache>
            </c:strRef>
          </c:tx>
          <c:spPr>
            <a:ln w="28575" cap="rnd">
              <a:solidFill>
                <a:schemeClr val="accent1"/>
              </a:solidFill>
              <a:round/>
            </a:ln>
            <a:effectLst/>
          </c:spPr>
          <c:marker>
            <c:symbol val="none"/>
          </c:marker>
          <c:dLbls>
            <c:dLbl>
              <c:idx val="0"/>
              <c:layout/>
              <c:tx>
                <c:rich>
                  <a:bodyPr wrap="square" lIns="38100" tIns="19050" rIns="38100" bIns="19050" anchor="ctr">
                    <a:spAutoFit/>
                  </a:bodyPr>
                  <a:lstStyle/>
                  <a:p>
                    <a:pPr>
                      <a:defRPr sz="1200" b="1"/>
                    </a:pPr>
                    <a:fld id="{64CA4D35-6B20-4D57-AEA4-D0E7E7F4501E}" type="CELLRANGE">
                      <a:rPr lang="en-US"/>
                      <a:pPr>
                        <a:defRPr sz="1200" b="1"/>
                      </a:pPr>
                      <a:t>[ZELLBEREICH]</a:t>
                    </a:fld>
                    <a:endParaRPr lang="de-DE"/>
                  </a:p>
                </c:rich>
              </c:tx>
              <c:spPr>
                <a:noFill/>
                <a:ln>
                  <a:noFill/>
                </a:ln>
                <a:effectLst/>
              </c:spPr>
              <c:showLegendKey val="0"/>
              <c:showVal val="0"/>
              <c:showCatName val="0"/>
              <c:showSerName val="0"/>
              <c:showPercent val="0"/>
              <c:showBubbleSize val="0"/>
              <c:extLst>
                <c:ext xmlns:c15="http://schemas.microsoft.com/office/drawing/2012/chart" uri="{CE6537A1-D6FC-4f65-9D91-7224C49458BB}">
                  <c15:layout/>
                  <c15:dlblFieldTable/>
                  <c15:showDataLabelsRange val="1"/>
                </c:ext>
              </c:extLst>
            </c:dLbl>
            <c:dLbl>
              <c:idx val="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0"/>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1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0"/>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1"/>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2"/>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3"/>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4"/>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5"/>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6"/>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7"/>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8"/>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29"/>
              <c:layout/>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layout/>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b="1"/>
                </a:pPr>
                <a:endParaRPr lang="de-DE"/>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pt idx="31">
                  <c:v>2082</c:v>
                </c:pt>
                <c:pt idx="32">
                  <c:v>2083</c:v>
                </c:pt>
                <c:pt idx="33">
                  <c:v>2084</c:v>
                </c:pt>
                <c:pt idx="34">
                  <c:v>2085</c:v>
                </c:pt>
                <c:pt idx="35">
                  <c:v>2086</c:v>
                </c:pt>
                <c:pt idx="36">
                  <c:v>2087</c:v>
                </c:pt>
                <c:pt idx="37">
                  <c:v>2088</c:v>
                </c:pt>
                <c:pt idx="38">
                  <c:v>2089</c:v>
                </c:pt>
                <c:pt idx="39">
                  <c:v>2090</c:v>
                </c:pt>
                <c:pt idx="40">
                  <c:v>2091</c:v>
                </c:pt>
                <c:pt idx="41">
                  <c:v>2092</c:v>
                </c:pt>
                <c:pt idx="42">
                  <c:v>2093</c:v>
                </c:pt>
                <c:pt idx="43">
                  <c:v>2094</c:v>
                </c:pt>
                <c:pt idx="44">
                  <c:v>2095</c:v>
                </c:pt>
                <c:pt idx="45">
                  <c:v>2096</c:v>
                </c:pt>
                <c:pt idx="46">
                  <c:v>2097</c:v>
                </c:pt>
                <c:pt idx="47">
                  <c:v>2098</c:v>
                </c:pt>
                <c:pt idx="48">
                  <c:v>2099</c:v>
                </c:pt>
                <c:pt idx="49">
                  <c:v>2100</c:v>
                </c:pt>
              </c:numCache>
            </c:numRef>
          </c:cat>
          <c:val>
            <c:numRef>
              <c:extLst>
                <c:ext xmlns:c15="http://schemas.microsoft.com/office/drawing/2012/chart" uri="{02D57815-91ED-43cb-92C2-25804820EDAC}">
                  <c15:fullRef>
                    <c15:sqref>(graphs!$CD$10:$CD$70,graphs!$CD$86)</c15:sqref>
                  </c15:fullRef>
                </c:ext>
              </c:extLst>
              <c:f>graphs!$CD$10:$CD$40</c:f>
              <c:numCache>
                <c:formatCode>0.0%</c:formatCode>
                <c:ptCount val="31"/>
                <c:pt idx="0">
                  <c:v>-7.7676569107411941E-2</c:v>
                </c:pt>
                <c:pt idx="1">
                  <c:v>-7.7676569107411719E-2</c:v>
                </c:pt>
                <c:pt idx="2">
                  <c:v>-7.767656910741183E-2</c:v>
                </c:pt>
                <c:pt idx="3">
                  <c:v>-7.767656910741183E-2</c:v>
                </c:pt>
                <c:pt idx="4">
                  <c:v>-7.767656910741183E-2</c:v>
                </c:pt>
                <c:pt idx="5">
                  <c:v>-7.767656910741183E-2</c:v>
                </c:pt>
                <c:pt idx="6">
                  <c:v>-7.767656910741183E-2</c:v>
                </c:pt>
                <c:pt idx="7">
                  <c:v>-7.767656910741183E-2</c:v>
                </c:pt>
                <c:pt idx="8">
                  <c:v>-7.767656910741183E-2</c:v>
                </c:pt>
                <c:pt idx="9">
                  <c:v>-7.767656910741183E-2</c:v>
                </c:pt>
                <c:pt idx="10">
                  <c:v>-7.767656910741183E-2</c:v>
                </c:pt>
                <c:pt idx="11">
                  <c:v>-7.7676569107411719E-2</c:v>
                </c:pt>
                <c:pt idx="12">
                  <c:v>-7.767656910741183E-2</c:v>
                </c:pt>
                <c:pt idx="13">
                  <c:v>-7.767656910741183E-2</c:v>
                </c:pt>
                <c:pt idx="14">
                  <c:v>-7.767656910741183E-2</c:v>
                </c:pt>
                <c:pt idx="15">
                  <c:v>-7.767656910741183E-2</c:v>
                </c:pt>
                <c:pt idx="16">
                  <c:v>-7.767656910741183E-2</c:v>
                </c:pt>
                <c:pt idx="17">
                  <c:v>-7.767656910741183E-2</c:v>
                </c:pt>
                <c:pt idx="18">
                  <c:v>-7.767656910741183E-2</c:v>
                </c:pt>
                <c:pt idx="19">
                  <c:v>-7.767656910741183E-2</c:v>
                </c:pt>
                <c:pt idx="20">
                  <c:v>-7.767656910741183E-2</c:v>
                </c:pt>
                <c:pt idx="21">
                  <c:v>-7.767656910741183E-2</c:v>
                </c:pt>
                <c:pt idx="22">
                  <c:v>-7.767656910741183E-2</c:v>
                </c:pt>
                <c:pt idx="23">
                  <c:v>-7.767656910741183E-2</c:v>
                </c:pt>
                <c:pt idx="24">
                  <c:v>-7.7676569107411719E-2</c:v>
                </c:pt>
                <c:pt idx="25">
                  <c:v>-7.767656910741183E-2</c:v>
                </c:pt>
                <c:pt idx="26">
                  <c:v>-7.7676569107411941E-2</c:v>
                </c:pt>
                <c:pt idx="27">
                  <c:v>-7.767656910741183E-2</c:v>
                </c:pt>
                <c:pt idx="28">
                  <c:v>-7.7676569107411719E-2</c:v>
                </c:pt>
                <c:pt idx="29">
                  <c:v>-7.767656910741183E-2</c:v>
                </c:pt>
                <c:pt idx="30">
                  <c:v>#N/A</c:v>
                </c:pt>
              </c:numCache>
            </c:numRef>
          </c:val>
          <c:smooth val="0"/>
          <c:extLst xmlns:c16r2="http://schemas.microsoft.com/office/drawing/2015/06/chart">
            <c:ext xmlns:c16="http://schemas.microsoft.com/office/drawing/2014/chart" uri="{C3380CC4-5D6E-409C-BE32-E72D297353CC}">
              <c16:uniqueId val="{00000000-5148-4F83-A587-64FB9CF6D363}"/>
            </c:ext>
            <c:ext xmlns:c15="http://schemas.microsoft.com/office/drawing/2012/chart" uri="{02D57815-91ED-43cb-92C2-25804820EDAC}">
              <c15:datalabelsRange>
                <c15:f>'goal seek'!$C$9</c15:f>
                <c15:dlblRangeCache>
                  <c:ptCount val="1"/>
                  <c:pt idx="0">
                    <c:v>-7,8%</c:v>
                  </c:pt>
                </c15:dlblRangeCache>
              </c15:datalabelsRange>
            </c:ext>
            <c:ext xmlns:c15="http://schemas.microsoft.com/office/drawing/2012/chart" uri="{02D57815-91ED-43cb-92C2-25804820EDAC}">
              <c15:categoryFilterExceptions>
                <c15:categoryFilterException>
                  <c15:sqref>graphs!$CD$41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graphs!$CD$49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graphs!$CD$59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graphs!$CD$61</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graphs!$CD$62</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graphs!$CD$63</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graphs!$CD$64</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graphs!$CD$65</c15:sqref>
                  <c15:dLbl>
                    <c:idx val="30"/>
                    <c:tx>
                      <c:rich>
                        <a:bodyPr/>
                        <a:lstStyle/>
                        <a:p>
                          <a:endParaRPr lang="de-DE"/>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s>
            </c:ext>
          </c:extLst>
        </c:ser>
        <c:ser>
          <c:idx val="1"/>
          <c:order val="1"/>
          <c:tx>
            <c:strRef>
              <c:f>graphs!$CE$9</c:f>
              <c:strCache>
                <c:ptCount val="1"/>
                <c:pt idx="0">
                  <c:v>RM-2 exp</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pt idx="31">
                  <c:v>2082</c:v>
                </c:pt>
                <c:pt idx="32">
                  <c:v>2083</c:v>
                </c:pt>
                <c:pt idx="33">
                  <c:v>2084</c:v>
                </c:pt>
                <c:pt idx="34">
                  <c:v>2085</c:v>
                </c:pt>
                <c:pt idx="35">
                  <c:v>2086</c:v>
                </c:pt>
                <c:pt idx="36">
                  <c:v>2087</c:v>
                </c:pt>
                <c:pt idx="37">
                  <c:v>2088</c:v>
                </c:pt>
                <c:pt idx="38">
                  <c:v>2089</c:v>
                </c:pt>
                <c:pt idx="39">
                  <c:v>2090</c:v>
                </c:pt>
                <c:pt idx="40">
                  <c:v>2091</c:v>
                </c:pt>
                <c:pt idx="41">
                  <c:v>2092</c:v>
                </c:pt>
                <c:pt idx="42">
                  <c:v>2093</c:v>
                </c:pt>
                <c:pt idx="43">
                  <c:v>2094</c:v>
                </c:pt>
                <c:pt idx="44">
                  <c:v>2095</c:v>
                </c:pt>
                <c:pt idx="45">
                  <c:v>2096</c:v>
                </c:pt>
                <c:pt idx="46">
                  <c:v>2097</c:v>
                </c:pt>
                <c:pt idx="47">
                  <c:v>2098</c:v>
                </c:pt>
                <c:pt idx="48">
                  <c:v>2099</c:v>
                </c:pt>
                <c:pt idx="49">
                  <c:v>2100</c:v>
                </c:pt>
              </c:numCache>
            </c:numRef>
          </c:cat>
          <c:val>
            <c:numRef>
              <c:extLst>
                <c:ext xmlns:c15="http://schemas.microsoft.com/office/drawing/2012/chart" uri="{02D57815-91ED-43cb-92C2-25804820EDAC}">
                  <c15:fullRef>
                    <c15:sqref>(graphs!$CE$10:$CE$70,graphs!$CE$86)</c15:sqref>
                  </c15:fullRef>
                </c:ext>
              </c:extLst>
              <c:f>graphs!$CE$10:$CE$40</c:f>
              <c:numCache>
                <c:formatCode>0.0%</c:formatCode>
                <c:ptCount val="31"/>
                <c:pt idx="0">
                  <c:v>-1.6000000000000014E-2</c:v>
                </c:pt>
                <c:pt idx="1">
                  <c:v>-1.8324991236321586E-2</c:v>
                </c:pt>
                <c:pt idx="2">
                  <c:v>-2.0987831488203934E-2</c:v>
                </c:pt>
                <c:pt idx="3">
                  <c:v>-2.4037614255670969E-2</c:v>
                </c:pt>
                <c:pt idx="4">
                  <c:v>-2.7530566911077914E-2</c:v>
                </c:pt>
                <c:pt idx="5">
                  <c:v>-3.1531087336029384E-2</c:v>
                </c:pt>
                <c:pt idx="6">
                  <c:v>-3.611293119402692E-2</c:v>
                </c:pt>
                <c:pt idx="7">
                  <c:v>-4.1360571728026652E-2</c:v>
                </c:pt>
                <c:pt idx="8">
                  <c:v>-4.7370757152833676E-2</c:v>
                </c:pt>
                <c:pt idx="9">
                  <c:v>-5.4254294355224886E-2</c:v>
                </c:pt>
                <c:pt idx="10">
                  <c:v>-6.2138091787019345E-2</c:v>
                </c:pt>
                <c:pt idx="11">
                  <c:v>-7.116749921492993E-2</c:v>
                </c:pt>
                <c:pt idx="12">
                  <c:v>-8.1508987464032234E-2</c:v>
                </c:pt>
                <c:pt idx="13">
                  <c:v>-9.3353217559989932E-2</c:v>
                </c:pt>
                <c:pt idx="14">
                  <c:v>-0.10691855585432763</c:v>
                </c:pt>
                <c:pt idx="15">
                  <c:v>-0.12245509993941972</c:v>
                </c:pt>
                <c:pt idx="16">
                  <c:v>-0.14024928957704708</c:v>
                </c:pt>
                <c:pt idx="17">
                  <c:v>-0.16062918764998257</c:v>
                </c:pt>
                <c:pt idx="18">
                  <c:v>-0.18397052849896189</c:v>
                </c:pt>
                <c:pt idx="19">
                  <c:v>-0.21070364515530837</c:v>
                </c:pt>
                <c:pt idx="20">
                  <c:v>-0.24132140318325279</c:v>
                </c:pt>
                <c:pt idx="21">
                  <c:v>-0.27638828740437138</c:v>
                </c:pt>
                <c:pt idx="22">
                  <c:v>-0.31655080903169042</c:v>
                </c:pt>
                <c:pt idx="23">
                  <c:v>-0.36254942508476518</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1-5148-4F83-A587-64FB9CF6D363}"/>
            </c:ext>
          </c:extLst>
        </c:ser>
        <c:ser>
          <c:idx val="2"/>
          <c:order val="2"/>
          <c:tx>
            <c:strRef>
              <c:f>graphs!$CF$9</c:f>
              <c:strCache>
                <c:ptCount val="1"/>
                <c:pt idx="0">
                  <c:v>RM-3 lin</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pt idx="31">
                  <c:v>2082</c:v>
                </c:pt>
                <c:pt idx="32">
                  <c:v>2083</c:v>
                </c:pt>
                <c:pt idx="33">
                  <c:v>2084</c:v>
                </c:pt>
                <c:pt idx="34">
                  <c:v>2085</c:v>
                </c:pt>
                <c:pt idx="35">
                  <c:v>2086</c:v>
                </c:pt>
                <c:pt idx="36">
                  <c:v>2087</c:v>
                </c:pt>
                <c:pt idx="37">
                  <c:v>2088</c:v>
                </c:pt>
                <c:pt idx="38">
                  <c:v>2089</c:v>
                </c:pt>
                <c:pt idx="39">
                  <c:v>2090</c:v>
                </c:pt>
                <c:pt idx="40">
                  <c:v>2091</c:v>
                </c:pt>
                <c:pt idx="41">
                  <c:v>2092</c:v>
                </c:pt>
                <c:pt idx="42">
                  <c:v>2093</c:v>
                </c:pt>
                <c:pt idx="43">
                  <c:v>2094</c:v>
                </c:pt>
                <c:pt idx="44">
                  <c:v>2095</c:v>
                </c:pt>
                <c:pt idx="45">
                  <c:v>2096</c:v>
                </c:pt>
                <c:pt idx="46">
                  <c:v>2097</c:v>
                </c:pt>
                <c:pt idx="47">
                  <c:v>2098</c:v>
                </c:pt>
                <c:pt idx="48">
                  <c:v>2099</c:v>
                </c:pt>
                <c:pt idx="49">
                  <c:v>2100</c:v>
                </c:pt>
              </c:numCache>
            </c:numRef>
          </c:cat>
          <c:val>
            <c:numRef>
              <c:extLst>
                <c:ext xmlns:c15="http://schemas.microsoft.com/office/drawing/2012/chart" uri="{02D57815-91ED-43cb-92C2-25804820EDAC}">
                  <c15:fullRef>
                    <c15:sqref>(graphs!$CF$10:$CF$70,graphs!$CF$86)</c15:sqref>
                  </c15:fullRef>
                </c:ext>
              </c:extLst>
              <c:f>graphs!$CF$10:$CF$40</c:f>
              <c:numCache>
                <c:formatCode>0.0%</c:formatCode>
                <c:ptCount val="31"/>
                <c:pt idx="0">
                  <c:v>-1.6000000000000014E-2</c:v>
                </c:pt>
                <c:pt idx="1">
                  <c:v>-2.2475423443837461E-2</c:v>
                </c:pt>
                <c:pt idx="2">
                  <c:v>-2.8950846887674575E-2</c:v>
                </c:pt>
                <c:pt idx="3">
                  <c:v>-3.5426270331512133E-2</c:v>
                </c:pt>
                <c:pt idx="4">
                  <c:v>-4.1901693775349358E-2</c:v>
                </c:pt>
                <c:pt idx="5">
                  <c:v>-4.8377117219186694E-2</c:v>
                </c:pt>
                <c:pt idx="6">
                  <c:v>-5.4852540663024141E-2</c:v>
                </c:pt>
                <c:pt idx="7">
                  <c:v>-6.1327964106861588E-2</c:v>
                </c:pt>
                <c:pt idx="8">
                  <c:v>-6.7803387550698924E-2</c:v>
                </c:pt>
                <c:pt idx="9">
                  <c:v>-7.427881099453626E-2</c:v>
                </c:pt>
                <c:pt idx="10">
                  <c:v>-8.0754234438373595E-2</c:v>
                </c:pt>
                <c:pt idx="11">
                  <c:v>-8.7229657882211042E-2</c:v>
                </c:pt>
                <c:pt idx="12">
                  <c:v>-9.3705081326048489E-2</c:v>
                </c:pt>
                <c:pt idx="13">
                  <c:v>-0.10018050476988583</c:v>
                </c:pt>
                <c:pt idx="14">
                  <c:v>-0.10665592821372305</c:v>
                </c:pt>
                <c:pt idx="15">
                  <c:v>-0.1131313516575605</c:v>
                </c:pt>
                <c:pt idx="16">
                  <c:v>-0.11960677510139783</c:v>
                </c:pt>
                <c:pt idx="17">
                  <c:v>-0.12608219854523517</c:v>
                </c:pt>
                <c:pt idx="18">
                  <c:v>-0.1325576219890725</c:v>
                </c:pt>
                <c:pt idx="19">
                  <c:v>-0.13903304543290984</c:v>
                </c:pt>
                <c:pt idx="20">
                  <c:v>-0.14550846887674729</c:v>
                </c:pt>
                <c:pt idx="21">
                  <c:v>-0.15198389232058473</c:v>
                </c:pt>
                <c:pt idx="22">
                  <c:v>-0.15845931576442196</c:v>
                </c:pt>
                <c:pt idx="23">
                  <c:v>-0.16493473920825952</c:v>
                </c:pt>
                <c:pt idx="24">
                  <c:v>-0.17141016265209674</c:v>
                </c:pt>
                <c:pt idx="25">
                  <c:v>-0.17788558609593408</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2-5148-4F83-A587-64FB9CF6D363}"/>
            </c:ext>
          </c:extLst>
        </c:ser>
        <c:ser>
          <c:idx val="3"/>
          <c:order val="3"/>
          <c:tx>
            <c:strRef>
              <c:f>graphs!$CG$9</c:f>
              <c:strCache>
                <c:ptCount val="1"/>
                <c:pt idx="0">
                  <c:v>RM-4 quadr</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pt idx="31">
                  <c:v>2082</c:v>
                </c:pt>
                <c:pt idx="32">
                  <c:v>2083</c:v>
                </c:pt>
                <c:pt idx="33">
                  <c:v>2084</c:v>
                </c:pt>
                <c:pt idx="34">
                  <c:v>2085</c:v>
                </c:pt>
                <c:pt idx="35">
                  <c:v>2086</c:v>
                </c:pt>
                <c:pt idx="36">
                  <c:v>2087</c:v>
                </c:pt>
                <c:pt idx="37">
                  <c:v>2088</c:v>
                </c:pt>
                <c:pt idx="38">
                  <c:v>2089</c:v>
                </c:pt>
                <c:pt idx="39">
                  <c:v>2090</c:v>
                </c:pt>
                <c:pt idx="40">
                  <c:v>2091</c:v>
                </c:pt>
                <c:pt idx="41">
                  <c:v>2092</c:v>
                </c:pt>
                <c:pt idx="42">
                  <c:v>2093</c:v>
                </c:pt>
                <c:pt idx="43">
                  <c:v>2094</c:v>
                </c:pt>
                <c:pt idx="44">
                  <c:v>2095</c:v>
                </c:pt>
                <c:pt idx="45">
                  <c:v>2096</c:v>
                </c:pt>
                <c:pt idx="46">
                  <c:v>2097</c:v>
                </c:pt>
                <c:pt idx="47">
                  <c:v>2098</c:v>
                </c:pt>
                <c:pt idx="48">
                  <c:v>2099</c:v>
                </c:pt>
                <c:pt idx="49">
                  <c:v>2100</c:v>
                </c:pt>
              </c:numCache>
            </c:numRef>
          </c:cat>
          <c:val>
            <c:numRef>
              <c:extLst>
                <c:ext xmlns:c15="http://schemas.microsoft.com/office/drawing/2012/chart" uri="{02D57815-91ED-43cb-92C2-25804820EDAC}">
                  <c15:fullRef>
                    <c15:sqref>(graphs!$CG$10:$CG$70,graphs!$CG$86)</c15:sqref>
                  </c15:fullRef>
                </c:ext>
              </c:extLst>
              <c:f>graphs!$CG$10:$CG$40</c:f>
              <c:numCache>
                <c:formatCode>0.0%</c:formatCode>
                <c:ptCount val="31"/>
                <c:pt idx="0">
                  <c:v>-1.6000000000000014E-2</c:v>
                </c:pt>
                <c:pt idx="1">
                  <c:v>-1.6531309630515523E-2</c:v>
                </c:pt>
                <c:pt idx="2">
                  <c:v>-1.812523852206227E-2</c:v>
                </c:pt>
                <c:pt idx="3">
                  <c:v>-2.0781786674640479E-2</c:v>
                </c:pt>
                <c:pt idx="4">
                  <c:v>-2.4500954088249705E-2</c:v>
                </c:pt>
                <c:pt idx="5">
                  <c:v>-2.9282740762889947E-2</c:v>
                </c:pt>
                <c:pt idx="6">
                  <c:v>-3.5127146698561651E-2</c:v>
                </c:pt>
                <c:pt idx="7">
                  <c:v>-4.2034171895264705E-2</c:v>
                </c:pt>
                <c:pt idx="8">
                  <c:v>-5.0003816352998665E-2</c:v>
                </c:pt>
                <c:pt idx="9">
                  <c:v>-5.9036080071763863E-2</c:v>
                </c:pt>
                <c:pt idx="10">
                  <c:v>-6.9130963051560301E-2</c:v>
                </c:pt>
                <c:pt idx="11">
                  <c:v>-8.0288465292387978E-2</c:v>
                </c:pt>
                <c:pt idx="12">
                  <c:v>-9.2508586794246783E-2</c:v>
                </c:pt>
                <c:pt idx="13">
                  <c:v>-0.10579132755713683</c:v>
                </c:pt>
                <c:pt idx="14">
                  <c:v>-0.12013668758105822</c:v>
                </c:pt>
                <c:pt idx="15">
                  <c:v>-0.13554466686601063</c:v>
                </c:pt>
                <c:pt idx="16">
                  <c:v>-0.15201526541199439</c:v>
                </c:pt>
                <c:pt idx="17">
                  <c:v>-0.16954848321900928</c:v>
                </c:pt>
                <c:pt idx="18">
                  <c:v>-0.1881443202870553</c:v>
                </c:pt>
                <c:pt idx="19">
                  <c:v>-0.20780277661613267</c:v>
                </c:pt>
                <c:pt idx="20">
                  <c:v>-0.22852385220624116</c:v>
                </c:pt>
                <c:pt idx="21">
                  <c:v>-0.25030754705738079</c:v>
                </c:pt>
                <c:pt idx="22">
                  <c:v>-0.27315386116955187</c:v>
                </c:pt>
                <c:pt idx="23">
                  <c:v>-0.29706279454275397</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3-5148-4F83-A587-64FB9CF6D363}"/>
            </c:ext>
          </c:extLst>
        </c:ser>
        <c:ser>
          <c:idx val="5"/>
          <c:order val="4"/>
          <c:tx>
            <c:strRef>
              <c:f>graphs!$CH$9</c:f>
              <c:strCache>
                <c:ptCount val="1"/>
                <c:pt idx="0">
                  <c:v>RM-5 rad</c:v>
                </c:pt>
              </c:strCache>
            </c:strRef>
          </c:tx>
          <c:marker>
            <c:symbol val="none"/>
          </c:marker>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pt idx="31">
                  <c:v>2071</c:v>
                </c:pt>
                <c:pt idx="32">
                  <c:v>2072</c:v>
                </c:pt>
                <c:pt idx="33">
                  <c:v>2073</c:v>
                </c:pt>
                <c:pt idx="34">
                  <c:v>2074</c:v>
                </c:pt>
                <c:pt idx="35">
                  <c:v>2075</c:v>
                </c:pt>
                <c:pt idx="36">
                  <c:v>2076</c:v>
                </c:pt>
                <c:pt idx="37">
                  <c:v>2077</c:v>
                </c:pt>
                <c:pt idx="38">
                  <c:v>2078</c:v>
                </c:pt>
                <c:pt idx="39">
                  <c:v>2079</c:v>
                </c:pt>
                <c:pt idx="40">
                  <c:v>2080</c:v>
                </c:pt>
                <c:pt idx="41">
                  <c:v>2081</c:v>
                </c:pt>
                <c:pt idx="42">
                  <c:v>2082</c:v>
                </c:pt>
                <c:pt idx="43">
                  <c:v>2083</c:v>
                </c:pt>
                <c:pt idx="44">
                  <c:v>2084</c:v>
                </c:pt>
                <c:pt idx="45">
                  <c:v>2085</c:v>
                </c:pt>
                <c:pt idx="46">
                  <c:v>2086</c:v>
                </c:pt>
                <c:pt idx="47">
                  <c:v>2087</c:v>
                </c:pt>
                <c:pt idx="48">
                  <c:v>2088</c:v>
                </c:pt>
                <c:pt idx="49">
                  <c:v>2089</c:v>
                </c:pt>
                <c:pt idx="50">
                  <c:v>2090</c:v>
                </c:pt>
                <c:pt idx="51">
                  <c:v>2091</c:v>
                </c:pt>
                <c:pt idx="52">
                  <c:v>2092</c:v>
                </c:pt>
                <c:pt idx="53">
                  <c:v>2093</c:v>
                </c:pt>
                <c:pt idx="54">
                  <c:v>2094</c:v>
                </c:pt>
                <c:pt idx="55">
                  <c:v>2095</c:v>
                </c:pt>
                <c:pt idx="56">
                  <c:v>2096</c:v>
                </c:pt>
                <c:pt idx="57">
                  <c:v>2097</c:v>
                </c:pt>
                <c:pt idx="58">
                  <c:v>2098</c:v>
                </c:pt>
                <c:pt idx="59">
                  <c:v>2099</c:v>
                </c:pt>
                <c:pt idx="60">
                  <c:v>2100</c:v>
                </c:pt>
              </c:numCache>
            </c:numRef>
          </c:cat>
          <c:val>
            <c:numRef>
              <c:extLst>
                <c:ext xmlns:c15="http://schemas.microsoft.com/office/drawing/2012/chart" uri="{02D57815-91ED-43cb-92C2-25804820EDAC}">
                  <c15:fullRef>
                    <c15:sqref>graphs!$CH$10:$CH$60</c15:sqref>
                  </c15:fullRef>
                </c:ext>
              </c:extLst>
              <c:f>graphs!$CH$10:$CH$40</c:f>
              <c:numCache>
                <c:formatCode>0.0%</c:formatCode>
                <c:ptCount val="31"/>
                <c:pt idx="0">
                  <c:v>-1.6000000000000014E-2</c:v>
                </c:pt>
                <c:pt idx="1">
                  <c:v>-3.1984882019052474E-2</c:v>
                </c:pt>
                <c:pt idx="2">
                  <c:v>-4.3686627809993106E-2</c:v>
                </c:pt>
                <c:pt idx="3">
                  <c:v>-5.1743282806915425E-2</c:v>
                </c:pt>
                <c:pt idx="4">
                  <c:v>-5.8292022559120804E-2</c:v>
                </c:pt>
                <c:pt idx="5">
                  <c:v>-6.3954646057157505E-2</c:v>
                </c:pt>
                <c:pt idx="6">
                  <c:v>-6.9015855975295692E-2</c:v>
                </c:pt>
                <c:pt idx="7">
                  <c:v>-7.3634311751936021E-2</c:v>
                </c:pt>
                <c:pt idx="8">
                  <c:v>-7.7909181850880582E-2</c:v>
                </c:pt>
                <c:pt idx="9">
                  <c:v>-8.1907356977589885E-2</c:v>
                </c:pt>
                <c:pt idx="10">
                  <c:v>-8.567648534547001E-2</c:v>
                </c:pt>
                <c:pt idx="11">
                  <c:v>-8.9251931827246556E-2</c:v>
                </c:pt>
                <c:pt idx="12">
                  <c:v>-9.2660801083406463E-2</c:v>
                </c:pt>
                <c:pt idx="13">
                  <c:v>-9.5924410095262536E-2</c:v>
                </c:pt>
                <c:pt idx="14">
                  <c:v>-9.9059883429979179E-2</c:v>
                </c:pt>
                <c:pt idx="15">
                  <c:v>-0.10208122409519849</c:v>
                </c:pt>
                <c:pt idx="16">
                  <c:v>-0.10500005644972277</c:v>
                </c:pt>
                <c:pt idx="17">
                  <c:v>-0.10782615615596625</c:v>
                </c:pt>
                <c:pt idx="18">
                  <c:v>-0.11056783734814879</c:v>
                </c:pt>
                <c:pt idx="19">
                  <c:v>-0.11323224139673016</c:v>
                </c:pt>
                <c:pt idx="20">
                  <c:v>-0.11582555621361723</c:v>
                </c:pt>
                <c:pt idx="21">
                  <c:v>-0.11835318548869944</c:v>
                </c:pt>
                <c:pt idx="22">
                  <c:v>-0.12081988115815712</c:v>
                </c:pt>
                <c:pt idx="23">
                  <c:v>-0.12322984842074625</c:v>
                </c:pt>
                <c:pt idx="24">
                  <c:v>-0.12558682995078507</c:v>
                </c:pt>
                <c:pt idx="25">
                  <c:v>-0.12789417413336734</c:v>
                </c:pt>
                <c:pt idx="26">
                  <c:v>-0.13015489087776477</c:v>
                </c:pt>
                <c:pt idx="27">
                  <c:v>-0.1323716976658863</c:v>
                </c:pt>
                <c:pt idx="28">
                  <c:v>#N/A</c:v>
                </c:pt>
                <c:pt idx="29">
                  <c:v>#N/A</c:v>
                </c:pt>
                <c:pt idx="30">
                  <c:v>#N/A</c:v>
                </c:pt>
              </c:numCache>
            </c:numRef>
          </c:val>
          <c:smooth val="0"/>
        </c:ser>
        <c:ser>
          <c:idx val="6"/>
          <c:order val="5"/>
          <c:tx>
            <c:strRef>
              <c:f>graphs!$CI$9</c:f>
              <c:strCache>
                <c:ptCount val="1"/>
                <c:pt idx="0">
                  <c:v>RM-6 abs</c:v>
                </c:pt>
              </c:strCache>
            </c:strRef>
          </c:tx>
          <c:spPr>
            <a:ln>
              <a:solidFill>
                <a:sysClr val="windowText" lastClr="000000">
                  <a:lumMod val="50000"/>
                  <a:lumOff val="50000"/>
                </a:sysClr>
              </a:solidFill>
            </a:ln>
          </c:spPr>
          <c:marker>
            <c:symbol val="none"/>
          </c:marker>
          <c:cat>
            <c:numRef>
              <c:extLst>
                <c:ext xmlns:c15="http://schemas.microsoft.com/office/drawing/2012/chart" uri="{02D57815-91ED-43cb-92C2-25804820EDAC}">
                  <c15:fullRef>
                    <c15:sqref>graphs!$BT$10:$BT$90</c15:sqref>
                  </c15:fullRef>
                </c:ext>
              </c:extLst>
              <c:f>graphs!$BT$10:$BT$40</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extLst>
                <c:ext xmlns:c15="http://schemas.microsoft.com/office/drawing/2012/chart" uri="{02D57815-91ED-43cb-92C2-25804820EDAC}">
                  <c15:fullRef>
                    <c15:sqref>graphs!$CI$10:$CI$90</c15:sqref>
                  </c15:fullRef>
                </c:ext>
              </c:extLst>
              <c:f>graphs!$CI$10:$CI$40</c:f>
              <c:numCache>
                <c:formatCode>0.0%</c:formatCode>
                <c:ptCount val="31"/>
                <c:pt idx="0">
                  <c:v>-3.6144907258855219E-2</c:v>
                </c:pt>
                <c:pt idx="1">
                  <c:v>-3.750035407922292E-2</c:v>
                </c:pt>
                <c:pt idx="2">
                  <c:v>-3.8961421168470234E-2</c:v>
                </c:pt>
                <c:pt idx="3">
                  <c:v>-4.0540954366099613E-2</c:v>
                </c:pt>
                <c:pt idx="4">
                  <c:v>-4.2253970662515128E-2</c:v>
                </c:pt>
                <c:pt idx="5">
                  <c:v>-4.411813713468915E-2</c:v>
                </c:pt>
                <c:pt idx="6">
                  <c:v>-4.6154382511707448E-2</c:v>
                </c:pt>
                <c:pt idx="7">
                  <c:v>-4.8387686293766441E-2</c:v>
                </c:pt>
                <c:pt idx="8">
                  <c:v>-5.0848108622419397E-2</c:v>
                </c:pt>
                <c:pt idx="9">
                  <c:v>-5.3572151185011574E-2</c:v>
                </c:pt>
                <c:pt idx="10">
                  <c:v>-5.6604580319660536E-2</c:v>
                </c:pt>
                <c:pt idx="11">
                  <c:v>-6.0000906447945757E-2</c:v>
                </c:pt>
                <c:pt idx="12">
                  <c:v>-6.3830813092824679E-2</c:v>
                </c:pt>
                <c:pt idx="13">
                  <c:v>-6.8182988700688507E-2</c:v>
                </c:pt>
                <c:pt idx="14">
                  <c:v>-7.3172079790231659E-2</c:v>
                </c:pt>
                <c:pt idx="15">
                  <c:v>-7.8948937763625771E-2</c:v>
                </c:pt>
                <c:pt idx="16">
                  <c:v>-8.5716135620029998E-2</c:v>
                </c:pt>
                <c:pt idx="17">
                  <c:v>-9.3752213026486397E-2</c:v>
                </c:pt>
                <c:pt idx="18">
                  <c:v>-0.10345097044548857</c:v>
                </c:pt>
                <c:pt idx="19">
                  <c:v>-0.11538796767968462</c:v>
                </c:pt>
                <c:pt idx="20">
                  <c:v>-0.13043906646513148</c:v>
                </c:pt>
                <c:pt idx="21">
                  <c:v>-0.15000566542804672</c:v>
                </c:pt>
                <c:pt idx="22">
                  <c:v>-0.17647842971046102</c:v>
                </c:pt>
                <c:pt idx="23">
                  <c:v>-0.21429727657092656</c:v>
                </c:pt>
                <c:pt idx="24">
                  <c:v>-0.27274600199380816</c:v>
                </c:pt>
                <c:pt idx="25">
                  <c:v>-0.37503541093147208</c:v>
                </c:pt>
                <c:pt idx="26">
                  <c:v>#N/A</c:v>
                </c:pt>
                <c:pt idx="27">
                  <c:v>#N/A</c:v>
                </c:pt>
                <c:pt idx="28">
                  <c:v>#N/A</c:v>
                </c:pt>
                <c:pt idx="29">
                  <c:v>#N/A</c:v>
                </c:pt>
                <c:pt idx="30">
                  <c:v>#N/A</c:v>
                </c:pt>
              </c:numCache>
            </c:numRef>
          </c:val>
          <c:smooth val="0"/>
        </c:ser>
        <c:dLbls>
          <c:showLegendKey val="0"/>
          <c:showVal val="0"/>
          <c:showCatName val="0"/>
          <c:showSerName val="0"/>
          <c:showPercent val="0"/>
          <c:showBubbleSize val="0"/>
        </c:dLbls>
        <c:smooth val="0"/>
        <c:axId val="517880560"/>
        <c:axId val="517874288"/>
        <c:extLst xmlns:c16r2="http://schemas.microsoft.com/office/drawing/2015/06/chart">
          <c:ext xmlns:c15="http://schemas.microsoft.com/office/drawing/2012/chart" uri="{02D57815-91ED-43cb-92C2-25804820EDAC}">
            <c15:filteredLineSeries>
              <c15:ser>
                <c:idx val="4"/>
                <c:order val="6"/>
                <c:tx>
                  <c:strRef>
                    <c:extLst xmlns:c16r2="http://schemas.microsoft.com/office/drawing/2015/06/chart">
                      <c:ext uri="{02D57815-91ED-43cb-92C2-25804820EDAC}">
                        <c15:formulaRef>
                          <c15:sqref>graphs!$CJ$9</c15:sqref>
                        </c15:formulaRef>
                      </c:ext>
                    </c:extLst>
                    <c:strCache>
                      <c:ptCount val="1"/>
                      <c:pt idx="0">
                        <c:v>SPM-R</c:v>
                      </c:pt>
                    </c:strCache>
                  </c:strRef>
                </c:tx>
                <c:spPr>
                  <a:ln>
                    <a:solidFill>
                      <a:sysClr val="windowText" lastClr="000000">
                        <a:lumMod val="65000"/>
                        <a:lumOff val="35000"/>
                      </a:sysClr>
                    </a:solidFill>
                  </a:ln>
                </c:spPr>
                <c:marker>
                  <c:symbol val="none"/>
                </c:marker>
                <c:cat>
                  <c:numRef>
                    <c:extLst>
                      <c:ext uri="{02D57815-91ED-43cb-92C2-25804820EDAC}">
                        <c15:fullRef>
                          <c15:sqref>graphs!$BT$10:$BT$90</c15:sqref>
                        </c15:fullRef>
                        <c15:formulaRef>
                          <c15:sqref>graphs!$BT$10:$BT$40</c15:sqref>
                        </c15:formulaRef>
                      </c:ext>
                    </c:extLst>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extLst>
                      <c:ext uri="{02D57815-91ED-43cb-92C2-25804820EDAC}">
                        <c15:fullRef>
                          <c15:sqref>graphs!$CJ$10:$CJ$90</c15:sqref>
                        </c15:fullRef>
                        <c15:formulaRef>
                          <c15:sqref>graphs!$CJ$10:$CJ$40</c15:sqref>
                        </c15:formulaRef>
                      </c:ext>
                    </c:extLst>
                    <c:numCache>
                      <c:formatCode>0.0%</c:formatCode>
                      <c:ptCount val="31"/>
                      <c:pt idx="0">
                        <c:v>-1.1281600276042858E-2</c:v>
                      </c:pt>
                      <c:pt idx="1">
                        <c:v>-5.0224262245711304E-2</c:v>
                      </c:pt>
                      <c:pt idx="2">
                        <c:v>-8.0814854933102809E-2</c:v>
                      </c:pt>
                      <c:pt idx="3">
                        <c:v>-0.10209617637966262</c:v>
                      </c:pt>
                      <c:pt idx="4">
                        <c:v>-0.11775649313364533</c:v>
                      </c:pt>
                      <c:pt idx="5">
                        <c:v>-0.1297630095477974</c:v>
                      </c:pt>
                      <c:pt idx="6">
                        <c:v>-0.13926086984216324</c:v>
                      </c:pt>
                      <c:pt idx="7">
                        <c:v>-0.146961946726615</c:v>
                      </c:pt>
                      <c:pt idx="8">
                        <c:v>-0.15333204710287318</c:v>
                      </c:pt>
                      <c:pt idx="9">
                        <c:v>-0.15868877415144733</c:v>
                      </c:pt>
                      <c:pt idx="10">
                        <c:v>-0.16325612612079476</c:v>
                      </c:pt>
                      <c:pt idx="11">
                        <c:v>-0.16719661425213095</c:v>
                      </c:pt>
                      <c:pt idx="12">
                        <c:v>-0.17063100550023935</c:v>
                      </c:pt>
                      <c:pt idx="13">
                        <c:v>-0.17365091730451299</c:v>
                      </c:pt>
                      <c:pt idx="14">
                        <c:v>-0.17632711186357919</c:v>
                      </c:pt>
                      <c:pt idx="15">
                        <c:v>-0.17871511081380209</c:v>
                      </c:pt>
                      <c:pt idx="16">
                        <c:v>-0.18085908867589184</c:v>
                      </c:pt>
                      <c:pt idx="17">
                        <c:v>-0.18279463074838287</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15:ser>
            </c15:filteredLineSeries>
          </c:ext>
        </c:extLst>
      </c:lineChart>
      <c:catAx>
        <c:axId val="517880560"/>
        <c:scaling>
          <c:orientation val="minMax"/>
        </c:scaling>
        <c:delete val="0"/>
        <c:axPos val="b"/>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74288"/>
        <c:crosses val="autoZero"/>
        <c:auto val="1"/>
        <c:lblAlgn val="ctr"/>
        <c:lblOffset val="100"/>
        <c:tickLblSkip val="5"/>
        <c:noMultiLvlLbl val="0"/>
      </c:catAx>
      <c:valAx>
        <c:axId val="517874288"/>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805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graphs!$BU$8</c:f>
              <c:strCache>
                <c:ptCount val="1"/>
                <c:pt idx="0">
                  <c:v>RM-1 const</c:v>
                </c:pt>
              </c:strCache>
            </c:strRef>
          </c:tx>
          <c:spPr>
            <a:ln w="28575" cap="rnd">
              <a:solidFill>
                <a:schemeClr val="accent1"/>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graphs!$BU$9:$BU$90</c:f>
              <c:numCache>
                <c:formatCode>#,##0.00</c:formatCode>
                <c:ptCount val="82"/>
                <c:pt idx="0">
                  <c:v>42.311683327829648</c:v>
                </c:pt>
                <c:pt idx="1">
                  <c:v>39.02505693376456</c:v>
                </c:pt>
                <c:pt idx="2">
                  <c:v>35.993724401928318</c:v>
                </c:pt>
                <c:pt idx="3">
                  <c:v>33.197855380988798</c:v>
                </c:pt>
                <c:pt idx="4">
                  <c:v>30.61915987326956</c:v>
                </c:pt>
                <c:pt idx="5">
                  <c:v>28.240768585362645</c:v>
                </c:pt>
                <c:pt idx="6">
                  <c:v>26.047122572695297</c:v>
                </c:pt>
                <c:pt idx="7">
                  <c:v>24.023871456128106</c:v>
                </c:pt>
                <c:pt idx="8">
                  <c:v>22.157779544738592</c:v>
                </c:pt>
                <c:pt idx="9">
                  <c:v>20.436639250664907</c:v>
                </c:pt>
                <c:pt idx="10">
                  <c:v>18.84919122958739</c:v>
                </c:pt>
                <c:pt idx="11">
                  <c:v>17.385050724423525</c:v>
                </c:pt>
                <c:pt idx="12">
                  <c:v>16.034639630391982</c:v>
                </c:pt>
                <c:pt idx="13">
                  <c:v>14.789123837029395</c:v>
                </c:pt>
                <c:pt idx="14">
                  <c:v>13.64035543726431</c:v>
                </c:pt>
                <c:pt idx="15">
                  <c:v>12.580819425491988</c:v>
                </c:pt>
                <c:pt idx="16">
                  <c:v>11.603584535959891</c:v>
                </c:pt>
                <c:pt idx="17">
                  <c:v>10.702257899858708</c:v>
                </c:pt>
                <c:pt idx="18">
                  <c:v>9.8709432244949884</c:v>
                </c:pt>
                <c:pt idx="19">
                  <c:v>9.1042022209621649</c:v>
                </c:pt>
                <c:pt idx="20">
                  <c:v>8.3970190279777448</c:v>
                </c:pt>
                <c:pt idx="21">
                  <c:v>7.744767399154779</c:v>
                </c:pt>
                <c:pt idx="22">
                  <c:v>7.143180439053503</c:v>
                </c:pt>
                <c:pt idx="23">
                  <c:v>6.5883226900326513</c:v>
                </c:pt>
                <c:pt idx="24">
                  <c:v>6.0765643872984008</c:v>
                </c:pt>
                <c:pt idx="25">
                  <c:v>5.6045577137327793</c:v>
                </c:pt>
                <c:pt idx="26">
                  <c:v>5.1692148991655369</c:v>
                </c:pt>
                <c:pt idx="27">
                  <c:v>4.7676880208194419</c:v>
                </c:pt>
                <c:pt idx="28">
                  <c:v>4.397350372787681</c:v>
                </c:pt>
                <c:pt idx="29">
                  <c:v>4.0557792826663359</c:v>
                </c:pt>
                <c:pt idx="30">
                  <c:v>3.7407402629318951</c:v>
                </c:pt>
                <c:pt idx="31">
                  <c:v>3.4257012431974543</c:v>
                </c:pt>
                <c:pt idx="32">
                  <c:v>3.1106622234630135</c:v>
                </c:pt>
                <c:pt idx="33">
                  <c:v>2.7956232037285726</c:v>
                </c:pt>
                <c:pt idx="34">
                  <c:v>2.4805841839941318</c:v>
                </c:pt>
                <c:pt idx="35">
                  <c:v>2.165545164259691</c:v>
                </c:pt>
                <c:pt idx="36">
                  <c:v>1.8505061445252502</c:v>
                </c:pt>
                <c:pt idx="37">
                  <c:v>1.5354671247908094</c:v>
                </c:pt>
                <c:pt idx="38">
                  <c:v>1.2204281050563686</c:v>
                </c:pt>
                <c:pt idx="39">
                  <c:v>0.90538908532192774</c:v>
                </c:pt>
                <c:pt idx="40">
                  <c:v>0.59035006558748693</c:v>
                </c:pt>
                <c:pt idx="41">
                  <c:v>0.27531104585304611</c:v>
                </c:pt>
                <c:pt idx="42">
                  <c:v>-3.9727973881394707E-2</c:v>
                </c:pt>
                <c:pt idx="43">
                  <c:v>-0.35476699361583552</c:v>
                </c:pt>
                <c:pt idx="44">
                  <c:v>-0.66980601335027634</c:v>
                </c:pt>
                <c:pt idx="45">
                  <c:v>-0.98484503308471716</c:v>
                </c:pt>
                <c:pt idx="46">
                  <c:v>-1.299884052819158</c:v>
                </c:pt>
                <c:pt idx="47">
                  <c:v>-1.6149230725535988</c:v>
                </c:pt>
                <c:pt idx="48">
                  <c:v>-1.9299620922880396</c:v>
                </c:pt>
                <c:pt idx="49">
                  <c:v>-2.2450011120224804</c:v>
                </c:pt>
                <c:pt idx="50">
                  <c:v>-2.5600401317569212</c:v>
                </c:pt>
                <c:pt idx="51">
                  <c:v>-2.8750791514913621</c:v>
                </c:pt>
                <c:pt idx="52">
                  <c:v>-3.1901181712258029</c:v>
                </c:pt>
                <c:pt idx="53">
                  <c:v>-3.5051571909602437</c:v>
                </c:pt>
                <c:pt idx="54">
                  <c:v>-3.8201962106946845</c:v>
                </c:pt>
                <c:pt idx="55">
                  <c:v>-4.1352352304291253</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0-EE9B-45AD-B6C1-E4A29746DB45}"/>
            </c:ext>
          </c:extLst>
        </c:ser>
        <c:ser>
          <c:idx val="1"/>
          <c:order val="1"/>
          <c:tx>
            <c:strRef>
              <c:f>graphs!$BV$8</c:f>
              <c:strCache>
                <c:ptCount val="1"/>
                <c:pt idx="0">
                  <c:v>RM-2 exp</c:v>
                </c:pt>
              </c:strCache>
            </c:strRef>
          </c:tx>
          <c:spPr>
            <a:ln w="28575" cap="rnd">
              <a:solidFill>
                <a:schemeClr val="accent2"/>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graphs!$BV$9:$BV$90</c:f>
              <c:numCache>
                <c:formatCode>#,##0.00</c:formatCode>
                <c:ptCount val="82"/>
                <c:pt idx="0">
                  <c:v>42.311683327829648</c:v>
                </c:pt>
                <c:pt idx="1">
                  <c:v>41.634696394584374</c:v>
                </c:pt>
                <c:pt idx="2">
                  <c:v>40.871740948026705</c:v>
                </c:pt>
                <c:pt idx="3">
                  <c:v>40.013931736379995</c:v>
                </c:pt>
                <c:pt idx="4">
                  <c:v>39.052092280448143</c:v>
                </c:pt>
                <c:pt idx="5">
                  <c:v>37.976966040903676</c:v>
                </c:pt>
                <c:pt idx="6">
                  <c:v>36.779511007910521</c:v>
                </c:pt>
                <c:pt idx="7">
                  <c:v>35.451295057531894</c:v>
                </c:pt>
                <c:pt idx="8">
                  <c:v>33.98500922545341</c:v>
                </c:pt>
                <c:pt idx="9">
                  <c:v>32.375113606597644</c:v>
                </c:pt>
                <c:pt idx="10">
                  <c:v>30.618624663201448</c:v>
                </c:pt>
                <c:pt idx="11">
                  <c:v>28.716041753487143</c:v>
                </c:pt>
                <c:pt idx="12">
                  <c:v>26.672392874539952</c:v>
                </c:pt>
                <c:pt idx="13">
                  <c:v>24.498353138093332</c:v>
                </c:pt>
                <c:pt idx="14">
                  <c:v>22.211353047731443</c:v>
                </c:pt>
                <c:pt idx="15">
                  <c:v>19.836547256297379</c:v>
                </c:pt>
                <c:pt idx="16">
                  <c:v>17.407460879574462</c:v>
                </c:pt>
                <c:pt idx="17">
                  <c:v>14.966076857873905</c:v>
                </c:pt>
                <c:pt idx="18">
                  <c:v>12.562088089886416</c:v>
                </c:pt>
                <c:pt idx="19">
                  <c:v>10.251034104939498</c:v>
                </c:pt>
                <c:pt idx="20">
                  <c:v>8.091103852417362</c:v>
                </c:pt>
                <c:pt idx="21">
                  <c:v>6.1385473174505822</c:v>
                </c:pt>
                <c:pt idx="22">
                  <c:v>4.4419247372297175</c:v>
                </c:pt>
                <c:pt idx="23">
                  <c:v>3.0358298680017715</c:v>
                </c:pt>
                <c:pt idx="24">
                  <c:v>1.9351914947025706</c:v>
                </c:pt>
                <c:pt idx="25">
                  <c:v>0.83455312140336968</c:v>
                </c:pt>
                <c:pt idx="26">
                  <c:v>-0.26608525189583121</c:v>
                </c:pt>
                <c:pt idx="27">
                  <c:v>-1.3667236251950321</c:v>
                </c:pt>
                <c:pt idx="28">
                  <c:v>-2.467361998494233</c:v>
                </c:pt>
                <c:pt idx="29">
                  <c:v>-3.5680003717934339</c:v>
                </c:pt>
                <c:pt idx="30">
                  <c:v>-4.3499999999999996</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1-EE9B-45AD-B6C1-E4A29746DB45}"/>
            </c:ext>
          </c:extLst>
        </c:ser>
        <c:ser>
          <c:idx val="2"/>
          <c:order val="2"/>
          <c:tx>
            <c:strRef>
              <c:f>graphs!$BW$8</c:f>
              <c:strCache>
                <c:ptCount val="1"/>
                <c:pt idx="0">
                  <c:v>RM-3 lin</c:v>
                </c:pt>
              </c:strCache>
            </c:strRef>
          </c:tx>
          <c:spPr>
            <a:ln w="28575" cap="rnd">
              <a:solidFill>
                <a:schemeClr val="accent3"/>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graphs!$BW$9:$BW$90</c:f>
              <c:numCache>
                <c:formatCode>#,##0.00</c:formatCode>
                <c:ptCount val="82"/>
                <c:pt idx="0">
                  <c:v>42.311683327829648</c:v>
                </c:pt>
                <c:pt idx="1">
                  <c:v>41.634696394584374</c:v>
                </c:pt>
                <c:pt idx="2">
                  <c:v>40.698938963160479</c:v>
                </c:pt>
                <c:pt idx="3">
                  <c:v>39.520670212747206</c:v>
                </c:pt>
                <c:pt idx="4">
                  <c:v>38.120600266107886</c:v>
                </c:pt>
                <c:pt idx="5">
                  <c:v>36.52328254722493</c:v>
                </c:pt>
                <c:pt idx="6">
                  <c:v>34.756391426208353</c:v>
                </c:pt>
                <c:pt idx="7">
                  <c:v>32.849915052202277</c:v>
                </c:pt>
                <c:pt idx="8">
                  <c:v>30.835296640967364</c:v>
                </c:pt>
                <c:pt idx="9">
                  <c:v>28.74455907257909</c:v>
                </c:pt>
                <c:pt idx="10">
                  <c:v>26.609447402105705</c:v>
                </c:pt>
                <c:pt idx="11">
                  <c:v>24.460621848320489</c:v>
                </c:pt>
                <c:pt idx="12">
                  <c:v>22.326930172905357</c:v>
                </c:pt>
                <c:pt idx="13">
                  <c:v>20.234783365292255</c:v>
                </c:pt>
                <c:pt idx="14">
                  <c:v>18.207652553847989</c:v>
                </c:pt>
                <c:pt idx="15">
                  <c:v>16.265698470124367</c:v>
                </c:pt>
                <c:pt idx="16">
                  <c:v>14.425538016544882</c:v>
                </c:pt>
                <c:pt idx="17">
                  <c:v>12.700145935283334</c:v>
                </c:pt>
                <c:pt idx="18">
                  <c:v>11.098883613917479</c:v>
                </c:pt>
                <c:pt idx="19">
                  <c:v>9.6276419953230956</c:v>
                </c:pt>
                <c:pt idx="20">
                  <c:v>8.2890816083755485</c:v>
                </c:pt>
                <c:pt idx="21">
                  <c:v>7.0829500351464167</c:v>
                </c:pt>
                <c:pt idx="22">
                  <c:v>6.0064557196926422</c:v>
                </c:pt>
                <c:pt idx="23">
                  <c:v>5.0546768561808477</c:v>
                </c:pt>
                <c:pt idx="24">
                  <c:v>4.2209850471246346</c:v>
                </c:pt>
                <c:pt idx="25">
                  <c:v>3.4974653136449327</c:v>
                </c:pt>
                <c:pt idx="26">
                  <c:v>2.8753166464770041</c:v>
                </c:pt>
                <c:pt idx="27">
                  <c:v>2.2531679793090755</c:v>
                </c:pt>
                <c:pt idx="28">
                  <c:v>1.6310193121411469</c:v>
                </c:pt>
                <c:pt idx="29">
                  <c:v>1.0088706449732183</c:v>
                </c:pt>
                <c:pt idx="30">
                  <c:v>0.38672197780528972</c:v>
                </c:pt>
                <c:pt idx="31">
                  <c:v>-0.23542668936263889</c:v>
                </c:pt>
                <c:pt idx="32">
                  <c:v>-0.85757535653056749</c:v>
                </c:pt>
                <c:pt idx="33">
                  <c:v>-1.4797240236984961</c:v>
                </c:pt>
                <c:pt idx="34">
                  <c:v>-2.1018726908664247</c:v>
                </c:pt>
                <c:pt idx="35">
                  <c:v>-2.7240213580343533</c:v>
                </c:pt>
                <c:pt idx="36">
                  <c:v>-3.3461700252022819</c:v>
                </c:pt>
                <c:pt idx="37">
                  <c:v>-3.9683186923702105</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2-EE9B-45AD-B6C1-E4A29746DB45}"/>
            </c:ext>
          </c:extLst>
        </c:ser>
        <c:ser>
          <c:idx val="3"/>
          <c:order val="3"/>
          <c:tx>
            <c:strRef>
              <c:f>graphs!$BX$8</c:f>
              <c:strCache>
                <c:ptCount val="1"/>
                <c:pt idx="0">
                  <c:v>RM-4 quadr</c:v>
                </c:pt>
              </c:strCache>
            </c:strRef>
          </c:tx>
          <c:spPr>
            <a:ln w="28575" cap="rnd">
              <a:solidFill>
                <a:schemeClr val="accent4"/>
              </a:solidFill>
              <a:round/>
            </a:ln>
            <a:effectLst/>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graphs!$BX$9:$BX$90</c:f>
              <c:numCache>
                <c:formatCode>#,##0.00</c:formatCode>
                <c:ptCount val="82"/>
                <c:pt idx="0">
                  <c:v>42.311683327829648</c:v>
                </c:pt>
                <c:pt idx="1">
                  <c:v>41.634696394584374</c:v>
                </c:pt>
                <c:pt idx="2">
                  <c:v>40.94642033711299</c:v>
                </c:pt>
                <c:pt idx="3">
                  <c:v>40.204256701878194</c:v>
                </c:pt>
                <c:pt idx="4">
                  <c:v>39.368740415687277</c:v>
                </c:pt>
                <c:pt idx="5">
                  <c:v>38.404168714250304</c:v>
                </c:pt>
                <c:pt idx="6">
                  <c:v>37.279589397576622</c:v>
                </c:pt>
                <c:pt idx="7">
                  <c:v>35.970063791945805</c:v>
                </c:pt>
                <c:pt idx="8">
                  <c:v>34.458091947431519</c:v>
                </c:pt>
                <c:pt idx="9">
                  <c:v>32.735055845817413</c:v>
                </c:pt>
                <c:pt idx="10">
                  <c:v>30.802506467750074</c:v>
                </c:pt>
                <c:pt idx="11">
                  <c:v>28.673099531232598</c:v>
                </c:pt>
                <c:pt idx="12">
                  <c:v>26.370980374694042</c:v>
                </c:pt>
                <c:pt idx="13">
                  <c:v>23.931438247852281</c:v>
                </c:pt>
                <c:pt idx="14">
                  <c:v>21.399699625260347</c:v>
                </c:pt>
                <c:pt idx="15">
                  <c:v>18.828810597051955</c:v>
                </c:pt>
                <c:pt idx="16">
                  <c:v>16.276665737191337</c:v>
                </c:pt>
                <c:pt idx="17">
                  <c:v>13.80236407512988</c:v>
                </c:pt>
                <c:pt idx="18">
                  <c:v>11.462194181355065</c:v>
                </c:pt>
                <c:pt idx="19">
                  <c:v>9.3056474481057752</c:v>
                </c:pt>
                <c:pt idx="20">
                  <c:v>7.3719080701785655</c:v>
                </c:pt>
                <c:pt idx="21">
                  <c:v>5.6872512398710828</c:v>
                </c:pt>
                <c:pt idx="22">
                  <c:v>4.2636893325199043</c:v>
                </c:pt>
                <c:pt idx="23">
                  <c:v>3.0990461285146633</c:v>
                </c:pt>
                <c:pt idx="24">
                  <c:v>2.1784348251611947</c:v>
                </c:pt>
                <c:pt idx="25">
                  <c:v>1.2578235218077261</c:v>
                </c:pt>
                <c:pt idx="26">
                  <c:v>0.33721221845425742</c:v>
                </c:pt>
                <c:pt idx="27">
                  <c:v>-0.58339908489921122</c:v>
                </c:pt>
                <c:pt idx="28">
                  <c:v>-1.5040103882526799</c:v>
                </c:pt>
                <c:pt idx="29">
                  <c:v>-2.4246216916061485</c:v>
                </c:pt>
                <c:pt idx="30">
                  <c:v>-3.3452329949596171</c:v>
                </c:pt>
                <c:pt idx="31">
                  <c:v>-4.2658442983130858</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3-EE9B-45AD-B6C1-E4A29746DB45}"/>
            </c:ext>
          </c:extLst>
        </c:ser>
        <c:ser>
          <c:idx val="5"/>
          <c:order val="4"/>
          <c:tx>
            <c:strRef>
              <c:f>graphs!$BY$8</c:f>
              <c:strCache>
                <c:ptCount val="1"/>
                <c:pt idx="0">
                  <c:v>RM-5 rad</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graphs!$BY$9:$BY$90</c:f>
              <c:numCache>
                <c:formatCode>#,##0.00</c:formatCode>
                <c:ptCount val="82"/>
                <c:pt idx="0">
                  <c:v>42.311683327829648</c:v>
                </c:pt>
                <c:pt idx="1">
                  <c:v>41.634696394584374</c:v>
                </c:pt>
                <c:pt idx="2">
                  <c:v>40.303015542504525</c:v>
                </c:pt>
                <c:pt idx="3">
                  <c:v>38.54231270287876</c:v>
                </c:pt>
                <c:pt idx="4">
                  <c:v>36.548006916661137</c:v>
                </c:pt>
                <c:pt idx="5">
                  <c:v>34.417549672984222</c:v>
                </c:pt>
                <c:pt idx="6">
                  <c:v>32.216387465493881</c:v>
                </c:pt>
                <c:pt idx="7">
                  <c:v>29.992945908131034</c:v>
                </c:pt>
                <c:pt idx="8">
                  <c:v>27.784435978772759</c:v>
                </c:pt>
                <c:pt idx="9">
                  <c:v>25.619773303478404</c:v>
                </c:pt>
                <c:pt idx="10">
                  <c:v>23.52132538582547</c:v>
                </c:pt>
                <c:pt idx="11">
                  <c:v>21.506100896100762</c:v>
                </c:pt>
                <c:pt idx="12">
                  <c:v>19.58663984505209</c:v>
                </c:pt>
                <c:pt idx="13">
                  <c:v>17.771726106477395</c:v>
                </c:pt>
                <c:pt idx="14">
                  <c:v>16.066983763338975</c:v>
                </c:pt>
                <c:pt idx="15">
                  <c:v>14.475390224671248</c:v>
                </c:pt>
                <c:pt idx="16">
                  <c:v>12.997724671281137</c:v>
                </c:pt>
                <c:pt idx="17">
                  <c:v>11.632962847078664</c:v>
                </c:pt>
                <c:pt idx="18">
                  <c:v>10.378625178573007</c:v>
                </c:pt>
                <c:pt idx="19">
                  <c:v>9.2310830379311444</c:v>
                </c:pt>
                <c:pt idx="20">
                  <c:v>8.1858268150268643</c:v>
                </c:pt>
                <c:pt idx="21">
                  <c:v>7.2376988711080346</c:v>
                </c:pt>
                <c:pt idx="22">
                  <c:v>6.381094154104435</c:v>
                </c:pt>
                <c:pt idx="23">
                  <c:v>5.6101311167465262</c:v>
                </c:pt>
                <c:pt idx="24">
                  <c:v>4.9187955096093399</c:v>
                </c:pt>
                <c:pt idx="25">
                  <c:v>4.3010595743813465</c:v>
                </c:pt>
                <c:pt idx="26">
                  <c:v>3.7509791122174319</c:v>
                </c:pt>
                <c:pt idx="27">
                  <c:v>3.2627708351819971</c:v>
                </c:pt>
                <c:pt idx="28">
                  <c:v>2.8308723206342146</c:v>
                </c:pt>
                <c:pt idx="29">
                  <c:v>2.3989738060864321</c:v>
                </c:pt>
                <c:pt idx="30">
                  <c:v>1.9670752915386496</c:v>
                </c:pt>
                <c:pt idx="31">
                  <c:v>1.5351767769908671</c:v>
                </c:pt>
                <c:pt idx="32">
                  <c:v>1.1032782624430846</c:v>
                </c:pt>
                <c:pt idx="33">
                  <c:v>0.67137974789530208</c:v>
                </c:pt>
                <c:pt idx="34">
                  <c:v>0.23948123334751958</c:v>
                </c:pt>
                <c:pt idx="35">
                  <c:v>-0.19241728120026291</c:v>
                </c:pt>
                <c:pt idx="36">
                  <c:v>-0.62431579574804541</c:v>
                </c:pt>
                <c:pt idx="37">
                  <c:v>-1.0562143102958279</c:v>
                </c:pt>
                <c:pt idx="38">
                  <c:v>-1.4881128248436104</c:v>
                </c:pt>
                <c:pt idx="39">
                  <c:v>-1.9200113393913929</c:v>
                </c:pt>
                <c:pt idx="40">
                  <c:v>-2.3519098539391754</c:v>
                </c:pt>
                <c:pt idx="41">
                  <c:v>-2.7838083684869579</c:v>
                </c:pt>
                <c:pt idx="42">
                  <c:v>-3.2157068830347404</c:v>
                </c:pt>
                <c:pt idx="43">
                  <c:v>-3.6476053975825229</c:v>
                </c:pt>
                <c:pt idx="44">
                  <c:v>-4.0795039121303054</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ser>
          <c:idx val="6"/>
          <c:order val="5"/>
          <c:tx>
            <c:strRef>
              <c:f>graphs!$BZ$8</c:f>
              <c:strCache>
                <c:ptCount val="1"/>
                <c:pt idx="0">
                  <c:v>RM-6 abs</c:v>
                </c:pt>
              </c:strCache>
            </c:strRef>
          </c:tx>
          <c:spPr>
            <a:ln>
              <a:solidFill>
                <a:schemeClr val="bg1">
                  <a:lumMod val="50000"/>
                </a:schemeClr>
              </a:solidFill>
            </a:ln>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graphs!$BZ$9:$BZ$90</c:f>
              <c:numCache>
                <c:formatCode>#,##0.00</c:formatCode>
                <c:ptCount val="82"/>
                <c:pt idx="0">
                  <c:v>42.311683327829648</c:v>
                </c:pt>
                <c:pt idx="1">
                  <c:v>40.782331457979197</c:v>
                </c:pt>
                <c:pt idx="2">
                  <c:v>39.252979588128746</c:v>
                </c:pt>
                <c:pt idx="3">
                  <c:v>37.723627718278294</c:v>
                </c:pt>
                <c:pt idx="4">
                  <c:v>36.194275848427843</c:v>
                </c:pt>
                <c:pt idx="5">
                  <c:v>34.664923978577391</c:v>
                </c:pt>
                <c:pt idx="6">
                  <c:v>33.13557210872694</c:v>
                </c:pt>
                <c:pt idx="7">
                  <c:v>31.606220238876492</c:v>
                </c:pt>
                <c:pt idx="8">
                  <c:v>30.076868369026045</c:v>
                </c:pt>
                <c:pt idx="9">
                  <c:v>28.547516499175597</c:v>
                </c:pt>
                <c:pt idx="10">
                  <c:v>27.018164629325149</c:v>
                </c:pt>
                <c:pt idx="11">
                  <c:v>25.488812759474701</c:v>
                </c:pt>
                <c:pt idx="12">
                  <c:v>23.959460889624253</c:v>
                </c:pt>
                <c:pt idx="13">
                  <c:v>22.430109019773806</c:v>
                </c:pt>
                <c:pt idx="14">
                  <c:v>20.900757149923358</c:v>
                </c:pt>
                <c:pt idx="15">
                  <c:v>19.37140528007291</c:v>
                </c:pt>
                <c:pt idx="16">
                  <c:v>17.842053410222462</c:v>
                </c:pt>
                <c:pt idx="17">
                  <c:v>16.312701540372014</c:v>
                </c:pt>
                <c:pt idx="18">
                  <c:v>14.783349670521565</c:v>
                </c:pt>
                <c:pt idx="19">
                  <c:v>13.253997800671115</c:v>
                </c:pt>
                <c:pt idx="20">
                  <c:v>11.724645930820666</c:v>
                </c:pt>
                <c:pt idx="21">
                  <c:v>10.195294060970216</c:v>
                </c:pt>
                <c:pt idx="22">
                  <c:v>8.6659421911197665</c:v>
                </c:pt>
                <c:pt idx="23">
                  <c:v>7.1365903212693178</c:v>
                </c:pt>
                <c:pt idx="24">
                  <c:v>5.6072384514188691</c:v>
                </c:pt>
                <c:pt idx="25">
                  <c:v>4.0778865815684204</c:v>
                </c:pt>
                <c:pt idx="26">
                  <c:v>2.5485347117179717</c:v>
                </c:pt>
                <c:pt idx="27">
                  <c:v>1.0191828418675228</c:v>
                </c:pt>
                <c:pt idx="28">
                  <c:v>-0.51016902798292607</c:v>
                </c:pt>
                <c:pt idx="29">
                  <c:v>-2.0395208978333752</c:v>
                </c:pt>
                <c:pt idx="30">
                  <c:v>-3.5688727676838239</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dLbls>
          <c:showLegendKey val="0"/>
          <c:showVal val="0"/>
          <c:showCatName val="0"/>
          <c:showSerName val="0"/>
          <c:showPercent val="0"/>
          <c:showBubbleSize val="0"/>
        </c:dLbls>
        <c:smooth val="0"/>
        <c:axId val="517877816"/>
        <c:axId val="517880952"/>
        <c:extLst xmlns:c16r2="http://schemas.microsoft.com/office/drawing/2015/06/chart">
          <c:ext xmlns:c15="http://schemas.microsoft.com/office/drawing/2012/chart" uri="{02D57815-91ED-43cb-92C2-25804820EDAC}">
            <c15:filteredLineSeries>
              <c15:ser>
                <c:idx val="4"/>
                <c:order val="6"/>
                <c:tx>
                  <c:strRef>
                    <c:extLst xmlns:c16r2="http://schemas.microsoft.com/office/drawing/2015/06/chart">
                      <c:ext uri="{02D57815-91ED-43cb-92C2-25804820EDAC}">
                        <c15:formulaRef>
                          <c15:sqref>graphs!$CA$8</c15:sqref>
                        </c15:formulaRef>
                      </c:ext>
                    </c:extLst>
                    <c:strCache>
                      <c:ptCount val="1"/>
                      <c:pt idx="0">
                        <c:v>SPM-R</c:v>
                      </c:pt>
                    </c:strCache>
                  </c:strRef>
                </c:tx>
                <c:spPr>
                  <a:ln>
                    <a:solidFill>
                      <a:schemeClr val="tx1">
                        <a:lumMod val="65000"/>
                        <a:lumOff val="35000"/>
                      </a:schemeClr>
                    </a:solidFill>
                  </a:ln>
                </c:spPr>
                <c:marker>
                  <c:symbol val="none"/>
                </c:marker>
                <c:cat>
                  <c:numRef>
                    <c:extLst xmlns:c16r2="http://schemas.microsoft.com/office/drawing/2015/06/chart">
                      <c:ex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graphs!$CA$9:$CA$90</c15:sqref>
                        </c15:formulaRef>
                      </c:ext>
                    </c:extLst>
                    <c:numCache>
                      <c:formatCode>#,##0.00</c:formatCode>
                      <c:ptCount val="82"/>
                      <c:pt idx="0">
                        <c:v>42.311683327829648</c:v>
                      </c:pt>
                      <c:pt idx="1">
                        <c:v>41.834339829518569</c:v>
                      </c:pt>
                      <c:pt idx="2">
                        <c:v>39.733240975044623</c:v>
                      </c:pt>
                      <c:pt idx="3">
                        <c:v>36.522204869624375</c:v>
                      </c:pt>
                      <c:pt idx="4">
                        <c:v>32.793427399481033</c:v>
                      </c:pt>
                      <c:pt idx="5">
                        <c:v>28.931788391085348</c:v>
                      </c:pt>
                      <c:pt idx="6">
                        <c:v>25.177512457858086</c:v>
                      </c:pt>
                      <c:pt idx="7">
                        <c:v>21.671270172514866</c:v>
                      </c:pt>
                      <c:pt idx="8">
                        <c:v>18.486418119923655</c:v>
                      </c:pt>
                      <c:pt idx="9">
                        <c:v>15.651857785996114</c:v>
                      </c:pt>
                      <c:pt idx="10">
                        <c:v>13.168083660743605</c:v>
                      </c:pt>
                      <c:pt idx="11">
                        <c:v>11.018313333856071</c:v>
                      </c:pt>
                      <c:pt idx="12">
                        <c:v>9.1760886496662266</c:v>
                      </c:pt>
                      <c:pt idx="13">
                        <c:v>7.6103634168143444</c:v>
                      </c:pt>
                      <c:pt idx="14">
                        <c:v>6.2888168284638262</c:v>
                      </c:pt>
                      <c:pt idx="15">
                        <c:v>5.1799279200617256</c:v>
                      </c:pt>
                      <c:pt idx="16">
                        <c:v>4.2541965278203868</c:v>
                      </c:pt>
                      <c:pt idx="17">
                        <c:v>3.4847864207506483</c:v>
                      </c:pt>
                      <c:pt idx="18">
                        <c:v>2.8477861737325547</c:v>
                      </c:pt>
                      <c:pt idx="19">
                        <c:v>2.3222251737788593</c:v>
                      </c:pt>
                      <c:pt idx="20">
                        <c:v>1.8899401284246782</c:v>
                      </c:pt>
                      <c:pt idx="21">
                        <c:v>1.5353572783066616</c:v>
                      </c:pt>
                      <c:pt idx="22">
                        <c:v>1.2452340190892004</c:v>
                      </c:pt>
                      <c:pt idx="23">
                        <c:v>1.0083884535049643</c:v>
                      </c:pt>
                      <c:pt idx="24">
                        <c:v>0.81543478321211005</c:v>
                      </c:pt>
                      <c:pt idx="25">
                        <c:v>0.65853513342908965</c:v>
                      </c:pt>
                      <c:pt idx="26">
                        <c:v>0.53117344366821539</c:v>
                      </c:pt>
                      <c:pt idx="27">
                        <c:v>0.42795377134786117</c:v>
                      </c:pt>
                      <c:pt idx="28">
                        <c:v>0.3444232447171347</c:v>
                      </c:pt>
                      <c:pt idx="29">
                        <c:v>0.27691860830715598</c:v>
                      </c:pt>
                      <c:pt idx="30">
                        <c:v>0.22243457015738544</c:v>
                      </c:pt>
                      <c:pt idx="31">
                        <c:v>0.17851180150263735</c:v>
                      </c:pt>
                      <c:pt idx="32">
                        <c:v>0.14314232650366598</c:v>
                      </c:pt>
                      <c:pt idx="33">
                        <c:v>0.11469008108803347</c:v>
                      </c:pt>
                      <c:pt idx="34">
                        <c:v>9.1824553318918978E-2</c:v>
                      </c:pt>
                      <c:pt idx="35">
                        <c:v>7.3465600361367511E-2</c:v>
                      </c:pt>
                      <c:pt idx="36">
                        <c:v>5.8737740815139106E-2</c:v>
                      </c:pt>
                      <c:pt idx="37">
                        <c:v>4.6932427746303962E-2</c:v>
                      </c:pt>
                      <c:pt idx="38">
                        <c:v>3.7477005992540335E-2</c:v>
                      </c:pt>
                      <c:pt idx="39">
                        <c:v>2.9909240852516977E-2</c:v>
                      </c:pt>
                      <c:pt idx="40">
                        <c:v>2.3856470934856572E-2</c:v>
                      </c:pt>
                      <c:pt idx="41">
                        <c:v>1.9018584686248563E-2</c:v>
                      </c:pt>
                      <c:pt idx="42">
                        <c:v>1.5154148224542634E-2</c:v>
                      </c:pt>
                      <c:pt idx="43">
                        <c:v>1.2069122650795593E-2</c:v>
                      </c:pt>
                      <c:pt idx="44">
                        <c:v>9.6077035150404153E-3</c:v>
                      </c:pt>
                      <c:pt idx="45">
                        <c:v>7.6448952630430445E-3</c:v>
                      </c:pt>
                      <c:pt idx="46">
                        <c:v>6.0805010261560204E-3</c:v>
                      </c:pt>
                      <c:pt idx="47">
                        <c:v>4.8342646991232363E-3</c:v>
                      </c:pt>
                      <c:pt idx="48">
                        <c:v>3.8419494262553113E-3</c:v>
                      </c:pt>
                      <c:pt idx="49">
                        <c:v>3.0521757811871712E-3</c:v>
                      </c:pt>
                      <c:pt idx="50">
                        <c:v>2.4238753176652125E-3</c:v>
                      </c:pt>
                      <c:pt idx="51">
                        <c:v>1.9242418703228478E-3</c:v>
                      </c:pt>
                      <c:pt idx="52">
                        <c:v>1.5270849293665132E-3</c:v>
                      </c:pt>
                      <c:pt idx="53">
                        <c:v>1.211507400511235E-3</c:v>
                      </c:pt>
                      <c:pt idx="54">
                        <c:v>9.6084476937006134E-4</c:v>
                      </c:pt>
                      <c:pt idx="55">
                        <c:v>7.61814689302157E-4</c:v>
                      </c:pt>
                      <c:pt idx="56">
                        <c:v>6.0383578242502933E-4</c:v>
                      </c:pt>
                      <c:pt idx="57">
                        <c:v>4.784823845500471E-4</c:v>
                      </c:pt>
                      <c:pt idx="58">
                        <c:v>3.7904840791133545E-4</c:v>
                      </c:pt>
                      <c:pt idx="59">
                        <c:v>3.0019871513347349E-4</c:v>
                      </c:pt>
                      <c:pt idx="60">
                        <c:v>2.3769062016652581E-4</c:v>
                      </c:pt>
                      <c:pt idx="61">
                        <c:v>1.8815154288200672E-4</c:v>
                      </c:pt>
                      <c:pt idx="62">
                        <c:v>1.4890159613068659E-4</c:v>
                      </c:pt>
                      <c:pt idx="63">
                        <c:v>1.1781210199380822E-4</c:v>
                      </c:pt>
                      <c:pt idx="64">
                        <c:v>9.3192819451234812E-5</c:v>
                      </c:pt>
                      <c:pt idx="65">
                        <c:v>7.3702101592273744E-5</c:v>
                      </c:pt>
                      <c:pt idx="66">
                        <c:v>5.8275354149733865E-5</c:v>
                      </c:pt>
                      <c:pt idx="67">
                        <c:v>4.6068093190151281E-5</c:v>
                      </c:pt>
                      <c:pt idx="68">
                        <c:v>3.6410642515178335E-5</c:v>
                      </c:pt>
                      <c:pt idx="69">
                        <c:v>2.8772106537307176E-5</c:v>
                      </c:pt>
                      <c:pt idx="70">
                        <c:v>2.2731731023758545E-5</c:v>
                      </c:pt>
                      <c:pt idx="71">
                        <c:v>1.7956145504705306E-5</c:v>
                      </c:pt>
                      <c:pt idx="72">
                        <c:v>1.4181286134081569E-5</c:v>
                      </c:pt>
                      <c:pt idx="73">
                        <c:v>1.1198041523564572E-5</c:v>
                      </c:pt>
                      <c:pt idx="74">
                        <c:v>8.8408587273567027E-6</c:v>
                      </c:pt>
                      <c:pt idx="75">
                        <c:v>6.9787019274989334E-6</c:v>
                      </c:pt>
                      <c:pt idx="76">
                        <c:v>5.5078803155863027E-6</c:v>
                      </c:pt>
                      <c:pt idx="77">
                        <c:v>4.3463604906361032E-6</c:v>
                      </c:pt>
                      <c:pt idx="78">
                        <c:v>3.4292574462414513E-6</c:v>
                      </c:pt>
                      <c:pt idx="79">
                        <c:v>2.7052609487227185E-6</c:v>
                      </c:pt>
                      <c:pt idx="80">
                        <c:v>2.1338040491711256E-6</c:v>
                      </c:pt>
                      <c:pt idx="81">
                        <c:v>1.6828202150896504E-6</c:v>
                      </c:pt>
                    </c:numCache>
                  </c:numRef>
                </c:val>
                <c:smooth val="0"/>
              </c15:ser>
            </c15:filteredLineSeries>
          </c:ext>
        </c:extLst>
      </c:lineChart>
      <c:catAx>
        <c:axId val="51787781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de-DE"/>
          </a:p>
        </c:txPr>
        <c:crossAx val="517880952"/>
        <c:crosses val="autoZero"/>
        <c:auto val="1"/>
        <c:lblAlgn val="ctr"/>
        <c:lblOffset val="100"/>
        <c:noMultiLvlLbl val="0"/>
      </c:catAx>
      <c:valAx>
        <c:axId val="517880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778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global emission paths</a:t>
            </a:r>
          </a:p>
        </c:rich>
      </c:tx>
      <c:layout/>
      <c:overlay val="0"/>
      <c:spPr>
        <a:noFill/>
        <a:ln>
          <a:noFill/>
        </a:ln>
        <a:effectLst/>
      </c:spPr>
    </c:title>
    <c:autoTitleDeleted val="0"/>
    <c:plotArea>
      <c:layout/>
      <c:lineChart>
        <c:grouping val="standard"/>
        <c:varyColors val="0"/>
        <c:ser>
          <c:idx val="5"/>
          <c:order val="4"/>
          <c:tx>
            <c:strRef>
              <c:f>'IPCC SR15 graphs'!$BY$9</c:f>
              <c:strCache>
                <c:ptCount val="1"/>
                <c:pt idx="0">
                  <c:v>RM-5 rad</c:v>
                </c:pt>
              </c:strCache>
            </c:strRef>
          </c:tx>
          <c:spPr>
            <a:ln>
              <a:solidFill>
                <a:srgbClr val="FF6600">
                  <a:alpha val="50000"/>
                </a:srgbClr>
              </a:solidFill>
            </a:ln>
          </c:spPr>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'IPCC SR15 graphs'!$BY$10:$BY$91</c:f>
              <c:numCache>
                <c:formatCode>#,##0.00</c:formatCode>
                <c:ptCount val="82"/>
                <c:pt idx="0">
                  <c:v>42.311683327829648</c:v>
                </c:pt>
                <c:pt idx="1">
                  <c:v>41.634696394584374</c:v>
                </c:pt>
                <c:pt idx="2">
                  <c:v>40.303015542504525</c:v>
                </c:pt>
                <c:pt idx="3">
                  <c:v>38.54231270287876</c:v>
                </c:pt>
                <c:pt idx="4">
                  <c:v>36.548006916661137</c:v>
                </c:pt>
                <c:pt idx="5">
                  <c:v>34.417549672984222</c:v>
                </c:pt>
                <c:pt idx="6">
                  <c:v>32.216387465493881</c:v>
                </c:pt>
                <c:pt idx="7">
                  <c:v>29.992945908131034</c:v>
                </c:pt>
                <c:pt idx="8">
                  <c:v>27.784435978772759</c:v>
                </c:pt>
                <c:pt idx="9">
                  <c:v>25.619773303478404</c:v>
                </c:pt>
                <c:pt idx="10">
                  <c:v>23.52132538582547</c:v>
                </c:pt>
                <c:pt idx="11">
                  <c:v>21.506100896100762</c:v>
                </c:pt>
                <c:pt idx="12">
                  <c:v>19.58663984505209</c:v>
                </c:pt>
                <c:pt idx="13">
                  <c:v>17.771726106477395</c:v>
                </c:pt>
                <c:pt idx="14">
                  <c:v>16.066983763338975</c:v>
                </c:pt>
                <c:pt idx="15">
                  <c:v>14.475390224671248</c:v>
                </c:pt>
                <c:pt idx="16">
                  <c:v>12.997724671281137</c:v>
                </c:pt>
                <c:pt idx="17">
                  <c:v>11.632962847078664</c:v>
                </c:pt>
                <c:pt idx="18">
                  <c:v>10.378625178573007</c:v>
                </c:pt>
                <c:pt idx="19">
                  <c:v>9.2310830379311444</c:v>
                </c:pt>
                <c:pt idx="20">
                  <c:v>8.1858268150268643</c:v>
                </c:pt>
                <c:pt idx="21">
                  <c:v>7.2376988711080346</c:v>
                </c:pt>
                <c:pt idx="22">
                  <c:v>6.381094154104435</c:v>
                </c:pt>
                <c:pt idx="23">
                  <c:v>5.6101311167465262</c:v>
                </c:pt>
                <c:pt idx="24">
                  <c:v>4.9187955096093399</c:v>
                </c:pt>
                <c:pt idx="25">
                  <c:v>4.3010595743813465</c:v>
                </c:pt>
                <c:pt idx="26">
                  <c:v>3.7509791122174319</c:v>
                </c:pt>
                <c:pt idx="27">
                  <c:v>3.2627708351819971</c:v>
                </c:pt>
                <c:pt idx="28">
                  <c:v>2.8308723206342146</c:v>
                </c:pt>
                <c:pt idx="29">
                  <c:v>2.3989738060864321</c:v>
                </c:pt>
                <c:pt idx="30">
                  <c:v>1.9670752915386496</c:v>
                </c:pt>
                <c:pt idx="31">
                  <c:v>1.5351767769908671</c:v>
                </c:pt>
                <c:pt idx="32">
                  <c:v>1.1032782624430846</c:v>
                </c:pt>
                <c:pt idx="33">
                  <c:v>0.67137974789530208</c:v>
                </c:pt>
                <c:pt idx="34">
                  <c:v>0.23948123334751958</c:v>
                </c:pt>
                <c:pt idx="35">
                  <c:v>-0.19241728120026291</c:v>
                </c:pt>
                <c:pt idx="36">
                  <c:v>-0.62431579574804541</c:v>
                </c:pt>
                <c:pt idx="37">
                  <c:v>-1.0562143102958279</c:v>
                </c:pt>
                <c:pt idx="38">
                  <c:v>-1.4881128248436104</c:v>
                </c:pt>
                <c:pt idx="39">
                  <c:v>-1.9200113393913929</c:v>
                </c:pt>
                <c:pt idx="40">
                  <c:v>-2.3519098539391754</c:v>
                </c:pt>
                <c:pt idx="41">
                  <c:v>-2.7838083684869579</c:v>
                </c:pt>
                <c:pt idx="42">
                  <c:v>-3.2157068830347404</c:v>
                </c:pt>
                <c:pt idx="43">
                  <c:v>-3.6476053975825229</c:v>
                </c:pt>
                <c:pt idx="44">
                  <c:v>-4.0795039121303054</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ser>
          <c:idx val="6"/>
          <c:order val="6"/>
          <c:tx>
            <c:strRef>
              <c:f>'IPCC SR15 graphs'!$CA$9</c:f>
              <c:strCache>
                <c:ptCount val="1"/>
                <c:pt idx="0">
                  <c:v>SR15 P1</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'IPCC SR15 graphs'!$CA$10:$CA$91</c:f>
              <c:numCache>
                <c:formatCode>#,##0.00</c:formatCode>
                <c:ptCount val="82"/>
                <c:pt idx="0">
                  <c:v>39.46136366799999</c:v>
                </c:pt>
                <c:pt idx="1">
                  <c:v>39.563511039999995</c:v>
                </c:pt>
                <c:pt idx="2">
                  <c:v>37.228541300999495</c:v>
                </c:pt>
                <c:pt idx="3">
                  <c:v>34.893571561999124</c:v>
                </c:pt>
                <c:pt idx="4">
                  <c:v>32.558601822999663</c:v>
                </c:pt>
                <c:pt idx="5">
                  <c:v>30.223632083999291</c:v>
                </c:pt>
                <c:pt idx="6">
                  <c:v>27.88866234499983</c:v>
                </c:pt>
                <c:pt idx="7">
                  <c:v>25.553692605999458</c:v>
                </c:pt>
                <c:pt idx="8">
                  <c:v>23.218722866999087</c:v>
                </c:pt>
                <c:pt idx="9">
                  <c:v>20.883753127999626</c:v>
                </c:pt>
                <c:pt idx="10">
                  <c:v>18.548783388999254</c:v>
                </c:pt>
                <c:pt idx="11">
                  <c:v>16.213813649999999</c:v>
                </c:pt>
                <c:pt idx="12">
                  <c:v>15.379766871200218</c:v>
                </c:pt>
                <c:pt idx="13">
                  <c:v>14.545720092400188</c:v>
                </c:pt>
                <c:pt idx="14">
                  <c:v>13.711673313600159</c:v>
                </c:pt>
                <c:pt idx="15">
                  <c:v>12.877626534800129</c:v>
                </c:pt>
                <c:pt idx="16">
                  <c:v>12.043579756000099</c:v>
                </c:pt>
                <c:pt idx="17">
                  <c:v>11.20953297720007</c:v>
                </c:pt>
                <c:pt idx="18">
                  <c:v>10.375486198400267</c:v>
                </c:pt>
                <c:pt idx="19">
                  <c:v>9.5414394196002377</c:v>
                </c:pt>
                <c:pt idx="20">
                  <c:v>8.707392640800208</c:v>
                </c:pt>
                <c:pt idx="21">
                  <c:v>7.8733458619999999</c:v>
                </c:pt>
                <c:pt idx="22">
                  <c:v>7.3595750486001634</c:v>
                </c:pt>
                <c:pt idx="23">
                  <c:v>6.8458042352001485</c:v>
                </c:pt>
                <c:pt idx="24">
                  <c:v>6.3320334218001335</c:v>
                </c:pt>
                <c:pt idx="25">
                  <c:v>5.8182626084001186</c:v>
                </c:pt>
                <c:pt idx="26">
                  <c:v>5.3044917950001036</c:v>
                </c:pt>
                <c:pt idx="27">
                  <c:v>4.7907209816000886</c:v>
                </c:pt>
                <c:pt idx="28">
                  <c:v>4.2769501682000737</c:v>
                </c:pt>
                <c:pt idx="29">
                  <c:v>3.7631793548000587</c:v>
                </c:pt>
                <c:pt idx="30">
                  <c:v>3.2494085414000438</c:v>
                </c:pt>
                <c:pt idx="31">
                  <c:v>2.7356377279999999</c:v>
                </c:pt>
                <c:pt idx="32">
                  <c:v>2.4552979802440404</c:v>
                </c:pt>
                <c:pt idx="33">
                  <c:v>2.1749582324880521</c:v>
                </c:pt>
                <c:pt idx="34">
                  <c:v>1.89461848473195</c:v>
                </c:pt>
                <c:pt idx="35">
                  <c:v>1.6142787369759617</c:v>
                </c:pt>
                <c:pt idx="36">
                  <c:v>1.3339389892199733</c:v>
                </c:pt>
                <c:pt idx="37">
                  <c:v>1.053599241463985</c:v>
                </c:pt>
                <c:pt idx="38">
                  <c:v>0.77325949370799663</c:v>
                </c:pt>
                <c:pt idx="39">
                  <c:v>0.49291974595200827</c:v>
                </c:pt>
                <c:pt idx="40">
                  <c:v>0.21257999819601991</c:v>
                </c:pt>
                <c:pt idx="41">
                  <c:v>-6.7759749559999999E-2</c:v>
                </c:pt>
                <c:pt idx="42">
                  <c:v>-0.22799994500405774</c:v>
                </c:pt>
                <c:pt idx="43">
                  <c:v>-0.38824014044803334</c:v>
                </c:pt>
                <c:pt idx="44">
                  <c:v>-0.54848033589200895</c:v>
                </c:pt>
                <c:pt idx="45">
                  <c:v>-0.7087205313360414</c:v>
                </c:pt>
                <c:pt idx="46">
                  <c:v>-0.86896072678001701</c:v>
                </c:pt>
                <c:pt idx="47">
                  <c:v>-1.0292009222240495</c:v>
                </c:pt>
                <c:pt idx="48">
                  <c:v>-1.1894411176680251</c:v>
                </c:pt>
                <c:pt idx="49">
                  <c:v>-1.3496813131120575</c:v>
                </c:pt>
                <c:pt idx="50">
                  <c:v>-1.5099215085560331</c:v>
                </c:pt>
                <c:pt idx="51">
                  <c:v>-1.6701617040000001</c:v>
                </c:pt>
                <c:pt idx="52">
                  <c:v>-1.7493659771000125</c:v>
                </c:pt>
                <c:pt idx="53">
                  <c:v>-1.8285702502000163</c:v>
                </c:pt>
                <c:pt idx="54">
                  <c:v>-1.9077745233000201</c:v>
                </c:pt>
                <c:pt idx="55">
                  <c:v>-1.9869787964000238</c:v>
                </c:pt>
                <c:pt idx="56">
                  <c:v>-2.0661830694999992</c:v>
                </c:pt>
                <c:pt idx="57">
                  <c:v>-2.145387342600003</c:v>
                </c:pt>
                <c:pt idx="58">
                  <c:v>-2.2245916157000067</c:v>
                </c:pt>
                <c:pt idx="59">
                  <c:v>-2.3037958888000105</c:v>
                </c:pt>
                <c:pt idx="60">
                  <c:v>-2.3830001619000143</c:v>
                </c:pt>
                <c:pt idx="61">
                  <c:v>-2.4622044350000003</c:v>
                </c:pt>
                <c:pt idx="62">
                  <c:v>-2.5462090075000106</c:v>
                </c:pt>
                <c:pt idx="63">
                  <c:v>-2.630213580000003</c:v>
                </c:pt>
                <c:pt idx="64">
                  <c:v>-2.7142181524999955</c:v>
                </c:pt>
                <c:pt idx="65">
                  <c:v>-2.798222724999988</c:v>
                </c:pt>
                <c:pt idx="66">
                  <c:v>-2.8822272975000089</c:v>
                </c:pt>
                <c:pt idx="67">
                  <c:v>-2.9662318700000014</c:v>
                </c:pt>
                <c:pt idx="68">
                  <c:v>-3.0502364424999939</c:v>
                </c:pt>
                <c:pt idx="69">
                  <c:v>-3.1342410150000148</c:v>
                </c:pt>
                <c:pt idx="70">
                  <c:v>-3.2182455875000073</c:v>
                </c:pt>
                <c:pt idx="71">
                  <c:v>-3.3022501600000003</c:v>
                </c:pt>
                <c:pt idx="72">
                  <c:v>-3.3244737794000017</c:v>
                </c:pt>
                <c:pt idx="73">
                  <c:v>-3.3466973987999964</c:v>
                </c:pt>
                <c:pt idx="74">
                  <c:v>-3.3689210181999982</c:v>
                </c:pt>
                <c:pt idx="75">
                  <c:v>-3.3911446376000001</c:v>
                </c:pt>
                <c:pt idx="76">
                  <c:v>-3.4133682570000019</c:v>
                </c:pt>
                <c:pt idx="77">
                  <c:v>-3.4355918763999966</c:v>
                </c:pt>
                <c:pt idx="78">
                  <c:v>-3.4578154957999985</c:v>
                </c:pt>
                <c:pt idx="79">
                  <c:v>-3.4800391152000003</c:v>
                </c:pt>
                <c:pt idx="80">
                  <c:v>-3.5022627346000021</c:v>
                </c:pt>
                <c:pt idx="81">
                  <c:v>-3.524486354</c:v>
                </c:pt>
              </c:numCache>
            </c:numRef>
          </c:val>
          <c:smooth val="0"/>
        </c:ser>
        <c:ser>
          <c:idx val="7"/>
          <c:order val="7"/>
          <c:tx>
            <c:strRef>
              <c:f>'IPCC SR15 graphs'!$CB$9</c:f>
              <c:strCache>
                <c:ptCount val="1"/>
                <c:pt idx="0">
                  <c:v>SR15 P2</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'IPCC SR15 graphs'!$CB$10:$CB$91</c:f>
              <c:numCache>
                <c:formatCode>#,##0.00</c:formatCode>
                <c:ptCount val="82"/>
                <c:pt idx="0">
                  <c:v>37.088765669999987</c:v>
                </c:pt>
                <c:pt idx="1">
                  <c:v>37.2338898</c:v>
                </c:pt>
                <c:pt idx="2">
                  <c:v>35.416250149999996</c:v>
                </c:pt>
                <c:pt idx="3">
                  <c:v>33.598610499999722</c:v>
                </c:pt>
                <c:pt idx="4">
                  <c:v>31.780970849999903</c:v>
                </c:pt>
                <c:pt idx="5">
                  <c:v>29.963331200000084</c:v>
                </c:pt>
                <c:pt idx="6">
                  <c:v>28.14569154999981</c:v>
                </c:pt>
                <c:pt idx="7">
                  <c:v>26.328051899999991</c:v>
                </c:pt>
                <c:pt idx="8">
                  <c:v>24.510412249999717</c:v>
                </c:pt>
                <c:pt idx="9">
                  <c:v>22.692772599999898</c:v>
                </c:pt>
                <c:pt idx="10">
                  <c:v>20.875132950000079</c:v>
                </c:pt>
                <c:pt idx="11">
                  <c:v>19.057493299999997</c:v>
                </c:pt>
                <c:pt idx="12">
                  <c:v>17.974675970000135</c:v>
                </c:pt>
                <c:pt idx="13">
                  <c:v>16.891858640000464</c:v>
                </c:pt>
                <c:pt idx="14">
                  <c:v>15.809041310000339</c:v>
                </c:pt>
                <c:pt idx="15">
                  <c:v>14.726223980000213</c:v>
                </c:pt>
                <c:pt idx="16">
                  <c:v>13.643406650000088</c:v>
                </c:pt>
                <c:pt idx="17">
                  <c:v>12.560589320000418</c:v>
                </c:pt>
                <c:pt idx="18">
                  <c:v>11.477771990000292</c:v>
                </c:pt>
                <c:pt idx="19">
                  <c:v>10.394954660000167</c:v>
                </c:pt>
                <c:pt idx="20">
                  <c:v>9.3121373300004961</c:v>
                </c:pt>
                <c:pt idx="21">
                  <c:v>8.2293199999999995</c:v>
                </c:pt>
                <c:pt idx="22">
                  <c:v>7.5858497700000953</c:v>
                </c:pt>
                <c:pt idx="23">
                  <c:v>6.9423795400000472</c:v>
                </c:pt>
                <c:pt idx="24">
                  <c:v>6.2989093099999991</c:v>
                </c:pt>
                <c:pt idx="25">
                  <c:v>5.655439079999951</c:v>
                </c:pt>
                <c:pt idx="26">
                  <c:v>5.0119688499999029</c:v>
                </c:pt>
                <c:pt idx="27">
                  <c:v>4.3684986200000822</c:v>
                </c:pt>
                <c:pt idx="28">
                  <c:v>3.7250283900000341</c:v>
                </c:pt>
                <c:pt idx="29">
                  <c:v>3.0815581599999859</c:v>
                </c:pt>
                <c:pt idx="30">
                  <c:v>2.4380879299999378</c:v>
                </c:pt>
                <c:pt idx="31">
                  <c:v>1.7946177000000001</c:v>
                </c:pt>
                <c:pt idx="32">
                  <c:v>1.3970390099999577</c:v>
                </c:pt>
                <c:pt idx="33">
                  <c:v>0.9994603200000256</c:v>
                </c:pt>
                <c:pt idx="34">
                  <c:v>0.60188162999997985</c:v>
                </c:pt>
                <c:pt idx="35">
                  <c:v>0.2043029399999341</c:v>
                </c:pt>
                <c:pt idx="36">
                  <c:v>-0.19327574999999797</c:v>
                </c:pt>
                <c:pt idx="37">
                  <c:v>-0.59085444000004372</c:v>
                </c:pt>
                <c:pt idx="38">
                  <c:v>-0.98843312999997579</c:v>
                </c:pt>
                <c:pt idx="39">
                  <c:v>-1.3860118200000215</c:v>
                </c:pt>
                <c:pt idx="40">
                  <c:v>-1.7835905100000673</c:v>
                </c:pt>
                <c:pt idx="41">
                  <c:v>-2.1811691999999998</c:v>
                </c:pt>
                <c:pt idx="42">
                  <c:v>-2.3387602199999833</c:v>
                </c:pt>
                <c:pt idx="43">
                  <c:v>-2.4963512399999672</c:v>
                </c:pt>
                <c:pt idx="44">
                  <c:v>-2.6539422599999511</c:v>
                </c:pt>
                <c:pt idx="45">
                  <c:v>-2.8115332799999919</c:v>
                </c:pt>
                <c:pt idx="46">
                  <c:v>-2.9691242999999758</c:v>
                </c:pt>
                <c:pt idx="47">
                  <c:v>-3.1267153199999598</c:v>
                </c:pt>
                <c:pt idx="48">
                  <c:v>-3.2843063399999437</c:v>
                </c:pt>
                <c:pt idx="49">
                  <c:v>-3.4418973599999845</c:v>
                </c:pt>
                <c:pt idx="50">
                  <c:v>-3.5994883799999684</c:v>
                </c:pt>
                <c:pt idx="51">
                  <c:v>-3.7570794000000003</c:v>
                </c:pt>
                <c:pt idx="52">
                  <c:v>-3.8151933400000075</c:v>
                </c:pt>
                <c:pt idx="53">
                  <c:v>-3.8733072800000059</c:v>
                </c:pt>
                <c:pt idx="54">
                  <c:v>-3.9314212200000043</c:v>
                </c:pt>
                <c:pt idx="55">
                  <c:v>-3.9895351600000026</c:v>
                </c:pt>
                <c:pt idx="56">
                  <c:v>-4.047649100000001</c:v>
                </c:pt>
                <c:pt idx="57">
                  <c:v>-4.1057630399999994</c:v>
                </c:pt>
                <c:pt idx="58">
                  <c:v>-4.1638769799999977</c:v>
                </c:pt>
                <c:pt idx="59">
                  <c:v>-4.2219909199999961</c:v>
                </c:pt>
                <c:pt idx="60">
                  <c:v>-4.2801048599999945</c:v>
                </c:pt>
                <c:pt idx="61">
                  <c:v>-4.3382187999999999</c:v>
                </c:pt>
                <c:pt idx="62">
                  <c:v>-4.3434462000000007</c:v>
                </c:pt>
                <c:pt idx="63">
                  <c:v>-4.3486736000000015</c:v>
                </c:pt>
                <c:pt idx="64">
                  <c:v>-4.3539010000000005</c:v>
                </c:pt>
                <c:pt idx="65">
                  <c:v>-4.3591284000000012</c:v>
                </c:pt>
                <c:pt idx="66">
                  <c:v>-4.3643558000000002</c:v>
                </c:pt>
                <c:pt idx="67">
                  <c:v>-4.369583200000001</c:v>
                </c:pt>
                <c:pt idx="68">
                  <c:v>-4.3748106</c:v>
                </c:pt>
                <c:pt idx="69">
                  <c:v>-4.3800380000000008</c:v>
                </c:pt>
                <c:pt idx="70">
                  <c:v>-4.3852654000000015</c:v>
                </c:pt>
                <c:pt idx="71">
                  <c:v>-4.3904927999999996</c:v>
                </c:pt>
                <c:pt idx="72">
                  <c:v>-4.3989309299999988</c:v>
                </c:pt>
                <c:pt idx="73">
                  <c:v>-4.4073690600000006</c:v>
                </c:pt>
                <c:pt idx="74">
                  <c:v>-4.4158071900000024</c:v>
                </c:pt>
                <c:pt idx="75">
                  <c:v>-4.4242453200000007</c:v>
                </c:pt>
                <c:pt idx="76">
                  <c:v>-4.432683449999999</c:v>
                </c:pt>
                <c:pt idx="77">
                  <c:v>-4.4411215800000008</c:v>
                </c:pt>
                <c:pt idx="78">
                  <c:v>-4.4495597100000026</c:v>
                </c:pt>
                <c:pt idx="79">
                  <c:v>-4.4579978400000009</c:v>
                </c:pt>
                <c:pt idx="80">
                  <c:v>-4.4664359699999991</c:v>
                </c:pt>
                <c:pt idx="81">
                  <c:v>-4.4748741000000001</c:v>
                </c:pt>
              </c:numCache>
            </c:numRef>
          </c:val>
          <c:smooth val="0"/>
        </c:ser>
        <c:ser>
          <c:idx val="8"/>
          <c:order val="8"/>
          <c:tx>
            <c:strRef>
              <c:f>'IPCC SR15 graphs'!$CC$9</c:f>
              <c:strCache>
                <c:ptCount val="1"/>
                <c:pt idx="0">
                  <c:v>SR15 P3</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'IPCC SR15 graphs'!$CC$10:$CC$91</c:f>
              <c:numCache>
                <c:formatCode>#,##0.0</c:formatCode>
                <c:ptCount val="82"/>
                <c:pt idx="0">
                  <c:v>40.313502030000002</c:v>
                </c:pt>
                <c:pt idx="1">
                  <c:v>40.375284001000011</c:v>
                </c:pt>
                <c:pt idx="2">
                  <c:v>40.437065971999999</c:v>
                </c:pt>
                <c:pt idx="3">
                  <c:v>40.498847943000001</c:v>
                </c:pt>
                <c:pt idx="4">
                  <c:v>40.560629914000003</c:v>
                </c:pt>
                <c:pt idx="5">
                  <c:v>40.622411885000005</c:v>
                </c:pt>
                <c:pt idx="6">
                  <c:v>40.684193856000007</c:v>
                </c:pt>
                <c:pt idx="7">
                  <c:v>40.745975827000009</c:v>
                </c:pt>
                <c:pt idx="8">
                  <c:v>40.807757797999997</c:v>
                </c:pt>
                <c:pt idx="9">
                  <c:v>40.869539768999999</c:v>
                </c:pt>
                <c:pt idx="10">
                  <c:v>40.931321740000001</c:v>
                </c:pt>
                <c:pt idx="11">
                  <c:v>39.201502419000008</c:v>
                </c:pt>
                <c:pt idx="12">
                  <c:v>37.47168309799963</c:v>
                </c:pt>
                <c:pt idx="13">
                  <c:v>35.741863776999708</c:v>
                </c:pt>
                <c:pt idx="14">
                  <c:v>34.012044455999785</c:v>
                </c:pt>
                <c:pt idx="15">
                  <c:v>32.282225134999862</c:v>
                </c:pt>
                <c:pt idx="16">
                  <c:v>30.55240581399994</c:v>
                </c:pt>
                <c:pt idx="17">
                  <c:v>28.822586493000017</c:v>
                </c:pt>
                <c:pt idx="18">
                  <c:v>27.09276717199964</c:v>
                </c:pt>
                <c:pt idx="19">
                  <c:v>25.362947850999717</c:v>
                </c:pt>
                <c:pt idx="20">
                  <c:v>23.63312853</c:v>
                </c:pt>
                <c:pt idx="21">
                  <c:v>22.422228616999746</c:v>
                </c:pt>
                <c:pt idx="22">
                  <c:v>21.211328703999698</c:v>
                </c:pt>
                <c:pt idx="23">
                  <c:v>20.000428790999649</c:v>
                </c:pt>
                <c:pt idx="24">
                  <c:v>18.789528878000056</c:v>
                </c:pt>
                <c:pt idx="25">
                  <c:v>17.578628965000007</c:v>
                </c:pt>
                <c:pt idx="26">
                  <c:v>16.367729051999959</c:v>
                </c:pt>
                <c:pt idx="27">
                  <c:v>15.15682913899991</c:v>
                </c:pt>
                <c:pt idx="28">
                  <c:v>13.945929225999862</c:v>
                </c:pt>
                <c:pt idx="29">
                  <c:v>12.735029312999814</c:v>
                </c:pt>
                <c:pt idx="30">
                  <c:v>11.5241294</c:v>
                </c:pt>
                <c:pt idx="31">
                  <c:v>10.749608661799812</c:v>
                </c:pt>
                <c:pt idx="32">
                  <c:v>9.9750879235998582</c:v>
                </c:pt>
                <c:pt idx="33">
                  <c:v>9.2005671853999047</c:v>
                </c:pt>
                <c:pt idx="34">
                  <c:v>8.4260464471999512</c:v>
                </c:pt>
                <c:pt idx="35">
                  <c:v>7.6515257089999977</c:v>
                </c:pt>
                <c:pt idx="36">
                  <c:v>6.8770049707998169</c:v>
                </c:pt>
                <c:pt idx="37">
                  <c:v>6.1024842325998634</c:v>
                </c:pt>
                <c:pt idx="38">
                  <c:v>5.3279634943999099</c:v>
                </c:pt>
                <c:pt idx="39">
                  <c:v>4.5534427561999564</c:v>
                </c:pt>
                <c:pt idx="40">
                  <c:v>3.7789220180000003</c:v>
                </c:pt>
                <c:pt idx="41">
                  <c:v>3.2499613553998188</c:v>
                </c:pt>
                <c:pt idx="42">
                  <c:v>2.721000692799862</c:v>
                </c:pt>
                <c:pt idx="43">
                  <c:v>2.1920400301999052</c:v>
                </c:pt>
                <c:pt idx="44">
                  <c:v>1.6630793675999485</c:v>
                </c:pt>
                <c:pt idx="45">
                  <c:v>1.1341187049999917</c:v>
                </c:pt>
                <c:pt idx="46">
                  <c:v>0.60515804239980753</c:v>
                </c:pt>
                <c:pt idx="47">
                  <c:v>7.6197379799850751E-2</c:v>
                </c:pt>
                <c:pt idx="48">
                  <c:v>-0.45276328280010603</c:v>
                </c:pt>
                <c:pt idx="49">
                  <c:v>-0.9817239454000628</c:v>
                </c:pt>
                <c:pt idx="50">
                  <c:v>-1.510684608</c:v>
                </c:pt>
                <c:pt idx="51">
                  <c:v>-2.0136529858000358</c:v>
                </c:pt>
                <c:pt idx="52">
                  <c:v>-2.5166213636000521</c:v>
                </c:pt>
                <c:pt idx="53">
                  <c:v>-3.0195897414000683</c:v>
                </c:pt>
                <c:pt idx="54">
                  <c:v>-3.5225581192000845</c:v>
                </c:pt>
                <c:pt idx="55">
                  <c:v>-4.0255264970001008</c:v>
                </c:pt>
                <c:pt idx="56">
                  <c:v>-4.528494874800117</c:v>
                </c:pt>
                <c:pt idx="57">
                  <c:v>-5.0314632526001333</c:v>
                </c:pt>
                <c:pt idx="58">
                  <c:v>-5.5344316304001495</c:v>
                </c:pt>
                <c:pt idx="59">
                  <c:v>-6.0374000081999384</c:v>
                </c:pt>
                <c:pt idx="60">
                  <c:v>-6.5403683859999999</c:v>
                </c:pt>
                <c:pt idx="61">
                  <c:v>-6.9472179654000001</c:v>
                </c:pt>
                <c:pt idx="62">
                  <c:v>-7.354067544799932</c:v>
                </c:pt>
                <c:pt idx="63">
                  <c:v>-7.7609171241999775</c:v>
                </c:pt>
                <c:pt idx="64">
                  <c:v>-8.167766703600023</c:v>
                </c:pt>
                <c:pt idx="65">
                  <c:v>-8.5746162829999548</c:v>
                </c:pt>
                <c:pt idx="66">
                  <c:v>-8.9814658624000003</c:v>
                </c:pt>
                <c:pt idx="67">
                  <c:v>-9.3883154417999322</c:v>
                </c:pt>
                <c:pt idx="68">
                  <c:v>-9.7951650211999777</c:v>
                </c:pt>
                <c:pt idx="69">
                  <c:v>-10.202014600600023</c:v>
                </c:pt>
                <c:pt idx="70">
                  <c:v>-10.608864180000001</c:v>
                </c:pt>
                <c:pt idx="71">
                  <c:v>-10.789065820000019</c:v>
                </c:pt>
                <c:pt idx="72">
                  <c:v>-10.969267460000026</c:v>
                </c:pt>
                <c:pt idx="73">
                  <c:v>-11.149469100000033</c:v>
                </c:pt>
                <c:pt idx="74">
                  <c:v>-11.329670739999983</c:v>
                </c:pt>
                <c:pt idx="75">
                  <c:v>-11.50987237999999</c:v>
                </c:pt>
                <c:pt idx="76">
                  <c:v>-11.690074019999997</c:v>
                </c:pt>
                <c:pt idx="77">
                  <c:v>-11.870275660000004</c:v>
                </c:pt>
                <c:pt idx="78">
                  <c:v>-12.050477300000011</c:v>
                </c:pt>
                <c:pt idx="79">
                  <c:v>-12.230678940000018</c:v>
                </c:pt>
                <c:pt idx="80">
                  <c:v>-12.410880579999999</c:v>
                </c:pt>
                <c:pt idx="81">
                  <c:v>-12.474681510000011</c:v>
                </c:pt>
              </c:numCache>
            </c:numRef>
          </c:val>
          <c:smooth val="0"/>
        </c:ser>
        <c:ser>
          <c:idx val="9"/>
          <c:order val="9"/>
          <c:tx>
            <c:strRef>
              <c:f>'IPCC SR15 graphs'!$CD$9</c:f>
              <c:strCache>
                <c:ptCount val="1"/>
                <c:pt idx="0">
                  <c:v>SR15 P4</c:v>
                </c:pt>
              </c:strCache>
            </c:strRef>
          </c:tx>
          <c:marker>
            <c:symbol val="none"/>
          </c:marker>
          <c:cat>
            <c:numRef>
              <c:f>graphs!$BS$9:$BS$90</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'IPCC SR15 graphs'!$CD$10:$CD$91</c:f>
              <c:numCache>
                <c:formatCode>#,##0.00</c:formatCode>
                <c:ptCount val="82"/>
                <c:pt idx="0">
                  <c:v>39.366999999999962</c:v>
                </c:pt>
                <c:pt idx="1">
                  <c:v>39.700000000000003</c:v>
                </c:pt>
                <c:pt idx="2">
                  <c:v>39.507000000000005</c:v>
                </c:pt>
                <c:pt idx="3">
                  <c:v>39.313999999999965</c:v>
                </c:pt>
                <c:pt idx="4">
                  <c:v>39.120999999999981</c:v>
                </c:pt>
                <c:pt idx="5">
                  <c:v>38.927999999999997</c:v>
                </c:pt>
                <c:pt idx="6">
                  <c:v>38.735000000000014</c:v>
                </c:pt>
                <c:pt idx="7">
                  <c:v>38.541999999999973</c:v>
                </c:pt>
                <c:pt idx="8">
                  <c:v>38.34899999999999</c:v>
                </c:pt>
                <c:pt idx="9">
                  <c:v>38.156000000000006</c:v>
                </c:pt>
                <c:pt idx="10">
                  <c:v>37.962999999999965</c:v>
                </c:pt>
                <c:pt idx="11">
                  <c:v>37.770000000000003</c:v>
                </c:pt>
                <c:pt idx="12">
                  <c:v>36.20699999999988</c:v>
                </c:pt>
                <c:pt idx="13">
                  <c:v>34.643999999999778</c:v>
                </c:pt>
                <c:pt idx="14">
                  <c:v>33.081000000000131</c:v>
                </c:pt>
                <c:pt idx="15">
                  <c:v>31.518000000000029</c:v>
                </c:pt>
                <c:pt idx="16">
                  <c:v>29.954999999999927</c:v>
                </c:pt>
                <c:pt idx="17">
                  <c:v>28.391999999999825</c:v>
                </c:pt>
                <c:pt idx="18">
                  <c:v>26.829000000000178</c:v>
                </c:pt>
                <c:pt idx="19">
                  <c:v>25.266000000000076</c:v>
                </c:pt>
                <c:pt idx="20">
                  <c:v>23.702999999999975</c:v>
                </c:pt>
                <c:pt idx="21">
                  <c:v>22.14</c:v>
                </c:pt>
                <c:pt idx="22">
                  <c:v>20.051400000000285</c:v>
                </c:pt>
                <c:pt idx="23">
                  <c:v>17.962800000000243</c:v>
                </c:pt>
                <c:pt idx="24">
                  <c:v>15.874200000000201</c:v>
                </c:pt>
                <c:pt idx="25">
                  <c:v>13.785600000000159</c:v>
                </c:pt>
                <c:pt idx="26">
                  <c:v>11.697000000000116</c:v>
                </c:pt>
                <c:pt idx="27">
                  <c:v>9.6084000000000742</c:v>
                </c:pt>
                <c:pt idx="28">
                  <c:v>7.519800000000032</c:v>
                </c:pt>
                <c:pt idx="29">
                  <c:v>5.4311999999999898</c:v>
                </c:pt>
                <c:pt idx="30">
                  <c:v>3.3425999999999476</c:v>
                </c:pt>
                <c:pt idx="31">
                  <c:v>1.254</c:v>
                </c:pt>
                <c:pt idx="32">
                  <c:v>-0.15540000000009968</c:v>
                </c:pt>
                <c:pt idx="33">
                  <c:v>-1.5648000000001048</c:v>
                </c:pt>
                <c:pt idx="34">
                  <c:v>-2.9742000000001099</c:v>
                </c:pt>
                <c:pt idx="35">
                  <c:v>-4.383600000000115</c:v>
                </c:pt>
                <c:pt idx="36">
                  <c:v>-5.7930000000001201</c:v>
                </c:pt>
                <c:pt idx="37">
                  <c:v>-7.2024000000001251</c:v>
                </c:pt>
                <c:pt idx="38">
                  <c:v>-8.6118000000001302</c:v>
                </c:pt>
                <c:pt idx="39">
                  <c:v>-10.021200000000135</c:v>
                </c:pt>
                <c:pt idx="40">
                  <c:v>-11.43060000000014</c:v>
                </c:pt>
                <c:pt idx="41">
                  <c:v>-12.84</c:v>
                </c:pt>
                <c:pt idx="42">
                  <c:v>-13.180999999999926</c:v>
                </c:pt>
                <c:pt idx="43">
                  <c:v>-13.521999999999935</c:v>
                </c:pt>
                <c:pt idx="44">
                  <c:v>-13.862999999999943</c:v>
                </c:pt>
                <c:pt idx="45">
                  <c:v>-14.203999999999951</c:v>
                </c:pt>
                <c:pt idx="46">
                  <c:v>-14.544999999999959</c:v>
                </c:pt>
                <c:pt idx="47">
                  <c:v>-14.885999999999967</c:v>
                </c:pt>
                <c:pt idx="48">
                  <c:v>-15.226999999999975</c:v>
                </c:pt>
                <c:pt idx="49">
                  <c:v>-15.567999999999984</c:v>
                </c:pt>
                <c:pt idx="50">
                  <c:v>-15.908999999999878</c:v>
                </c:pt>
                <c:pt idx="51">
                  <c:v>-16.25</c:v>
                </c:pt>
                <c:pt idx="52">
                  <c:v>-16.41799999999995</c:v>
                </c:pt>
                <c:pt idx="53">
                  <c:v>-16.585999999999956</c:v>
                </c:pt>
                <c:pt idx="54">
                  <c:v>-16.753999999999962</c:v>
                </c:pt>
                <c:pt idx="55">
                  <c:v>-16.921999999999969</c:v>
                </c:pt>
                <c:pt idx="56">
                  <c:v>-17.089999999999975</c:v>
                </c:pt>
                <c:pt idx="57">
                  <c:v>-17.257999999999981</c:v>
                </c:pt>
                <c:pt idx="58">
                  <c:v>-17.425999999999988</c:v>
                </c:pt>
                <c:pt idx="59">
                  <c:v>-17.593999999999994</c:v>
                </c:pt>
                <c:pt idx="60">
                  <c:v>-17.762</c:v>
                </c:pt>
                <c:pt idx="61">
                  <c:v>-17.93</c:v>
                </c:pt>
                <c:pt idx="62">
                  <c:v>-18.091999999999985</c:v>
                </c:pt>
                <c:pt idx="63">
                  <c:v>-18.253999999999962</c:v>
                </c:pt>
                <c:pt idx="64">
                  <c:v>-18.415999999999997</c:v>
                </c:pt>
                <c:pt idx="65">
                  <c:v>-18.577999999999975</c:v>
                </c:pt>
                <c:pt idx="66">
                  <c:v>-18.740000000000009</c:v>
                </c:pt>
                <c:pt idx="67">
                  <c:v>-18.901999999999987</c:v>
                </c:pt>
                <c:pt idx="68">
                  <c:v>-19.063999999999965</c:v>
                </c:pt>
                <c:pt idx="69">
                  <c:v>-19.225999999999999</c:v>
                </c:pt>
                <c:pt idx="70">
                  <c:v>-19.387999999999977</c:v>
                </c:pt>
                <c:pt idx="71">
                  <c:v>-19.55</c:v>
                </c:pt>
                <c:pt idx="72">
                  <c:v>-19.725999999999999</c:v>
                </c:pt>
                <c:pt idx="73">
                  <c:v>-19.901999999999987</c:v>
                </c:pt>
                <c:pt idx="74">
                  <c:v>-20.078000000000031</c:v>
                </c:pt>
                <c:pt idx="75">
                  <c:v>-20.254000000000019</c:v>
                </c:pt>
                <c:pt idx="76">
                  <c:v>-20.430000000000007</c:v>
                </c:pt>
                <c:pt idx="77">
                  <c:v>-20.605999999999995</c:v>
                </c:pt>
                <c:pt idx="78">
                  <c:v>-20.781999999999982</c:v>
                </c:pt>
                <c:pt idx="79">
                  <c:v>-20.958000000000027</c:v>
                </c:pt>
                <c:pt idx="80">
                  <c:v>-21.134000000000015</c:v>
                </c:pt>
                <c:pt idx="81">
                  <c:v>-21.31</c:v>
                </c:pt>
              </c:numCache>
            </c:numRef>
          </c:val>
          <c:smooth val="0"/>
        </c:ser>
        <c:dLbls>
          <c:showLegendKey val="0"/>
          <c:showVal val="0"/>
          <c:showCatName val="0"/>
          <c:showSerName val="0"/>
          <c:showPercent val="0"/>
          <c:showBubbleSize val="0"/>
        </c:dLbls>
        <c:smooth val="0"/>
        <c:axId val="517879776"/>
        <c:axId val="517877032"/>
        <c:extLst xmlns:c16r2="http://schemas.microsoft.com/office/drawing/2015/06/chart">
          <c:ext xmlns:c15="http://schemas.microsoft.com/office/drawing/2012/chart" uri="{02D57815-91ED-43cb-92C2-25804820EDAC}">
            <c15:filteredLineSeries>
              <c15:ser>
                <c:idx val="0"/>
                <c:order val="0"/>
                <c:tx>
                  <c:strRef>
                    <c:extLst xmlns:c16r2="http://schemas.microsoft.com/office/drawing/2015/06/chart">
                      <c:ext uri="{02D57815-91ED-43cb-92C2-25804820EDAC}">
                        <c15:formulaRef>
                          <c15:sqref>'IPCC SR15 graphs'!$BU$9</c15:sqref>
                        </c15:formulaRef>
                      </c:ext>
                    </c:extLst>
                    <c:strCache>
                      <c:ptCount val="1"/>
                      <c:pt idx="0">
                        <c:v>RM-1 const</c:v>
                      </c:pt>
                    </c:strCache>
                  </c:strRef>
                </c:tx>
                <c:spPr>
                  <a:ln w="28575" cap="rnd">
                    <a:solidFill>
                      <a:schemeClr val="accent1"/>
                    </a:solidFill>
                    <a:round/>
                  </a:ln>
                  <a:effectLst/>
                </c:spPr>
                <c:marker>
                  <c:symbol val="none"/>
                </c:marker>
                <c:cat>
                  <c:numRef>
                    <c:extLst xmlns:c16r2="http://schemas.microsoft.com/office/drawing/2015/06/chart">
                      <c:ex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'IPCC SR15 graphs'!$BU$10:$BU$91</c15:sqref>
                        </c15:formulaRef>
                      </c:ext>
                    </c:extLst>
                    <c:numCache>
                      <c:formatCode>#,##0.00</c:formatCode>
                      <c:ptCount val="82"/>
                      <c:pt idx="0">
                        <c:v>42.311683327829648</c:v>
                      </c:pt>
                      <c:pt idx="1">
                        <c:v>39.02505693376456</c:v>
                      </c:pt>
                      <c:pt idx="2">
                        <c:v>35.993724401928318</c:v>
                      </c:pt>
                      <c:pt idx="3">
                        <c:v>33.197855380988798</c:v>
                      </c:pt>
                      <c:pt idx="4">
                        <c:v>30.61915987326956</c:v>
                      </c:pt>
                      <c:pt idx="5">
                        <c:v>28.240768585362645</c:v>
                      </c:pt>
                      <c:pt idx="6">
                        <c:v>26.047122572695297</c:v>
                      </c:pt>
                      <c:pt idx="7">
                        <c:v>24.023871456128106</c:v>
                      </c:pt>
                      <c:pt idx="8">
                        <c:v>22.157779544738592</c:v>
                      </c:pt>
                      <c:pt idx="9">
                        <c:v>20.436639250664907</c:v>
                      </c:pt>
                      <c:pt idx="10">
                        <c:v>18.84919122958739</c:v>
                      </c:pt>
                      <c:pt idx="11">
                        <c:v>17.385050724423525</c:v>
                      </c:pt>
                      <c:pt idx="12">
                        <c:v>16.034639630391982</c:v>
                      </c:pt>
                      <c:pt idx="13">
                        <c:v>14.789123837029395</c:v>
                      </c:pt>
                      <c:pt idx="14">
                        <c:v>13.64035543726431</c:v>
                      </c:pt>
                      <c:pt idx="15">
                        <c:v>12.580819425491988</c:v>
                      </c:pt>
                      <c:pt idx="16">
                        <c:v>11.603584535959891</c:v>
                      </c:pt>
                      <c:pt idx="17">
                        <c:v>10.702257899858708</c:v>
                      </c:pt>
                      <c:pt idx="18">
                        <c:v>9.8709432244949884</c:v>
                      </c:pt>
                      <c:pt idx="19">
                        <c:v>9.1042022209621649</c:v>
                      </c:pt>
                      <c:pt idx="20">
                        <c:v>8.3970190279777448</c:v>
                      </c:pt>
                      <c:pt idx="21">
                        <c:v>7.744767399154779</c:v>
                      </c:pt>
                      <c:pt idx="22">
                        <c:v>7.143180439053503</c:v>
                      </c:pt>
                      <c:pt idx="23">
                        <c:v>6.5883226900326513</c:v>
                      </c:pt>
                      <c:pt idx="24">
                        <c:v>6.0765643872984008</c:v>
                      </c:pt>
                      <c:pt idx="25">
                        <c:v>5.6045577137327793</c:v>
                      </c:pt>
                      <c:pt idx="26">
                        <c:v>5.1692148991655369</c:v>
                      </c:pt>
                      <c:pt idx="27">
                        <c:v>4.7676880208194419</c:v>
                      </c:pt>
                      <c:pt idx="28">
                        <c:v>4.397350372787681</c:v>
                      </c:pt>
                      <c:pt idx="29">
                        <c:v>4.0557792826663359</c:v>
                      </c:pt>
                      <c:pt idx="30">
                        <c:v>3.7407402629318951</c:v>
                      </c:pt>
                      <c:pt idx="31">
                        <c:v>3.4257012431974543</c:v>
                      </c:pt>
                      <c:pt idx="32">
                        <c:v>3.1106622234630135</c:v>
                      </c:pt>
                      <c:pt idx="33">
                        <c:v>2.7956232037285726</c:v>
                      </c:pt>
                      <c:pt idx="34">
                        <c:v>2.4805841839941318</c:v>
                      </c:pt>
                      <c:pt idx="35">
                        <c:v>2.165545164259691</c:v>
                      </c:pt>
                      <c:pt idx="36">
                        <c:v>1.8505061445252502</c:v>
                      </c:pt>
                      <c:pt idx="37">
                        <c:v>1.5354671247908094</c:v>
                      </c:pt>
                      <c:pt idx="38">
                        <c:v>1.2204281050563686</c:v>
                      </c:pt>
                      <c:pt idx="39">
                        <c:v>0.90538908532192774</c:v>
                      </c:pt>
                      <c:pt idx="40">
                        <c:v>0.59035006558748693</c:v>
                      </c:pt>
                      <c:pt idx="41">
                        <c:v>0.27531104585304611</c:v>
                      </c:pt>
                      <c:pt idx="42">
                        <c:v>-3.9727973881394707E-2</c:v>
                      </c:pt>
                      <c:pt idx="43">
                        <c:v>-0.35476699361583552</c:v>
                      </c:pt>
                      <c:pt idx="44">
                        <c:v>-0.66980601335027634</c:v>
                      </c:pt>
                      <c:pt idx="45">
                        <c:v>-0.98484503308471716</c:v>
                      </c:pt>
                      <c:pt idx="46">
                        <c:v>-1.299884052819158</c:v>
                      </c:pt>
                      <c:pt idx="47">
                        <c:v>-1.6149230725535988</c:v>
                      </c:pt>
                      <c:pt idx="48">
                        <c:v>-1.9299620922880396</c:v>
                      </c:pt>
                      <c:pt idx="49">
                        <c:v>-2.2450011120224804</c:v>
                      </c:pt>
                      <c:pt idx="50">
                        <c:v>-2.5600401317569212</c:v>
                      </c:pt>
                      <c:pt idx="51">
                        <c:v>-2.8750791514913621</c:v>
                      </c:pt>
                      <c:pt idx="52">
                        <c:v>-3.1901181712258029</c:v>
                      </c:pt>
                      <c:pt idx="53">
                        <c:v>-3.5051571909602437</c:v>
                      </c:pt>
                      <c:pt idx="54">
                        <c:v>-3.8201962106946845</c:v>
                      </c:pt>
                      <c:pt idx="55">
                        <c:v>-4.1352352304291253</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0-EE9B-45AD-B6C1-E4A29746DB45}"/>
                  </c:ext>
                </c:extLst>
              </c15:ser>
            </c15:filteredLineSeries>
            <c15:filteredLineSeries>
              <c15:ser>
                <c:idx val="1"/>
                <c:order val="1"/>
                <c:tx>
                  <c:strRef>
                    <c:extLst xmlns:c15="http://schemas.microsoft.com/office/drawing/2012/chart" xmlns:c16r2="http://schemas.microsoft.com/office/drawing/2015/06/chart">
                      <c:ext xmlns:c15="http://schemas.microsoft.com/office/drawing/2012/chart" uri="{02D57815-91ED-43cb-92C2-25804820EDAC}">
                        <c15:formulaRef>
                          <c15:sqref>'IPCC SR15 graphs'!$BV$9</c15:sqref>
                        </c15:formulaRef>
                      </c:ext>
                    </c:extLst>
                    <c:strCache>
                      <c:ptCount val="1"/>
                      <c:pt idx="0">
                        <c:v>RM-2 exp</c:v>
                      </c:pt>
                    </c:strCache>
                  </c:strRef>
                </c:tx>
                <c:spPr>
                  <a:ln w="28575" cap="rnd">
                    <a:solidFill>
                      <a:schemeClr val="accent2">
                        <a:alpha val="50000"/>
                      </a:schemeClr>
                    </a:solidFill>
                    <a:round/>
                  </a:ln>
                  <a:effectLst/>
                </c:spPr>
                <c:marker>
                  <c:symbol val="none"/>
                </c:marker>
                <c:cat>
                  <c:numRef>
                    <c:extLst xmlns:c16r2="http://schemas.microsoft.com/office/drawing/2015/06/chart" xmlns:c15="http://schemas.microsoft.com/office/drawing/2012/chart">
                      <c:ext xmlns:c15="http://schemas.microsoft.com/office/drawing/2012/char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'IPCC SR15 graphs'!$BV$10:$BV$91</c15:sqref>
                        </c15:formulaRef>
                      </c:ext>
                    </c:extLst>
                    <c:numCache>
                      <c:formatCode>#,##0.00</c:formatCode>
                      <c:ptCount val="82"/>
                      <c:pt idx="0">
                        <c:v>42.311683327829648</c:v>
                      </c:pt>
                      <c:pt idx="1">
                        <c:v>41.634696394584374</c:v>
                      </c:pt>
                      <c:pt idx="2">
                        <c:v>40.871740948026705</c:v>
                      </c:pt>
                      <c:pt idx="3">
                        <c:v>40.013931736379995</c:v>
                      </c:pt>
                      <c:pt idx="4">
                        <c:v>39.052092280448143</c:v>
                      </c:pt>
                      <c:pt idx="5">
                        <c:v>37.976966040903676</c:v>
                      </c:pt>
                      <c:pt idx="6">
                        <c:v>36.779511007910521</c:v>
                      </c:pt>
                      <c:pt idx="7">
                        <c:v>35.451295057531894</c:v>
                      </c:pt>
                      <c:pt idx="8">
                        <c:v>33.98500922545341</c:v>
                      </c:pt>
                      <c:pt idx="9">
                        <c:v>32.375113606597644</c:v>
                      </c:pt>
                      <c:pt idx="10">
                        <c:v>30.618624663201448</c:v>
                      </c:pt>
                      <c:pt idx="11">
                        <c:v>28.716041753487143</c:v>
                      </c:pt>
                      <c:pt idx="12">
                        <c:v>26.672392874539952</c:v>
                      </c:pt>
                      <c:pt idx="13">
                        <c:v>24.498353138093332</c:v>
                      </c:pt>
                      <c:pt idx="14">
                        <c:v>22.211353047731443</c:v>
                      </c:pt>
                      <c:pt idx="15">
                        <c:v>19.836547256297379</c:v>
                      </c:pt>
                      <c:pt idx="16">
                        <c:v>17.407460879574462</c:v>
                      </c:pt>
                      <c:pt idx="17">
                        <c:v>14.966076857873905</c:v>
                      </c:pt>
                      <c:pt idx="18">
                        <c:v>12.562088089886416</c:v>
                      </c:pt>
                      <c:pt idx="19">
                        <c:v>10.251034104939498</c:v>
                      </c:pt>
                      <c:pt idx="20">
                        <c:v>8.091103852417362</c:v>
                      </c:pt>
                      <c:pt idx="21">
                        <c:v>6.1385473174505822</c:v>
                      </c:pt>
                      <c:pt idx="22">
                        <c:v>4.4419247372297175</c:v>
                      </c:pt>
                      <c:pt idx="23">
                        <c:v>3.0358298680017715</c:v>
                      </c:pt>
                      <c:pt idx="24">
                        <c:v>1.9351914947025706</c:v>
                      </c:pt>
                      <c:pt idx="25">
                        <c:v>0.83455312140336968</c:v>
                      </c:pt>
                      <c:pt idx="26">
                        <c:v>-0.26608525189583121</c:v>
                      </c:pt>
                      <c:pt idx="27">
                        <c:v>-1.3667236251950321</c:v>
                      </c:pt>
                      <c:pt idx="28">
                        <c:v>-2.467361998494233</c:v>
                      </c:pt>
                      <c:pt idx="29">
                        <c:v>-3.5680003717934339</c:v>
                      </c:pt>
                      <c:pt idx="30">
                        <c:v>-4.3499999999999996</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1-EE9B-45AD-B6C1-E4A29746DB45}"/>
                  </c:ext>
                </c:extLst>
              </c15:ser>
            </c15:filteredLineSeries>
            <c15:filteredLineSeries>
              <c15:ser>
                <c:idx val="2"/>
                <c:order val="2"/>
                <c:tx>
                  <c:strRef>
                    <c:extLst xmlns:c15="http://schemas.microsoft.com/office/drawing/2012/chart" xmlns:c16r2="http://schemas.microsoft.com/office/drawing/2015/06/chart">
                      <c:ext xmlns:c15="http://schemas.microsoft.com/office/drawing/2012/chart" uri="{02D57815-91ED-43cb-92C2-25804820EDAC}">
                        <c15:formulaRef>
                          <c15:sqref>'IPCC SR15 graphs'!$BW$9</c15:sqref>
                        </c15:formulaRef>
                      </c:ext>
                    </c:extLst>
                    <c:strCache>
                      <c:ptCount val="1"/>
                      <c:pt idx="0">
                        <c:v>RM-3 lin</c:v>
                      </c:pt>
                    </c:strCache>
                  </c:strRef>
                </c:tx>
                <c:spPr>
                  <a:ln w="28575" cap="rnd">
                    <a:solidFill>
                      <a:schemeClr val="accent3">
                        <a:alpha val="50000"/>
                      </a:schemeClr>
                    </a:solidFill>
                    <a:round/>
                  </a:ln>
                  <a:effectLst/>
                </c:spPr>
                <c:marker>
                  <c:symbol val="none"/>
                </c:marker>
                <c:cat>
                  <c:numRef>
                    <c:extLst xmlns:c16r2="http://schemas.microsoft.com/office/drawing/2015/06/chart" xmlns:c15="http://schemas.microsoft.com/office/drawing/2012/chart">
                      <c:ext xmlns:c15="http://schemas.microsoft.com/office/drawing/2012/char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'IPCC SR15 graphs'!$BW$10:$BW$91</c15:sqref>
                        </c15:formulaRef>
                      </c:ext>
                    </c:extLst>
                    <c:numCache>
                      <c:formatCode>#,##0.00</c:formatCode>
                      <c:ptCount val="82"/>
                      <c:pt idx="0">
                        <c:v>42.311683327829648</c:v>
                      </c:pt>
                      <c:pt idx="1">
                        <c:v>41.634696394584374</c:v>
                      </c:pt>
                      <c:pt idx="2">
                        <c:v>40.698938963160479</c:v>
                      </c:pt>
                      <c:pt idx="3">
                        <c:v>39.520670212747206</c:v>
                      </c:pt>
                      <c:pt idx="4">
                        <c:v>38.120600266107886</c:v>
                      </c:pt>
                      <c:pt idx="5">
                        <c:v>36.52328254722493</c:v>
                      </c:pt>
                      <c:pt idx="6">
                        <c:v>34.756391426208353</c:v>
                      </c:pt>
                      <c:pt idx="7">
                        <c:v>32.849915052202277</c:v>
                      </c:pt>
                      <c:pt idx="8">
                        <c:v>30.835296640967364</c:v>
                      </c:pt>
                      <c:pt idx="9">
                        <c:v>28.74455907257909</c:v>
                      </c:pt>
                      <c:pt idx="10">
                        <c:v>26.609447402105705</c:v>
                      </c:pt>
                      <c:pt idx="11">
                        <c:v>24.460621848320489</c:v>
                      </c:pt>
                      <c:pt idx="12">
                        <c:v>22.326930172905357</c:v>
                      </c:pt>
                      <c:pt idx="13">
                        <c:v>20.234783365292255</c:v>
                      </c:pt>
                      <c:pt idx="14">
                        <c:v>18.207652553847989</c:v>
                      </c:pt>
                      <c:pt idx="15">
                        <c:v>16.265698470124367</c:v>
                      </c:pt>
                      <c:pt idx="16">
                        <c:v>14.425538016544882</c:v>
                      </c:pt>
                      <c:pt idx="17">
                        <c:v>12.700145935283334</c:v>
                      </c:pt>
                      <c:pt idx="18">
                        <c:v>11.098883613917479</c:v>
                      </c:pt>
                      <c:pt idx="19">
                        <c:v>9.6276419953230956</c:v>
                      </c:pt>
                      <c:pt idx="20">
                        <c:v>8.2890816083755485</c:v>
                      </c:pt>
                      <c:pt idx="21">
                        <c:v>7.0829500351464167</c:v>
                      </c:pt>
                      <c:pt idx="22">
                        <c:v>6.0064557196926422</c:v>
                      </c:pt>
                      <c:pt idx="23">
                        <c:v>5.0546768561808477</c:v>
                      </c:pt>
                      <c:pt idx="24">
                        <c:v>4.2209850471246346</c:v>
                      </c:pt>
                      <c:pt idx="25">
                        <c:v>3.4974653136449327</c:v>
                      </c:pt>
                      <c:pt idx="26">
                        <c:v>2.8753166464770041</c:v>
                      </c:pt>
                      <c:pt idx="27">
                        <c:v>2.2531679793090755</c:v>
                      </c:pt>
                      <c:pt idx="28">
                        <c:v>1.6310193121411469</c:v>
                      </c:pt>
                      <c:pt idx="29">
                        <c:v>1.0088706449732183</c:v>
                      </c:pt>
                      <c:pt idx="30">
                        <c:v>0.38672197780528972</c:v>
                      </c:pt>
                      <c:pt idx="31">
                        <c:v>-0.23542668936263889</c:v>
                      </c:pt>
                      <c:pt idx="32">
                        <c:v>-0.85757535653056749</c:v>
                      </c:pt>
                      <c:pt idx="33">
                        <c:v>-1.4797240236984961</c:v>
                      </c:pt>
                      <c:pt idx="34">
                        <c:v>-2.1018726908664247</c:v>
                      </c:pt>
                      <c:pt idx="35">
                        <c:v>-2.7240213580343533</c:v>
                      </c:pt>
                      <c:pt idx="36">
                        <c:v>-3.3461700252022819</c:v>
                      </c:pt>
                      <c:pt idx="37">
                        <c:v>-3.9683186923702105</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2-EE9B-45AD-B6C1-E4A29746DB45}"/>
                  </c:ext>
                </c:extLst>
              </c15:ser>
            </c15:filteredLineSeries>
            <c15:filteredLineSeries>
              <c15:ser>
                <c:idx val="3"/>
                <c:order val="3"/>
                <c:tx>
                  <c:strRef>
                    <c:extLst xmlns:c15="http://schemas.microsoft.com/office/drawing/2012/chart" xmlns:c16r2="http://schemas.microsoft.com/office/drawing/2015/06/chart">
                      <c:ext xmlns:c15="http://schemas.microsoft.com/office/drawing/2012/chart" uri="{02D57815-91ED-43cb-92C2-25804820EDAC}">
                        <c15:formulaRef>
                          <c15:sqref>'IPCC SR15 graphs'!$BX$9</c15:sqref>
                        </c15:formulaRef>
                      </c:ext>
                    </c:extLst>
                    <c:strCache>
                      <c:ptCount val="1"/>
                      <c:pt idx="0">
                        <c:v>RM-4 quadr</c:v>
                      </c:pt>
                    </c:strCache>
                  </c:strRef>
                </c:tx>
                <c:spPr>
                  <a:ln w="28575" cap="rnd">
                    <a:solidFill>
                      <a:schemeClr val="accent4"/>
                    </a:solidFill>
                    <a:round/>
                  </a:ln>
                  <a:effectLst/>
                </c:spPr>
                <c:marker>
                  <c:symbol val="none"/>
                </c:marker>
                <c:cat>
                  <c:numRef>
                    <c:extLst xmlns:c16r2="http://schemas.microsoft.com/office/drawing/2015/06/chart" xmlns:c15="http://schemas.microsoft.com/office/drawing/2012/chart">
                      <c:ext xmlns:c15="http://schemas.microsoft.com/office/drawing/2012/char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'IPCC SR15 graphs'!$BX$10:$BX$91</c15:sqref>
                        </c15:formulaRef>
                      </c:ext>
                    </c:extLst>
                    <c:numCache>
                      <c:formatCode>#,##0.00</c:formatCode>
                      <c:ptCount val="82"/>
                      <c:pt idx="0">
                        <c:v>42.311683327829648</c:v>
                      </c:pt>
                      <c:pt idx="1">
                        <c:v>41.634696394584374</c:v>
                      </c:pt>
                      <c:pt idx="2">
                        <c:v>40.94642033711299</c:v>
                      </c:pt>
                      <c:pt idx="3">
                        <c:v>40.204256701878194</c:v>
                      </c:pt>
                      <c:pt idx="4">
                        <c:v>39.368740415687277</c:v>
                      </c:pt>
                      <c:pt idx="5">
                        <c:v>38.404168714250304</c:v>
                      </c:pt>
                      <c:pt idx="6">
                        <c:v>37.279589397576622</c:v>
                      </c:pt>
                      <c:pt idx="7">
                        <c:v>35.970063791945805</c:v>
                      </c:pt>
                      <c:pt idx="8">
                        <c:v>34.458091947431519</c:v>
                      </c:pt>
                      <c:pt idx="9">
                        <c:v>32.735055845817413</c:v>
                      </c:pt>
                      <c:pt idx="10">
                        <c:v>30.802506467750074</c:v>
                      </c:pt>
                      <c:pt idx="11">
                        <c:v>28.673099531232598</c:v>
                      </c:pt>
                      <c:pt idx="12">
                        <c:v>26.370980374694042</c:v>
                      </c:pt>
                      <c:pt idx="13">
                        <c:v>23.931438247852281</c:v>
                      </c:pt>
                      <c:pt idx="14">
                        <c:v>21.399699625260347</c:v>
                      </c:pt>
                      <c:pt idx="15">
                        <c:v>18.828810597051955</c:v>
                      </c:pt>
                      <c:pt idx="16">
                        <c:v>16.276665737191337</c:v>
                      </c:pt>
                      <c:pt idx="17">
                        <c:v>13.80236407512988</c:v>
                      </c:pt>
                      <c:pt idx="18">
                        <c:v>11.462194181355065</c:v>
                      </c:pt>
                      <c:pt idx="19">
                        <c:v>9.3056474481057752</c:v>
                      </c:pt>
                      <c:pt idx="20">
                        <c:v>7.3719080701785655</c:v>
                      </c:pt>
                      <c:pt idx="21">
                        <c:v>5.6872512398710828</c:v>
                      </c:pt>
                      <c:pt idx="22">
                        <c:v>4.2636893325199043</c:v>
                      </c:pt>
                      <c:pt idx="23">
                        <c:v>3.0990461285146633</c:v>
                      </c:pt>
                      <c:pt idx="24">
                        <c:v>2.1784348251611947</c:v>
                      </c:pt>
                      <c:pt idx="25">
                        <c:v>1.2578235218077261</c:v>
                      </c:pt>
                      <c:pt idx="26">
                        <c:v>0.33721221845425742</c:v>
                      </c:pt>
                      <c:pt idx="27">
                        <c:v>-0.58339908489921122</c:v>
                      </c:pt>
                      <c:pt idx="28">
                        <c:v>-1.5040103882526799</c:v>
                      </c:pt>
                      <c:pt idx="29">
                        <c:v>-2.4246216916061485</c:v>
                      </c:pt>
                      <c:pt idx="30">
                        <c:v>-3.3452329949596171</c:v>
                      </c:pt>
                      <c:pt idx="31">
                        <c:v>-4.2658442983130858</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3-EE9B-45AD-B6C1-E4A29746DB45}"/>
                  </c:ext>
                </c:extLst>
              </c15:ser>
            </c15:filteredLineSeries>
            <c15:filteredLineSeries>
              <c15:ser>
                <c:idx val="4"/>
                <c:order val="5"/>
                <c:tx>
                  <c:strRef>
                    <c:extLst xmlns:c15="http://schemas.microsoft.com/office/drawing/2012/chart" xmlns:c16r2="http://schemas.microsoft.com/office/drawing/2015/06/chart">
                      <c:ext xmlns:c15="http://schemas.microsoft.com/office/drawing/2012/chart" uri="{02D57815-91ED-43cb-92C2-25804820EDAC}">
                        <c15:formulaRef>
                          <c15:sqref>'IPCC SR15 graphs'!$BZ$9</c15:sqref>
                        </c15:formulaRef>
                      </c:ext>
                    </c:extLst>
                    <c:strCache>
                      <c:ptCount val="1"/>
                      <c:pt idx="0">
                        <c:v>SPM-R</c:v>
                      </c:pt>
                    </c:strCache>
                  </c:strRef>
                </c:tx>
                <c:spPr>
                  <a:ln>
                    <a:solidFill>
                      <a:schemeClr val="tx1">
                        <a:lumMod val="65000"/>
                        <a:lumOff val="35000"/>
                      </a:schemeClr>
                    </a:solidFill>
                  </a:ln>
                </c:spPr>
                <c:marker>
                  <c:symbol val="none"/>
                </c:marker>
                <c:cat>
                  <c:numRef>
                    <c:extLst xmlns:c16r2="http://schemas.microsoft.com/office/drawing/2015/06/chart" xmlns:c15="http://schemas.microsoft.com/office/drawing/2012/chart">
                      <c:ext xmlns:c15="http://schemas.microsoft.com/office/drawing/2012/chart" uri="{02D57815-91ED-43cb-92C2-25804820EDAC}">
                        <c15:formulaRef>
                          <c15:sqref>graphs!$BS$9:$BS$90</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5="http://schemas.microsoft.com/office/drawing/2012/chart" xmlns:c16r2="http://schemas.microsoft.com/office/drawing/2015/06/chart">
                      <c:ext xmlns:c15="http://schemas.microsoft.com/office/drawing/2012/chart" uri="{02D57815-91ED-43cb-92C2-25804820EDAC}">
                        <c15:formulaRef>
                          <c15:sqref>'IPCC SR15 graphs'!$BZ$10:$BZ$91</c15:sqref>
                        </c15:formulaRef>
                      </c:ext>
                    </c:extLst>
                    <c:numCache>
                      <c:formatCode>#,##0.00</c:formatCode>
                      <c:ptCount val="82"/>
                      <c:pt idx="0">
                        <c:v>42.311683327829648</c:v>
                      </c:pt>
                      <c:pt idx="1">
                        <c:v>41.834339829518569</c:v>
                      </c:pt>
                      <c:pt idx="2">
                        <c:v>39.733240975044623</c:v>
                      </c:pt>
                      <c:pt idx="3">
                        <c:v>36.522204869624375</c:v>
                      </c:pt>
                      <c:pt idx="4">
                        <c:v>32.793427399481033</c:v>
                      </c:pt>
                      <c:pt idx="5">
                        <c:v>28.931788391085348</c:v>
                      </c:pt>
                      <c:pt idx="6">
                        <c:v>25.177512457858086</c:v>
                      </c:pt>
                      <c:pt idx="7">
                        <c:v>21.671270172514866</c:v>
                      </c:pt>
                      <c:pt idx="8">
                        <c:v>18.486418119923655</c:v>
                      </c:pt>
                      <c:pt idx="9">
                        <c:v>15.651857785996114</c:v>
                      </c:pt>
                      <c:pt idx="10">
                        <c:v>13.168083660743605</c:v>
                      </c:pt>
                      <c:pt idx="11">
                        <c:v>11.018313333856071</c:v>
                      </c:pt>
                      <c:pt idx="12">
                        <c:v>9.1760886496662266</c:v>
                      </c:pt>
                      <c:pt idx="13">
                        <c:v>7.6103634168143444</c:v>
                      </c:pt>
                      <c:pt idx="14">
                        <c:v>6.2888168284638262</c:v>
                      </c:pt>
                      <c:pt idx="15">
                        <c:v>5.1799279200617256</c:v>
                      </c:pt>
                      <c:pt idx="16">
                        <c:v>4.2541965278203868</c:v>
                      </c:pt>
                      <c:pt idx="17">
                        <c:v>3.4847864207506483</c:v>
                      </c:pt>
                      <c:pt idx="18">
                        <c:v>2.8477861737325547</c:v>
                      </c:pt>
                      <c:pt idx="19">
                        <c:v>2.3222251737788593</c:v>
                      </c:pt>
                      <c:pt idx="20">
                        <c:v>1.8899401284246782</c:v>
                      </c:pt>
                      <c:pt idx="21">
                        <c:v>1.5353572783066616</c:v>
                      </c:pt>
                      <c:pt idx="22">
                        <c:v>1.2452340190892004</c:v>
                      </c:pt>
                      <c:pt idx="23">
                        <c:v>1.0083884535049643</c:v>
                      </c:pt>
                      <c:pt idx="24">
                        <c:v>0.81543478321211005</c:v>
                      </c:pt>
                      <c:pt idx="25">
                        <c:v>0.65853513342908965</c:v>
                      </c:pt>
                      <c:pt idx="26">
                        <c:v>0.53117344366821539</c:v>
                      </c:pt>
                      <c:pt idx="27">
                        <c:v>0.42795377134786117</c:v>
                      </c:pt>
                      <c:pt idx="28">
                        <c:v>0.3444232447171347</c:v>
                      </c:pt>
                      <c:pt idx="29">
                        <c:v>0.27691860830715598</c:v>
                      </c:pt>
                      <c:pt idx="30">
                        <c:v>0.22243457015738544</c:v>
                      </c:pt>
                      <c:pt idx="31">
                        <c:v>0.17851180150263735</c:v>
                      </c:pt>
                      <c:pt idx="32">
                        <c:v>0.14314232650366598</c:v>
                      </c:pt>
                      <c:pt idx="33">
                        <c:v>0.11469008108803347</c:v>
                      </c:pt>
                      <c:pt idx="34">
                        <c:v>9.1824553318918978E-2</c:v>
                      </c:pt>
                      <c:pt idx="35">
                        <c:v>7.3465600361367511E-2</c:v>
                      </c:pt>
                      <c:pt idx="36">
                        <c:v>5.8737740815139106E-2</c:v>
                      </c:pt>
                      <c:pt idx="37">
                        <c:v>4.6932427746303962E-2</c:v>
                      </c:pt>
                      <c:pt idx="38">
                        <c:v>3.7477005992540335E-2</c:v>
                      </c:pt>
                      <c:pt idx="39">
                        <c:v>2.9909240852516977E-2</c:v>
                      </c:pt>
                      <c:pt idx="40">
                        <c:v>2.3856470934856572E-2</c:v>
                      </c:pt>
                      <c:pt idx="41">
                        <c:v>1.9018584686248563E-2</c:v>
                      </c:pt>
                      <c:pt idx="42">
                        <c:v>1.5154148224542634E-2</c:v>
                      </c:pt>
                      <c:pt idx="43">
                        <c:v>1.2069122650795593E-2</c:v>
                      </c:pt>
                      <c:pt idx="44">
                        <c:v>9.6077035150404153E-3</c:v>
                      </c:pt>
                      <c:pt idx="45">
                        <c:v>7.6448952630430445E-3</c:v>
                      </c:pt>
                      <c:pt idx="46">
                        <c:v>6.0805010261560204E-3</c:v>
                      </c:pt>
                      <c:pt idx="47">
                        <c:v>4.8342646991232363E-3</c:v>
                      </c:pt>
                      <c:pt idx="48">
                        <c:v>3.8419494262553113E-3</c:v>
                      </c:pt>
                      <c:pt idx="49">
                        <c:v>3.0521757811871712E-3</c:v>
                      </c:pt>
                      <c:pt idx="50">
                        <c:v>2.4238753176652125E-3</c:v>
                      </c:pt>
                      <c:pt idx="51">
                        <c:v>1.9242418703228478E-3</c:v>
                      </c:pt>
                      <c:pt idx="52">
                        <c:v>1.5270849293665132E-3</c:v>
                      </c:pt>
                      <c:pt idx="53">
                        <c:v>1.211507400511235E-3</c:v>
                      </c:pt>
                      <c:pt idx="54">
                        <c:v>9.6084476937006134E-4</c:v>
                      </c:pt>
                      <c:pt idx="55">
                        <c:v>7.61814689302157E-4</c:v>
                      </c:pt>
                      <c:pt idx="56">
                        <c:v>6.0383578242502933E-4</c:v>
                      </c:pt>
                      <c:pt idx="57">
                        <c:v>4.784823845500471E-4</c:v>
                      </c:pt>
                      <c:pt idx="58">
                        <c:v>3.7904840791133545E-4</c:v>
                      </c:pt>
                      <c:pt idx="59">
                        <c:v>3.0019871513347349E-4</c:v>
                      </c:pt>
                      <c:pt idx="60">
                        <c:v>2.3769062016652581E-4</c:v>
                      </c:pt>
                      <c:pt idx="61">
                        <c:v>1.8815154288200672E-4</c:v>
                      </c:pt>
                      <c:pt idx="62">
                        <c:v>1.4890159613068659E-4</c:v>
                      </c:pt>
                      <c:pt idx="63">
                        <c:v>1.1781210199380822E-4</c:v>
                      </c:pt>
                      <c:pt idx="64">
                        <c:v>9.3192819451234812E-5</c:v>
                      </c:pt>
                      <c:pt idx="65">
                        <c:v>7.3702101592273744E-5</c:v>
                      </c:pt>
                      <c:pt idx="66">
                        <c:v>5.8275354149733865E-5</c:v>
                      </c:pt>
                      <c:pt idx="67">
                        <c:v>4.6068093190151281E-5</c:v>
                      </c:pt>
                      <c:pt idx="68">
                        <c:v>3.6410642515178335E-5</c:v>
                      </c:pt>
                      <c:pt idx="69">
                        <c:v>2.8772106537307176E-5</c:v>
                      </c:pt>
                      <c:pt idx="70">
                        <c:v>2.2731731023758545E-5</c:v>
                      </c:pt>
                      <c:pt idx="71">
                        <c:v>1.7956145504705306E-5</c:v>
                      </c:pt>
                      <c:pt idx="72">
                        <c:v>1.4181286134081569E-5</c:v>
                      </c:pt>
                      <c:pt idx="73">
                        <c:v>1.1198041523564572E-5</c:v>
                      </c:pt>
                      <c:pt idx="74">
                        <c:v>8.8408587273567027E-6</c:v>
                      </c:pt>
                      <c:pt idx="75">
                        <c:v>6.9787019274989334E-6</c:v>
                      </c:pt>
                      <c:pt idx="76">
                        <c:v>5.5078803155863027E-6</c:v>
                      </c:pt>
                      <c:pt idx="77">
                        <c:v>4.3463604906361032E-6</c:v>
                      </c:pt>
                      <c:pt idx="78">
                        <c:v>3.4292574462414513E-6</c:v>
                      </c:pt>
                      <c:pt idx="79">
                        <c:v>2.7052609487227185E-6</c:v>
                      </c:pt>
                      <c:pt idx="80">
                        <c:v>2.1338040491711256E-6</c:v>
                      </c:pt>
                      <c:pt idx="81">
                        <c:v>1.6828202150896504E-6</c:v>
                      </c:pt>
                    </c:numCache>
                  </c:numRef>
                </c:val>
                <c:smooth val="0"/>
              </c15:ser>
            </c15:filteredLineSeries>
          </c:ext>
        </c:extLst>
      </c:lineChart>
      <c:catAx>
        <c:axId val="517879776"/>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77032"/>
        <c:crosses val="autoZero"/>
        <c:auto val="1"/>
        <c:lblAlgn val="ctr"/>
        <c:lblOffset val="100"/>
        <c:noMultiLvlLbl val="0"/>
      </c:catAx>
      <c:valAx>
        <c:axId val="517877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 CO</a:t>
                </a:r>
                <a:r>
                  <a:rPr lang="de-DE" baseline="-25000"/>
                  <a:t>2</a:t>
                </a:r>
                <a:endParaRPr lang="de-DE"/>
              </a:p>
            </c:rich>
          </c:tx>
          <c:layout>
            <c:manualLayout>
              <c:xMode val="edge"/>
              <c:yMode val="edge"/>
              <c:x val="1.2124658539381997E-2"/>
              <c:y val="0.47459542585340558"/>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8797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400" b="0" i="0" u="none" strike="noStrike" baseline="0">
                <a:effectLst/>
              </a:rPr>
              <a:t>global change rates</a:t>
            </a:r>
            <a:endParaRPr lang="de-DE" sz="1200"/>
          </a:p>
        </c:rich>
      </c:tx>
      <c:layout/>
      <c:overlay val="0"/>
      <c:spPr>
        <a:noFill/>
        <a:ln>
          <a:noFill/>
        </a:ln>
        <a:effectLst/>
      </c:spPr>
    </c:title>
    <c:autoTitleDeleted val="0"/>
    <c:plotArea>
      <c:layout/>
      <c:lineChart>
        <c:grouping val="standard"/>
        <c:varyColors val="0"/>
        <c:ser>
          <c:idx val="5"/>
          <c:order val="4"/>
          <c:tx>
            <c:strRef>
              <c:f>'IPCC SR15 graphs'!$CK$10</c:f>
              <c:strCache>
                <c:ptCount val="1"/>
                <c:pt idx="0">
                  <c:v>RM-5 rad</c:v>
                </c:pt>
              </c:strCache>
            </c:strRef>
          </c:tx>
          <c:spPr>
            <a:ln>
              <a:solidFill>
                <a:srgbClr val="FF6600">
                  <a:alpha val="50000"/>
                </a:srgbClr>
              </a:solidFill>
            </a:ln>
          </c:spPr>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graphs'!$CK$11:$CK$61</c15:sqref>
                  </c15:fullRef>
                </c:ext>
              </c:extLst>
              <c:f>'IPCC SR15 graphs'!$CK$11:$CK$41</c:f>
              <c:numCache>
                <c:formatCode>0.0%</c:formatCode>
                <c:ptCount val="31"/>
                <c:pt idx="0">
                  <c:v>-1.6000000000000014E-2</c:v>
                </c:pt>
                <c:pt idx="1">
                  <c:v>-3.1984882019052474E-2</c:v>
                </c:pt>
                <c:pt idx="2">
                  <c:v>-4.3686627809993106E-2</c:v>
                </c:pt>
                <c:pt idx="3">
                  <c:v>-5.1743282806915425E-2</c:v>
                </c:pt>
                <c:pt idx="4">
                  <c:v>-5.8292022559120804E-2</c:v>
                </c:pt>
                <c:pt idx="5">
                  <c:v>-6.3954646057157505E-2</c:v>
                </c:pt>
                <c:pt idx="6">
                  <c:v>-6.9015855975295692E-2</c:v>
                </c:pt>
                <c:pt idx="7">
                  <c:v>-7.3634311751936021E-2</c:v>
                </c:pt>
                <c:pt idx="8">
                  <c:v>-7.7909181850880582E-2</c:v>
                </c:pt>
                <c:pt idx="9">
                  <c:v>-8.1907356977589885E-2</c:v>
                </c:pt>
                <c:pt idx="10">
                  <c:v>-8.567648534547001E-2</c:v>
                </c:pt>
                <c:pt idx="11">
                  <c:v>-8.9251931827246556E-2</c:v>
                </c:pt>
                <c:pt idx="12">
                  <c:v>-9.2660801083406463E-2</c:v>
                </c:pt>
                <c:pt idx="13">
                  <c:v>-9.5924410095262536E-2</c:v>
                </c:pt>
                <c:pt idx="14">
                  <c:v>-9.9059883429979179E-2</c:v>
                </c:pt>
                <c:pt idx="15">
                  <c:v>-0.10208122409519849</c:v>
                </c:pt>
                <c:pt idx="16">
                  <c:v>-0.10500005644972277</c:v>
                </c:pt>
                <c:pt idx="17">
                  <c:v>-0.10782615615596625</c:v>
                </c:pt>
                <c:pt idx="18">
                  <c:v>-0.11056783734814879</c:v>
                </c:pt>
                <c:pt idx="19">
                  <c:v>-0.11323224139673016</c:v>
                </c:pt>
                <c:pt idx="20">
                  <c:v>-0.11582555621361723</c:v>
                </c:pt>
                <c:pt idx="21">
                  <c:v>-0.11835318548869944</c:v>
                </c:pt>
                <c:pt idx="22">
                  <c:v>-0.12081988115815712</c:v>
                </c:pt>
                <c:pt idx="23">
                  <c:v>-0.12322984842074625</c:v>
                </c:pt>
                <c:pt idx="24">
                  <c:v>-0.12558682995078507</c:v>
                </c:pt>
                <c:pt idx="25">
                  <c:v>-0.12789417413336734</c:v>
                </c:pt>
                <c:pt idx="26">
                  <c:v>-0.13015489087776477</c:v>
                </c:pt>
                <c:pt idx="27">
                  <c:v>-0.1323716976658863</c:v>
                </c:pt>
                <c:pt idx="28">
                  <c:v>#N/A</c:v>
                </c:pt>
                <c:pt idx="29">
                  <c:v>#N/A</c:v>
                </c:pt>
                <c:pt idx="30">
                  <c:v>#N/A</c:v>
                </c:pt>
              </c:numCache>
            </c:numRef>
          </c:val>
          <c:smooth val="0"/>
        </c:ser>
        <c:ser>
          <c:idx val="6"/>
          <c:order val="6"/>
          <c:tx>
            <c:strRef>
              <c:f>'IPCC SR15 graphs'!$CM$10</c:f>
              <c:strCache>
                <c:ptCount val="1"/>
                <c:pt idx="0">
                  <c:v>SR15 P1</c:v>
                </c:pt>
              </c:strCache>
            </c:strRef>
          </c:tx>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graphs'!$CM$11:$CM$91</c15:sqref>
                  </c15:fullRef>
                </c:ext>
              </c:extLst>
              <c:f>'IPCC SR15 graphs'!$CM$11:$CM$41</c:f>
              <c:numCache>
                <c:formatCode>0.0%</c:formatCode>
                <c:ptCount val="31"/>
                <c:pt idx="0">
                  <c:v>2.5885413605926111E-3</c:v>
                </c:pt>
                <c:pt idx="1">
                  <c:v>-5.9018263991781894E-2</c:v>
                </c:pt>
                <c:pt idx="2">
                  <c:v>-6.2719882579382213E-2</c:v>
                </c:pt>
                <c:pt idx="3">
                  <c:v>-6.6916902869936123E-2</c:v>
                </c:pt>
                <c:pt idx="4">
                  <c:v>-7.1715909414480139E-2</c:v>
                </c:pt>
                <c:pt idx="5">
                  <c:v>-7.7256424128972268E-2</c:v>
                </c:pt>
                <c:pt idx="6">
                  <c:v>-8.3724694648863562E-2</c:v>
                </c:pt>
                <c:pt idx="7">
                  <c:v>-9.1375042151527253E-2</c:v>
                </c:pt>
                <c:pt idx="8">
                  <c:v>-0.10056409012565326</c:v>
                </c:pt>
                <c:pt idx="9">
                  <c:v>-0.11180795543257938</c:v>
                </c:pt>
                <c:pt idx="10">
                  <c:v>-0.12588263553630463</c:v>
                </c:pt>
                <c:pt idx="11">
                  <c:v>-5.1440506028005428E-2</c:v>
                </c:pt>
                <c:pt idx="12">
                  <c:v>-5.4230131430785589E-2</c:v>
                </c:pt>
                <c:pt idx="13">
                  <c:v>-5.7339669229287571E-2</c:v>
                </c:pt>
                <c:pt idx="14">
                  <c:v>-6.0827497835203359E-2</c:v>
                </c:pt>
                <c:pt idx="15">
                  <c:v>-6.4767119666510387E-2</c:v>
                </c:pt>
                <c:pt idx="16">
                  <c:v>-6.9252398016005912E-2</c:v>
                </c:pt>
                <c:pt idx="17">
                  <c:v>-7.4405131819160863E-2</c:v>
                </c:pt>
                <c:pt idx="18">
                  <c:v>-8.0386283866738295E-2</c:v>
                </c:pt>
                <c:pt idx="19">
                  <c:v>-8.7413097974160192E-2</c:v>
                </c:pt>
                <c:pt idx="20">
                  <c:v>-9.5786053668019622E-2</c:v>
                </c:pt>
                <c:pt idx="21">
                  <c:v>-6.5254444857999361E-2</c:v>
                </c:pt>
                <c:pt idx="22">
                  <c:v>-6.980984771637555E-2</c:v>
                </c:pt>
                <c:pt idx="23">
                  <c:v>-7.5049007501306941E-2</c:v>
                </c:pt>
                <c:pt idx="24">
                  <c:v>-8.1138360961770628E-2</c:v>
                </c:pt>
                <c:pt idx="25">
                  <c:v>-8.8303132391834294E-2</c:v>
                </c:pt>
                <c:pt idx="26">
                  <c:v>-9.6855803205178614E-2</c:v>
                </c:pt>
                <c:pt idx="27">
                  <c:v>-0.10724290046806628</c:v>
                </c:pt>
                <c:pt idx="28">
                  <c:v>-0.12012550841017444</c:v>
                </c:pt>
                <c:pt idx="29">
                  <c:v>-0.13652573129279189</c:v>
                </c:pt>
                <c:pt idx="30">
                  <c:v>-0.1581121015883955</c:v>
                </c:pt>
              </c:numCache>
            </c:numRef>
          </c:val>
          <c:smooth val="0"/>
        </c:ser>
        <c:ser>
          <c:idx val="7"/>
          <c:order val="7"/>
          <c:tx>
            <c:strRef>
              <c:f>'IPCC SR15 graphs'!$CN$10</c:f>
              <c:strCache>
                <c:ptCount val="1"/>
                <c:pt idx="0">
                  <c:v>SR15 P2</c:v>
                </c:pt>
              </c:strCache>
            </c:strRef>
          </c:tx>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graphs'!$CN$11:$CN$91</c15:sqref>
                  </c15:fullRef>
                </c:ext>
              </c:extLst>
              <c:f>'IPCC SR15 graphs'!$CN$11:$CN$41</c:f>
              <c:numCache>
                <c:formatCode>0.0%</c:formatCode>
                <c:ptCount val="31"/>
                <c:pt idx="0">
                  <c:v>3.9128864867401525E-3</c:v>
                </c:pt>
                <c:pt idx="1">
                  <c:v>-4.8816808014509494E-2</c:v>
                </c:pt>
                <c:pt idx="2">
                  <c:v>-5.1322193690804263E-2</c:v>
                </c:pt>
                <c:pt idx="3">
                  <c:v>-5.4098655359567149E-2</c:v>
                </c:pt>
                <c:pt idx="4">
                  <c:v>-5.7192703727608873E-2</c:v>
                </c:pt>
                <c:pt idx="5">
                  <c:v>-6.066213525685249E-2</c:v>
                </c:pt>
                <c:pt idx="6">
                  <c:v>-6.4579676316385726E-2</c:v>
                </c:pt>
                <c:pt idx="7">
                  <c:v>-6.9038136847499709E-2</c:v>
                </c:pt>
                <c:pt idx="8">
                  <c:v>-7.415785713681089E-2</c:v>
                </c:pt>
                <c:pt idx="9">
                  <c:v>-8.0097733407852867E-2</c:v>
                </c:pt>
                <c:pt idx="10">
                  <c:v>-8.7072003534237385E-2</c:v>
                </c:pt>
                <c:pt idx="11">
                  <c:v>-5.6818455237230059E-2</c:v>
                </c:pt>
                <c:pt idx="12">
                  <c:v>-6.0241271208832936E-2</c:v>
                </c:pt>
                <c:pt idx="13">
                  <c:v>-6.4102912123357392E-2</c:v>
                </c:pt>
                <c:pt idx="14">
                  <c:v>-6.8493548012627858E-2</c:v>
                </c:pt>
                <c:pt idx="15">
                  <c:v>-7.3529869671322912E-2</c:v>
                </c:pt>
                <c:pt idx="16">
                  <c:v>-7.9365612839786159E-2</c:v>
                </c:pt>
                <c:pt idx="17">
                  <c:v>-8.6207525969815624E-2</c:v>
                </c:pt>
                <c:pt idx="18">
                  <c:v>-9.4340376420049221E-2</c:v>
                </c:pt>
                <c:pt idx="19">
                  <c:v>-0.10416758566214401</c:v>
                </c:pt>
                <c:pt idx="20">
                  <c:v>-0.11628021490963547</c:v>
                </c:pt>
                <c:pt idx="21">
                  <c:v>-7.8192393782220648E-2</c:v>
                </c:pt>
                <c:pt idx="22">
                  <c:v>-8.4825068978401363E-2</c:v>
                </c:pt>
                <c:pt idx="23">
                  <c:v>-9.2687273332227482E-2</c:v>
                </c:pt>
                <c:pt idx="24">
                  <c:v>-0.10215581751248426</c:v>
                </c:pt>
                <c:pt idx="25">
                  <c:v>-0.11377900475944192</c:v>
                </c:pt>
                <c:pt idx="26">
                  <c:v>-0.12838671772667409</c:v>
                </c:pt>
                <c:pt idx="27">
                  <c:v>-0.14729779861989201</c:v>
                </c:pt>
                <c:pt idx="28">
                  <c:v>-0.17274236935414122</c:v>
                </c:pt>
                <c:pt idx="29">
                  <c:v>-0.20881326802543654</c:v>
                </c:pt>
                <c:pt idx="30">
                  <c:v>-0.26392412762568174</c:v>
                </c:pt>
              </c:numCache>
            </c:numRef>
          </c:val>
          <c:smooth val="0"/>
        </c:ser>
        <c:ser>
          <c:idx val="8"/>
          <c:order val="8"/>
          <c:tx>
            <c:strRef>
              <c:f>'IPCC SR15 graphs'!$CO$10</c:f>
              <c:strCache>
                <c:ptCount val="1"/>
                <c:pt idx="0">
                  <c:v>SR15 P3</c:v>
                </c:pt>
              </c:strCache>
            </c:strRef>
          </c:tx>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graphs'!$CO$11:$CO$91</c15:sqref>
                  </c15:fullRef>
                </c:ext>
              </c:extLst>
              <c:f>'IPCC SR15 graphs'!$CO$11:$CO$41</c:f>
              <c:numCache>
                <c:formatCode>0.0%</c:formatCode>
                <c:ptCount val="31"/>
                <c:pt idx="0">
                  <c:v>1.5325379311883491E-3</c:v>
                </c:pt>
                <c:pt idx="1">
                  <c:v>1.5301928525990327E-3</c:v>
                </c:pt>
                <c:pt idx="2">
                  <c:v>1.5278549398904939E-3</c:v>
                </c:pt>
                <c:pt idx="3">
                  <c:v>1.5255241602663006E-3</c:v>
                </c:pt>
                <c:pt idx="4">
                  <c:v>1.5232004811314148E-3</c:v>
                </c:pt>
                <c:pt idx="5">
                  <c:v>1.5208838700888627E-3</c:v>
                </c:pt>
                <c:pt idx="6">
                  <c:v>1.5185742949381797E-3</c:v>
                </c:pt>
                <c:pt idx="7">
                  <c:v>1.5162717236740786E-3</c:v>
                </c:pt>
                <c:pt idx="8">
                  <c:v>1.5139761244864491E-3</c:v>
                </c:pt>
                <c:pt idx="9">
                  <c:v>1.5116874657556956E-3</c:v>
                </c:pt>
                <c:pt idx="10">
                  <c:v>-4.2261506530084314E-2</c:v>
                </c:pt>
                <c:pt idx="11">
                  <c:v>-4.4126352671676639E-2</c:v>
                </c:pt>
                <c:pt idx="12">
                  <c:v>-4.6163373992994416E-2</c:v>
                </c:pt>
                <c:pt idx="13">
                  <c:v>-4.8397569074533853E-2</c:v>
                </c:pt>
                <c:pt idx="14">
                  <c:v>-5.0859022110174235E-2</c:v>
                </c:pt>
                <c:pt idx="15">
                  <c:v>-5.3584265451531166E-2</c:v>
                </c:pt>
                <c:pt idx="16">
                  <c:v>-5.6618105020301623E-2</c:v>
                </c:pt>
                <c:pt idx="17">
                  <c:v>-6.001610304545324E-2</c:v>
                </c:pt>
                <c:pt idx="18">
                  <c:v>-6.3848011907314151E-2</c:v>
                </c:pt>
                <c:pt idx="19">
                  <c:v>-6.8202613164760062E-2</c:v>
                </c:pt>
                <c:pt idx="20">
                  <c:v>-5.1237393790802277E-2</c:v>
                </c:pt>
                <c:pt idx="21">
                  <c:v>-5.4004440579202173E-2</c:v>
                </c:pt>
                <c:pt idx="22">
                  <c:v>-5.7087414461297614E-2</c:v>
                </c:pt>
                <c:pt idx="23">
                  <c:v>-6.0543697620348391E-2</c:v>
                </c:pt>
                <c:pt idx="24">
                  <c:v>-6.4445464325497026E-2</c:v>
                </c:pt>
                <c:pt idx="25">
                  <c:v>-6.8884775679093901E-2</c:v>
                </c:pt>
                <c:pt idx="26">
                  <c:v>-7.3980935849624729E-2</c:v>
                </c:pt>
                <c:pt idx="27">
                  <c:v>-7.989137450156325E-2</c:v>
                </c:pt>
                <c:pt idx="28">
                  <c:v>-8.6828198636095699E-2</c:v>
                </c:pt>
                <c:pt idx="29">
                  <c:v>-9.5084187341739179E-2</c:v>
                </c:pt>
                <c:pt idx="30">
                  <c:v>-6.7208611715188438E-2</c:v>
                </c:pt>
              </c:numCache>
            </c:numRef>
          </c:val>
          <c:smooth val="0"/>
        </c:ser>
        <c:ser>
          <c:idx val="9"/>
          <c:order val="9"/>
          <c:tx>
            <c:strRef>
              <c:f>'IPCC SR15 graphs'!$CP$10</c:f>
              <c:strCache>
                <c:ptCount val="1"/>
                <c:pt idx="0">
                  <c:v>SR15 P4</c:v>
                </c:pt>
              </c:strCache>
            </c:strRef>
          </c:tx>
          <c:marker>
            <c:symbol val="none"/>
          </c:marker>
          <c:cat>
            <c:numRef>
              <c:extLst>
                <c:ext xmlns:c15="http://schemas.microsoft.com/office/drawing/2012/chart" uri="{02D57815-91ED-43cb-92C2-25804820EDAC}">
                  <c15:fullRef>
                    <c15:sqref>graphs!$BR$10:$BR$40</c15:sqref>
                  </c15:fullRef>
                </c:ext>
              </c:extLst>
              <c:f>graphs!$BR$10:$BR$40</c:f>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graphs'!$CP$11:$CP$91</c15:sqref>
                  </c15:fullRef>
                </c:ext>
              </c:extLst>
              <c:f>'IPCC SR15 graphs'!$CP$11:$CP$41</c:f>
              <c:numCache>
                <c:formatCode>0.0%</c:formatCode>
                <c:ptCount val="31"/>
                <c:pt idx="0">
                  <c:v>8.4588614829690378E-3</c:v>
                </c:pt>
                <c:pt idx="1">
                  <c:v>-4.8614609571787648E-3</c:v>
                </c:pt>
                <c:pt idx="2">
                  <c:v>-4.8852102159121502E-3</c:v>
                </c:pt>
                <c:pt idx="3">
                  <c:v>-4.9091926540160147E-3</c:v>
                </c:pt>
                <c:pt idx="4">
                  <c:v>-4.9334117226038643E-3</c:v>
                </c:pt>
                <c:pt idx="5">
                  <c:v>-4.9578709412243516E-3</c:v>
                </c:pt>
                <c:pt idx="6">
                  <c:v>-4.9825738995751268E-3</c:v>
                </c:pt>
                <c:pt idx="7">
                  <c:v>-5.0075242592492186E-3</c:v>
                </c:pt>
                <c:pt idx="8">
                  <c:v>-5.0327257555603522E-3</c:v>
                </c:pt>
                <c:pt idx="9">
                  <c:v>-5.0581821993930243E-3</c:v>
                </c:pt>
                <c:pt idx="10">
                  <c:v>-5.0838974791234115E-3</c:v>
                </c:pt>
                <c:pt idx="11">
                  <c:v>-4.1382049245436092E-2</c:v>
                </c:pt>
                <c:pt idx="12">
                  <c:v>-4.3168448090151301E-2</c:v>
                </c:pt>
                <c:pt idx="13">
                  <c:v>-4.5116037409065224E-2</c:v>
                </c:pt>
                <c:pt idx="14">
                  <c:v>-4.7247664822710811E-2</c:v>
                </c:pt>
                <c:pt idx="15">
                  <c:v>-4.9590710070439137E-2</c:v>
                </c:pt>
                <c:pt idx="16">
                  <c:v>-5.2178267401105205E-2</c:v>
                </c:pt>
                <c:pt idx="17">
                  <c:v>-5.5050718512244856E-2</c:v>
                </c:pt>
                <c:pt idx="18">
                  <c:v>-5.8257855305829165E-2</c:v>
                </c:pt>
                <c:pt idx="19">
                  <c:v>-6.1861790548567108E-2</c:v>
                </c:pt>
                <c:pt idx="20">
                  <c:v>-6.5941020124033911E-2</c:v>
                </c:pt>
                <c:pt idx="21">
                  <c:v>-9.4336043360420785E-2</c:v>
                </c:pt>
                <c:pt idx="22">
                  <c:v>-0.10416230288159489</c:v>
                </c:pt>
                <c:pt idx="23">
                  <c:v>-0.11627363217315867</c:v>
                </c:pt>
                <c:pt idx="24">
                  <c:v>-0.13157198472994014</c:v>
                </c:pt>
                <c:pt idx="25">
                  <c:v>-0.15150591922005707</c:v>
                </c:pt>
                <c:pt idx="26">
                  <c:v>-0.17855860477045582</c:v>
                </c:pt>
                <c:pt idx="27">
                  <c:v>-0.21737229923816936</c:v>
                </c:pt>
                <c:pt idx="28">
                  <c:v>-0.27774674858374337</c:v>
                </c:pt>
                <c:pt idx="29">
                  <c:v>-0.3845558992487933</c:v>
                </c:pt>
                <c:pt idx="30">
                  <c:v>-0.62484293663614565</c:v>
                </c:pt>
              </c:numCache>
            </c:numRef>
          </c:val>
          <c:smooth val="0"/>
        </c:ser>
        <c:dLbls>
          <c:showLegendKey val="0"/>
          <c:showVal val="0"/>
          <c:showCatName val="0"/>
          <c:showSerName val="0"/>
          <c:showPercent val="0"/>
          <c:showBubbleSize val="0"/>
        </c:dLbls>
        <c:smooth val="0"/>
        <c:axId val="517526992"/>
        <c:axId val="517528560"/>
        <c:extLst xmlns:c16r2="http://schemas.microsoft.com/office/drawing/2015/06/chart">
          <c:ext xmlns:c15="http://schemas.microsoft.com/office/drawing/2012/chart" uri="{02D57815-91ED-43cb-92C2-25804820EDAC}">
            <c15:filteredLineSeries>
              <c15:ser>
                <c:idx val="0"/>
                <c:order val="0"/>
                <c:tx>
                  <c:strRef>
                    <c:extLst xmlns:c16r2="http://schemas.microsoft.com/office/drawing/2015/06/chart">
                      <c:ext uri="{02D57815-91ED-43cb-92C2-25804820EDAC}">
                        <c15:formulaRef>
                          <c15:sqref>'IPCC SR15 graphs'!$CG$10</c15:sqref>
                        </c15:formulaRef>
                      </c:ext>
                    </c:extLst>
                    <c:strCache>
                      <c:ptCount val="1"/>
                      <c:pt idx="0">
                        <c:v>RM-1 const</c:v>
                      </c:pt>
                    </c:strCache>
                  </c:strRef>
                </c:tx>
                <c:spPr>
                  <a:ln w="28575" cap="rnd">
                    <a:solidFill>
                      <a:schemeClr val="accent1"/>
                    </a:solidFill>
                    <a:round/>
                  </a:ln>
                  <a:effectLst/>
                </c:spPr>
                <c:marker>
                  <c:symbol val="none"/>
                </c:marker>
                <c:dLbls>
                  <c:dLbl>
                    <c:idx val="0"/>
                    <c:tx>
                      <c:rich>
                        <a:bodyPr wrap="square" lIns="38100" tIns="19050" rIns="38100" bIns="19050" anchor="ctr">
                          <a:spAutoFit/>
                        </a:bodyPr>
                        <a:lstStyle/>
                        <a:p>
                          <a:pPr>
                            <a:defRPr sz="1200" b="1"/>
                          </a:pPr>
                          <a:fld id="{36241570-557C-4581-98BC-551AFB5B06C8}" type="CELLRANGE">
                            <a:rPr lang="en-US"/>
                            <a:pPr>
                              <a:defRPr sz="1200" b="1"/>
                            </a:pPr>
                            <a:t>[ZELLBEREICH]</a:t>
                          </a:fld>
                          <a:endParaRPr lang="de-DE"/>
                        </a:p>
                      </c:rich>
                    </c:tx>
                    <c:spPr>
                      <a:noFill/>
                      <a:ln>
                        <a:noFill/>
                      </a:ln>
                      <a:effectLst/>
                    </c:spPr>
                    <c:showLegendKey val="0"/>
                    <c:showVal val="0"/>
                    <c:showCatName val="0"/>
                    <c:showSerName val="0"/>
                    <c:showPercent val="0"/>
                    <c:showBubbleSize val="0"/>
                    <c:extLst xmlns:c16r2="http://schemas.microsoft.com/office/drawing/2015/06/chart">
                      <c:ext uri="{CE6537A1-D6FC-4f65-9D91-7224C49458BB}">
                        <c15:dlblFieldTable/>
                        <c15:showDataLabelsRange val="1"/>
                      </c:ext>
                    </c:extLst>
                  </c:dLbl>
                  <c:dLbl>
                    <c:idx val="1"/>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3"/>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4"/>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5"/>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6"/>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7"/>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8"/>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9"/>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1"/>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2"/>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3"/>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4"/>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5"/>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6"/>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7"/>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8"/>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19"/>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1"/>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2"/>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3"/>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4"/>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5"/>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6"/>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7"/>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8"/>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29"/>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dLbl>
                  <c:spPr>
                    <a:noFill/>
                    <a:ln>
                      <a:noFill/>
                    </a:ln>
                    <a:effectLst/>
                  </c:spPr>
                  <c:txPr>
                    <a:bodyPr wrap="square" lIns="38100" tIns="19050" rIns="38100" bIns="19050" anchor="ctr">
                      <a:spAutoFit/>
                    </a:bodyPr>
                    <a:lstStyle/>
                    <a:p>
                      <a:pPr>
                        <a:defRPr b="1"/>
                      </a:pPr>
                      <a:endParaRPr lang="de-DE"/>
                    </a:p>
                  </c:txPr>
                  <c:showLegendKey val="0"/>
                  <c:showVal val="0"/>
                  <c:showCatName val="0"/>
                  <c:showSerName val="0"/>
                  <c:showPercent val="0"/>
                  <c:showBubbleSize val="0"/>
                  <c:showLeaderLines val="0"/>
                  <c:extLst xmlns:c16r2="http://schemas.microsoft.com/office/drawing/2015/06/chart">
                    <c:ext uri="{CE6537A1-D6FC-4f65-9D91-7224C49458BB}">
                      <c15:showDataLabelsRange val="1"/>
                      <c15:showLeaderLines val="1"/>
                    </c:ext>
                  </c:extLst>
                </c:dLbls>
                <c:cat>
                  <c:numRef>
                    <c:extLst>
                      <c:ex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uri="{02D57815-91ED-43cb-92C2-25804820EDAC}">
                        <c15:fullRef>
                          <c15:sqref>('IPCC SR15 graphs'!$CG$11:$CG$71,'IPCC SR15 graphs'!$CG$87)</c15:sqref>
                        </c15:fullRef>
                        <c15:formulaRef>
                          <c15:sqref>'IPCC SR15 graphs'!$CG$11:$CG$41</c15:sqref>
                        </c15:formulaRef>
                      </c:ext>
                    </c:extLst>
                    <c:numCache>
                      <c:formatCode>0.0%</c:formatCode>
                      <c:ptCount val="31"/>
                      <c:pt idx="0">
                        <c:v>-7.7676569107411941E-2</c:v>
                      </c:pt>
                      <c:pt idx="1">
                        <c:v>-7.7676569107411719E-2</c:v>
                      </c:pt>
                      <c:pt idx="2">
                        <c:v>-7.767656910741183E-2</c:v>
                      </c:pt>
                      <c:pt idx="3">
                        <c:v>-7.767656910741183E-2</c:v>
                      </c:pt>
                      <c:pt idx="4">
                        <c:v>-7.767656910741183E-2</c:v>
                      </c:pt>
                      <c:pt idx="5">
                        <c:v>-7.767656910741183E-2</c:v>
                      </c:pt>
                      <c:pt idx="6">
                        <c:v>-7.767656910741183E-2</c:v>
                      </c:pt>
                      <c:pt idx="7">
                        <c:v>-7.767656910741183E-2</c:v>
                      </c:pt>
                      <c:pt idx="8">
                        <c:v>-7.767656910741183E-2</c:v>
                      </c:pt>
                      <c:pt idx="9">
                        <c:v>-7.767656910741183E-2</c:v>
                      </c:pt>
                      <c:pt idx="10">
                        <c:v>-7.767656910741183E-2</c:v>
                      </c:pt>
                      <c:pt idx="11">
                        <c:v>-7.7676569107411719E-2</c:v>
                      </c:pt>
                      <c:pt idx="12">
                        <c:v>-7.767656910741183E-2</c:v>
                      </c:pt>
                      <c:pt idx="13">
                        <c:v>-7.767656910741183E-2</c:v>
                      </c:pt>
                      <c:pt idx="14">
                        <c:v>-7.767656910741183E-2</c:v>
                      </c:pt>
                      <c:pt idx="15">
                        <c:v>-7.767656910741183E-2</c:v>
                      </c:pt>
                      <c:pt idx="16">
                        <c:v>-7.767656910741183E-2</c:v>
                      </c:pt>
                      <c:pt idx="17">
                        <c:v>-7.767656910741183E-2</c:v>
                      </c:pt>
                      <c:pt idx="18">
                        <c:v>-7.767656910741183E-2</c:v>
                      </c:pt>
                      <c:pt idx="19">
                        <c:v>-7.767656910741183E-2</c:v>
                      </c:pt>
                      <c:pt idx="20">
                        <c:v>-7.767656910741183E-2</c:v>
                      </c:pt>
                      <c:pt idx="21">
                        <c:v>-7.767656910741183E-2</c:v>
                      </c:pt>
                      <c:pt idx="22">
                        <c:v>-7.767656910741183E-2</c:v>
                      </c:pt>
                      <c:pt idx="23">
                        <c:v>-7.767656910741183E-2</c:v>
                      </c:pt>
                      <c:pt idx="24">
                        <c:v>-7.7676569107411719E-2</c:v>
                      </c:pt>
                      <c:pt idx="25">
                        <c:v>-7.767656910741183E-2</c:v>
                      </c:pt>
                      <c:pt idx="26">
                        <c:v>-7.7676569107411941E-2</c:v>
                      </c:pt>
                      <c:pt idx="27">
                        <c:v>-7.767656910741183E-2</c:v>
                      </c:pt>
                      <c:pt idx="28">
                        <c:v>-7.7676569107411719E-2</c:v>
                      </c:pt>
                      <c:pt idx="29">
                        <c:v>-7.767656910741183E-2</c:v>
                      </c:pt>
                      <c:pt idx="30">
                        <c:v>#N/A</c:v>
                      </c:pt>
                    </c:numCache>
                  </c:numRef>
                </c:val>
                <c:smooth val="0"/>
                <c:extLst xmlns:c16r2="http://schemas.microsoft.com/office/drawing/2015/06/chart">
                  <c:ext xmlns:c16="http://schemas.microsoft.com/office/drawing/2014/chart" uri="{C3380CC4-5D6E-409C-BE32-E72D297353CC}">
                    <c16:uniqueId val="{00000000-5148-4F83-A587-64FB9CF6D363}"/>
                  </c:ext>
                  <c:ext uri="{02D57815-91ED-43cb-92C2-25804820EDAC}">
                    <c15:datalabelsRange>
                      <c15:f>'goal seek'!$C$9</c15:f>
                      <c15:dlblRangeCache>
                        <c:ptCount val="1"/>
                        <c:pt idx="0">
                          <c:v>-7,8%</c:v>
                        </c:pt>
                      </c15:dlblRangeCache>
                    </c15:datalabelsRange>
                  </c:ext>
                  <c:ext uri="{02D57815-91ED-43cb-92C2-25804820EDAC}">
                    <c15:categoryFilterExceptions>
                      <c15:categoryFilterException>
                        <c15:sqref>'IPCC SR15 graphs'!$CG$42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graphs'!$CG$49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graphs'!$CG$52</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graphs'!$CG$53</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graphs'!$CG$54</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graphs'!$CG$55</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graphs'!$CG$56</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graphs'!$CG$57</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graphs'!$CG$58</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graphs'!$CG$59</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graphs'!$CG$60</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
                        <c15:sqref>'IPCC SR15 graphs'!$CG$61</c15:sqref>
                        <c15:dLbl>
                          <c:idx val="30"/>
                          <c:tx>
                            <c:rich>
                              <a:bodyPr/>
                              <a:lstStyle/>
                              <a:p>
                                <a:endParaRPr lang="en-US"/>
                              </a:p>
                            </c:rich>
                          </c:tx>
                          <c:showLegendKey val="0"/>
                          <c:showVal val="0"/>
                          <c:showCatName val="0"/>
                          <c:showSerName val="0"/>
                          <c:showPercent val="0"/>
                          <c:showBubbleSize val="0"/>
                          <c:extLst xmlns:c16r2="http://schemas.microsoft.com/office/drawing/2015/06/chart">
                            <c:ext uri="{CE6537A1-D6FC-4f65-9D91-7224C49458BB}"/>
                          </c:extLst>
                        </c15:dLbl>
                      </c15:categoryFilterException>
                    </c15:categoryFilterExceptions>
                  </c:ext>
                </c:extLst>
              </c15:ser>
            </c15:filteredLineSeries>
            <c15:filteredLineSeries>
              <c15:ser>
                <c:idx val="1"/>
                <c:order val="1"/>
                <c:tx>
                  <c:strRef>
                    <c:extLst xmlns:c15="http://schemas.microsoft.com/office/drawing/2012/chart" xmlns:c16r2="http://schemas.microsoft.com/office/drawing/2015/06/chart">
                      <c:ext xmlns:c15="http://schemas.microsoft.com/office/drawing/2012/chart" uri="{02D57815-91ED-43cb-92C2-25804820EDAC}">
                        <c15:formulaRef>
                          <c15:sqref>'IPCC SR15 graphs'!$CH$10</c15:sqref>
                        </c15:formulaRef>
                      </c:ext>
                    </c:extLst>
                    <c:strCache>
                      <c:ptCount val="1"/>
                      <c:pt idx="0">
                        <c:v>RM-2 exp</c:v>
                      </c:pt>
                    </c:strCache>
                  </c:strRef>
                </c:tx>
                <c:spPr>
                  <a:ln w="28575" cap="rnd">
                    <a:solidFill>
                      <a:srgbClr val="C0504D">
                        <a:alpha val="50000"/>
                      </a:srgbClr>
                    </a:solidFill>
                    <a:round/>
                  </a:ln>
                  <a:effectLst/>
                </c:spPr>
                <c:marker>
                  <c:symbol val="none"/>
                </c:marker>
                <c:cat>
                  <c:numRef>
                    <c:extLst>
                      <c:ext xmlns:c15="http://schemas.microsoft.com/office/drawing/2012/char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graphs'!$CH$11:$CH$71,'IPCC SR15 graphs'!$CH$87)</c15:sqref>
                        </c15:fullRef>
                        <c15:formulaRef>
                          <c15:sqref>'IPCC SR15 graphs'!$CH$11:$CH$41</c15:sqref>
                        </c15:formulaRef>
                      </c:ext>
                    </c:extLst>
                    <c:numCache>
                      <c:formatCode>0.0%</c:formatCode>
                      <c:ptCount val="31"/>
                      <c:pt idx="0">
                        <c:v>-1.6000000000000014E-2</c:v>
                      </c:pt>
                      <c:pt idx="1">
                        <c:v>-1.8324991236321586E-2</c:v>
                      </c:pt>
                      <c:pt idx="2">
                        <c:v>-2.0987831488203934E-2</c:v>
                      </c:pt>
                      <c:pt idx="3">
                        <c:v>-2.4037614255670969E-2</c:v>
                      </c:pt>
                      <c:pt idx="4">
                        <c:v>-2.7530566911077914E-2</c:v>
                      </c:pt>
                      <c:pt idx="5">
                        <c:v>-3.1531087336029384E-2</c:v>
                      </c:pt>
                      <c:pt idx="6">
                        <c:v>-3.611293119402692E-2</c:v>
                      </c:pt>
                      <c:pt idx="7">
                        <c:v>-4.1360571728026652E-2</c:v>
                      </c:pt>
                      <c:pt idx="8">
                        <c:v>-4.7370757152833676E-2</c:v>
                      </c:pt>
                      <c:pt idx="9">
                        <c:v>-5.4254294355224886E-2</c:v>
                      </c:pt>
                      <c:pt idx="10">
                        <c:v>-6.2138091787019345E-2</c:v>
                      </c:pt>
                      <c:pt idx="11">
                        <c:v>-7.116749921492993E-2</c:v>
                      </c:pt>
                      <c:pt idx="12">
                        <c:v>-8.1508987464032234E-2</c:v>
                      </c:pt>
                      <c:pt idx="13">
                        <c:v>-9.3353217559989932E-2</c:v>
                      </c:pt>
                      <c:pt idx="14">
                        <c:v>-0.10691855585432763</c:v>
                      </c:pt>
                      <c:pt idx="15">
                        <c:v>-0.12245509993941972</c:v>
                      </c:pt>
                      <c:pt idx="16">
                        <c:v>-0.14024928957704708</c:v>
                      </c:pt>
                      <c:pt idx="17">
                        <c:v>-0.16062918764998257</c:v>
                      </c:pt>
                      <c:pt idx="18">
                        <c:v>-0.18397052849896189</c:v>
                      </c:pt>
                      <c:pt idx="19">
                        <c:v>-0.21070364515530837</c:v>
                      </c:pt>
                      <c:pt idx="20">
                        <c:v>-0.24132140318325279</c:v>
                      </c:pt>
                      <c:pt idx="21">
                        <c:v>-0.27638828740437138</c:v>
                      </c:pt>
                      <c:pt idx="22">
                        <c:v>-0.31655080903169042</c:v>
                      </c:pt>
                      <c:pt idx="23">
                        <c:v>-0.36254942508476518</c:v>
                      </c:pt>
                      <c:pt idx="24">
                        <c:v>#N/A</c:v>
                      </c:pt>
                      <c:pt idx="25">
                        <c:v>#N/A</c:v>
                      </c:pt>
                      <c:pt idx="26">
                        <c:v>#N/A</c:v>
                      </c:pt>
                      <c:pt idx="27">
                        <c:v>#N/A</c:v>
                      </c:pt>
                      <c:pt idx="28">
                        <c:v>#N/A</c:v>
                      </c:pt>
                      <c:pt idx="29">
                        <c:v>#N/A</c:v>
                      </c:pt>
                      <c:pt idx="30">
                        <c:v>#N/A</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1-5148-4F83-A587-64FB9CF6D363}"/>
                  </c:ext>
                </c:extLst>
              </c15:ser>
            </c15:filteredLineSeries>
            <c15:filteredLineSeries>
              <c15:ser>
                <c:idx val="2"/>
                <c:order val="2"/>
                <c:tx>
                  <c:strRef>
                    <c:extLst xmlns:c15="http://schemas.microsoft.com/office/drawing/2012/chart" xmlns:c16r2="http://schemas.microsoft.com/office/drawing/2015/06/chart">
                      <c:ext xmlns:c15="http://schemas.microsoft.com/office/drawing/2012/chart" uri="{02D57815-91ED-43cb-92C2-25804820EDAC}">
                        <c15:formulaRef>
                          <c15:sqref>'IPCC SR15 graphs'!$CI$10</c15:sqref>
                        </c15:formulaRef>
                      </c:ext>
                    </c:extLst>
                    <c:strCache>
                      <c:ptCount val="1"/>
                      <c:pt idx="0">
                        <c:v>RM-3 lin</c:v>
                      </c:pt>
                    </c:strCache>
                  </c:strRef>
                </c:tx>
                <c:spPr>
                  <a:ln w="28575" cap="rnd">
                    <a:solidFill>
                      <a:srgbClr val="9BBB59">
                        <a:alpha val="50000"/>
                      </a:srgbClr>
                    </a:solidFill>
                    <a:round/>
                  </a:ln>
                  <a:effectLst/>
                </c:spPr>
                <c:marker>
                  <c:symbol val="none"/>
                </c:marker>
                <c:cat>
                  <c:numRef>
                    <c:extLst>
                      <c:ext xmlns:c15="http://schemas.microsoft.com/office/drawing/2012/char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graphs'!$CI$11:$CI$71,'IPCC SR15 graphs'!$CI$87)</c15:sqref>
                        </c15:fullRef>
                        <c15:formulaRef>
                          <c15:sqref>'IPCC SR15 graphs'!$CI$11:$CI$41</c15:sqref>
                        </c15:formulaRef>
                      </c:ext>
                    </c:extLst>
                    <c:numCache>
                      <c:formatCode>0.0%</c:formatCode>
                      <c:ptCount val="31"/>
                      <c:pt idx="0">
                        <c:v>-1.6000000000000014E-2</c:v>
                      </c:pt>
                      <c:pt idx="1">
                        <c:v>-2.2475423443837461E-2</c:v>
                      </c:pt>
                      <c:pt idx="2">
                        <c:v>-2.8950846887674575E-2</c:v>
                      </c:pt>
                      <c:pt idx="3">
                        <c:v>-3.5426270331512133E-2</c:v>
                      </c:pt>
                      <c:pt idx="4">
                        <c:v>-4.1901693775349358E-2</c:v>
                      </c:pt>
                      <c:pt idx="5">
                        <c:v>-4.8377117219186694E-2</c:v>
                      </c:pt>
                      <c:pt idx="6">
                        <c:v>-5.4852540663024141E-2</c:v>
                      </c:pt>
                      <c:pt idx="7">
                        <c:v>-6.1327964106861588E-2</c:v>
                      </c:pt>
                      <c:pt idx="8">
                        <c:v>-6.7803387550698924E-2</c:v>
                      </c:pt>
                      <c:pt idx="9">
                        <c:v>-7.427881099453626E-2</c:v>
                      </c:pt>
                      <c:pt idx="10">
                        <c:v>-8.0754234438373595E-2</c:v>
                      </c:pt>
                      <c:pt idx="11">
                        <c:v>-8.7229657882211042E-2</c:v>
                      </c:pt>
                      <c:pt idx="12">
                        <c:v>-9.3705081326048489E-2</c:v>
                      </c:pt>
                      <c:pt idx="13">
                        <c:v>-0.10018050476988583</c:v>
                      </c:pt>
                      <c:pt idx="14">
                        <c:v>-0.10665592821372305</c:v>
                      </c:pt>
                      <c:pt idx="15">
                        <c:v>-0.1131313516575605</c:v>
                      </c:pt>
                      <c:pt idx="16">
                        <c:v>-0.11960677510139783</c:v>
                      </c:pt>
                      <c:pt idx="17">
                        <c:v>-0.12608219854523517</c:v>
                      </c:pt>
                      <c:pt idx="18">
                        <c:v>-0.1325576219890725</c:v>
                      </c:pt>
                      <c:pt idx="19">
                        <c:v>-0.13903304543290984</c:v>
                      </c:pt>
                      <c:pt idx="20">
                        <c:v>-0.14550846887674729</c:v>
                      </c:pt>
                      <c:pt idx="21">
                        <c:v>-0.15198389232058473</c:v>
                      </c:pt>
                      <c:pt idx="22">
                        <c:v>-0.15845931576442196</c:v>
                      </c:pt>
                      <c:pt idx="23">
                        <c:v>-0.16493473920825952</c:v>
                      </c:pt>
                      <c:pt idx="24">
                        <c:v>-0.17141016265209674</c:v>
                      </c:pt>
                      <c:pt idx="25">
                        <c:v>-0.17788558609593408</c:v>
                      </c:pt>
                      <c:pt idx="26">
                        <c:v>#N/A</c:v>
                      </c:pt>
                      <c:pt idx="27">
                        <c:v>#N/A</c:v>
                      </c:pt>
                      <c:pt idx="28">
                        <c:v>#N/A</c:v>
                      </c:pt>
                      <c:pt idx="29">
                        <c:v>#N/A</c:v>
                      </c:pt>
                      <c:pt idx="30">
                        <c:v>#N/A</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2-5148-4F83-A587-64FB9CF6D363}"/>
                  </c:ext>
                </c:extLst>
              </c15:ser>
            </c15:filteredLineSeries>
            <c15:filteredLineSeries>
              <c15:ser>
                <c:idx val="3"/>
                <c:order val="3"/>
                <c:tx>
                  <c:strRef>
                    <c:extLst xmlns:c15="http://schemas.microsoft.com/office/drawing/2012/chart" xmlns:c16r2="http://schemas.microsoft.com/office/drawing/2015/06/chart">
                      <c:ext xmlns:c15="http://schemas.microsoft.com/office/drawing/2012/chart" uri="{02D57815-91ED-43cb-92C2-25804820EDAC}">
                        <c15:formulaRef>
                          <c15:sqref>'IPCC SR15 graphs'!$CJ$10</c15:sqref>
                        </c15:formulaRef>
                      </c:ext>
                    </c:extLst>
                    <c:strCache>
                      <c:ptCount val="1"/>
                      <c:pt idx="0">
                        <c:v>RM-4 quadr</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graphs'!$CJ$11:$CJ$71,'IPCC SR15 graphs'!$CJ$87)</c15:sqref>
                        </c15:fullRef>
                        <c15:formulaRef>
                          <c15:sqref>'IPCC SR15 graphs'!$CJ$11:$CJ$41</c15:sqref>
                        </c15:formulaRef>
                      </c:ext>
                    </c:extLst>
                    <c:numCache>
                      <c:formatCode>0.0%</c:formatCode>
                      <c:ptCount val="31"/>
                      <c:pt idx="0">
                        <c:v>-1.6000000000000014E-2</c:v>
                      </c:pt>
                      <c:pt idx="1">
                        <c:v>-1.6531309630515523E-2</c:v>
                      </c:pt>
                      <c:pt idx="2">
                        <c:v>-1.812523852206227E-2</c:v>
                      </c:pt>
                      <c:pt idx="3">
                        <c:v>-2.0781786674640479E-2</c:v>
                      </c:pt>
                      <c:pt idx="4">
                        <c:v>-2.4500954088249705E-2</c:v>
                      </c:pt>
                      <c:pt idx="5">
                        <c:v>-2.9282740762889947E-2</c:v>
                      </c:pt>
                      <c:pt idx="6">
                        <c:v>-3.5127146698561651E-2</c:v>
                      </c:pt>
                      <c:pt idx="7">
                        <c:v>-4.2034171895264705E-2</c:v>
                      </c:pt>
                      <c:pt idx="8">
                        <c:v>-5.0003816352998665E-2</c:v>
                      </c:pt>
                      <c:pt idx="9">
                        <c:v>-5.9036080071763863E-2</c:v>
                      </c:pt>
                      <c:pt idx="10">
                        <c:v>-6.9130963051560301E-2</c:v>
                      </c:pt>
                      <c:pt idx="11">
                        <c:v>-8.0288465292387978E-2</c:v>
                      </c:pt>
                      <c:pt idx="12">
                        <c:v>-9.2508586794246783E-2</c:v>
                      </c:pt>
                      <c:pt idx="13">
                        <c:v>-0.10579132755713683</c:v>
                      </c:pt>
                      <c:pt idx="14">
                        <c:v>-0.12013668758105822</c:v>
                      </c:pt>
                      <c:pt idx="15">
                        <c:v>-0.13554466686601063</c:v>
                      </c:pt>
                      <c:pt idx="16">
                        <c:v>-0.15201526541199439</c:v>
                      </c:pt>
                      <c:pt idx="17">
                        <c:v>-0.16954848321900928</c:v>
                      </c:pt>
                      <c:pt idx="18">
                        <c:v>-0.1881443202870553</c:v>
                      </c:pt>
                      <c:pt idx="19">
                        <c:v>-0.20780277661613267</c:v>
                      </c:pt>
                      <c:pt idx="20">
                        <c:v>-0.22852385220624116</c:v>
                      </c:pt>
                      <c:pt idx="21">
                        <c:v>-0.25030754705738079</c:v>
                      </c:pt>
                      <c:pt idx="22">
                        <c:v>-0.27315386116955187</c:v>
                      </c:pt>
                      <c:pt idx="23">
                        <c:v>-0.29706279454275397</c:v>
                      </c:pt>
                      <c:pt idx="24">
                        <c:v>#N/A</c:v>
                      </c:pt>
                      <c:pt idx="25">
                        <c:v>#N/A</c:v>
                      </c:pt>
                      <c:pt idx="26">
                        <c:v>#N/A</c:v>
                      </c:pt>
                      <c:pt idx="27">
                        <c:v>#N/A</c:v>
                      </c:pt>
                      <c:pt idx="28">
                        <c:v>#N/A</c:v>
                      </c:pt>
                      <c:pt idx="29">
                        <c:v>#N/A</c:v>
                      </c:pt>
                      <c:pt idx="30">
                        <c:v>#N/A</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3-5148-4F83-A587-64FB9CF6D363}"/>
                  </c:ext>
                </c:extLst>
              </c15:ser>
            </c15:filteredLineSeries>
            <c15:filteredLineSeries>
              <c15:ser>
                <c:idx val="4"/>
                <c:order val="5"/>
                <c:tx>
                  <c:strRef>
                    <c:extLst xmlns:c15="http://schemas.microsoft.com/office/drawing/2012/chart" xmlns:c16r2="http://schemas.microsoft.com/office/drawing/2015/06/chart">
                      <c:ext xmlns:c15="http://schemas.microsoft.com/office/drawing/2012/chart" uri="{02D57815-91ED-43cb-92C2-25804820EDAC}">
                        <c15:formulaRef>
                          <c15:sqref>'IPCC SR15 graphs'!$CL$10</c15:sqref>
                        </c15:formulaRef>
                      </c:ext>
                    </c:extLst>
                    <c:strCache>
                      <c:ptCount val="1"/>
                      <c:pt idx="0">
                        <c:v>SPM-R</c:v>
                      </c:pt>
                    </c:strCache>
                  </c:strRef>
                </c:tx>
                <c:spPr>
                  <a:ln>
                    <a:solidFill>
                      <a:sysClr val="windowText" lastClr="000000">
                        <a:lumMod val="65000"/>
                        <a:lumOff val="35000"/>
                      </a:sysClr>
                    </a:solidFill>
                  </a:ln>
                </c:spPr>
                <c:marker>
                  <c:symbol val="none"/>
                </c:marker>
                <c:cat>
                  <c:numRef>
                    <c:extLst>
                      <c:ext xmlns:c15="http://schemas.microsoft.com/office/drawing/2012/chart" uri="{02D57815-91ED-43cb-92C2-25804820EDAC}">
                        <c15:fullRef>
                          <c15:sqref>graphs!$BR$10:$BR$40</c15:sqref>
                        </c15:fullRef>
                        <c15:formulaRef>
                          <c15:sqref>graphs!$BR$10:$BR$40</c15:sqref>
                        </c15:formulaRef>
                      </c:ext>
                    </c:extLst>
                    <c:numCache>
                      <c:formatCode>General</c:formatCode>
                      <c:ptCount val="31"/>
                      <c:pt idx="0">
                        <c:v>2020</c:v>
                      </c:pt>
                      <c:pt idx="5">
                        <c:v>2025</c:v>
                      </c:pt>
                      <c:pt idx="10">
                        <c:v>2030</c:v>
                      </c:pt>
                      <c:pt idx="15">
                        <c:v>2035</c:v>
                      </c:pt>
                      <c:pt idx="20">
                        <c:v>2040</c:v>
                      </c:pt>
                      <c:pt idx="25">
                        <c:v>2045</c:v>
                      </c:pt>
                      <c:pt idx="30">
                        <c:v>2050</c:v>
                      </c:pt>
                    </c:numCache>
                  </c:numRef>
                </c:cat>
                <c:val>
                  <c:numRef>
                    <c:extLst>
                      <c:ext xmlns:c15="http://schemas.microsoft.com/office/drawing/2012/chart" uri="{02D57815-91ED-43cb-92C2-25804820EDAC}">
                        <c15:fullRef>
                          <c15:sqref>'IPCC SR15 graphs'!$CL$11:$CL$91</c15:sqref>
                        </c15:fullRef>
                        <c15:formulaRef>
                          <c15:sqref>'IPCC SR15 graphs'!$CL$11:$CL$41</c15:sqref>
                        </c15:formulaRef>
                      </c:ext>
                    </c:extLst>
                    <c:numCache>
                      <c:formatCode>0.0%</c:formatCode>
                      <c:ptCount val="31"/>
                      <c:pt idx="0">
                        <c:v>-1.1281600276042858E-2</c:v>
                      </c:pt>
                      <c:pt idx="1">
                        <c:v>-5.0224262245711304E-2</c:v>
                      </c:pt>
                      <c:pt idx="2">
                        <c:v>-8.0814854933102809E-2</c:v>
                      </c:pt>
                      <c:pt idx="3">
                        <c:v>-0.10209617637966262</c:v>
                      </c:pt>
                      <c:pt idx="4">
                        <c:v>-0.11775649313364533</c:v>
                      </c:pt>
                      <c:pt idx="5">
                        <c:v>-0.1297630095477974</c:v>
                      </c:pt>
                      <c:pt idx="6">
                        <c:v>-0.13926086984216324</c:v>
                      </c:pt>
                      <c:pt idx="7">
                        <c:v>-0.146961946726615</c:v>
                      </c:pt>
                      <c:pt idx="8">
                        <c:v>-0.15333204710287318</c:v>
                      </c:pt>
                      <c:pt idx="9">
                        <c:v>-0.15868877415144733</c:v>
                      </c:pt>
                      <c:pt idx="10">
                        <c:v>-0.16325612612079476</c:v>
                      </c:pt>
                      <c:pt idx="11">
                        <c:v>-0.16719661425213095</c:v>
                      </c:pt>
                      <c:pt idx="12">
                        <c:v>-0.17063100550023935</c:v>
                      </c:pt>
                      <c:pt idx="13">
                        <c:v>-0.17365091730451299</c:v>
                      </c:pt>
                      <c:pt idx="14">
                        <c:v>-0.17632711186357919</c:v>
                      </c:pt>
                      <c:pt idx="15">
                        <c:v>-0.17871511081380209</c:v>
                      </c:pt>
                      <c:pt idx="16">
                        <c:v>-0.18085908867589184</c:v>
                      </c:pt>
                      <c:pt idx="17">
                        <c:v>-0.18279463074838287</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15:ser>
            </c15:filteredLineSeries>
          </c:ext>
        </c:extLst>
      </c:lineChart>
      <c:catAx>
        <c:axId val="517526992"/>
        <c:scaling>
          <c:orientation val="minMax"/>
        </c:scaling>
        <c:delete val="0"/>
        <c:axPos val="b"/>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8560"/>
        <c:crosses val="autoZero"/>
        <c:auto val="1"/>
        <c:lblAlgn val="ctr"/>
        <c:lblOffset val="100"/>
        <c:tickLblSkip val="5"/>
        <c:noMultiLvlLbl val="0"/>
      </c:catAx>
      <c:valAx>
        <c:axId val="517528560"/>
        <c:scaling>
          <c:orientation val="minMax"/>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1752699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lumMod val="50000"/>
          <a:lumOff val="50000"/>
        </a:sys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Change</a:t>
            </a:r>
            <a:r>
              <a:rPr lang="de-DE" baseline="0"/>
              <a:t> emissions in comparison to the year</a:t>
            </a:r>
            <a:r>
              <a:rPr lang="de-DE"/>
              <a:t> </a:t>
            </a:r>
            <a:r>
              <a:rPr lang="de-DE" b="1"/>
              <a:t>1990</a:t>
            </a:r>
          </a:p>
        </c:rich>
      </c:tx>
      <c:overlay val="0"/>
      <c:spPr>
        <a:noFill/>
        <a:ln>
          <a:noFill/>
        </a:ln>
        <a:effectLst/>
      </c:spPr>
    </c:title>
    <c:autoTitleDeleted val="0"/>
    <c:plotArea>
      <c:layout/>
      <c:barChart>
        <c:barDir val="col"/>
        <c:grouping val="clustered"/>
        <c:varyColors val="0"/>
        <c:ser>
          <c:idx val="0"/>
          <c:order val="0"/>
          <c:tx>
            <c:strRef>
              <c:f>'IPCC SR15 graphs'!$CF$94</c:f>
              <c:strCache>
                <c:ptCount val="1"/>
                <c:pt idx="0">
                  <c:v>2030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graphs'!$CG$93:$CP$93</c15:sqref>
                  </c15:fullRef>
                </c:ext>
              </c:extLst>
              <c:f>('IPCC SR15 graphs'!$CK$93,'IPCC SR15 graphs'!$CM$93:$CP$93)</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graphs'!$CG$94:$CP$94</c15:sqref>
                  </c15:fullRef>
                </c:ext>
              </c:extLst>
              <c:f>('IPCC SR15 graphs'!$CK$94,'IPCC SR15 graphs'!$CM$94:$CP$94)</c:f>
              <c:numCache>
                <c:formatCode>0%</c:formatCode>
                <c:ptCount val="5"/>
                <c:pt idx="0">
                  <c:v>-0.2182667105692786</c:v>
                </c:pt>
                <c:pt idx="1">
                  <c:v>-0.41063803522240083</c:v>
                </c:pt>
                <c:pt idx="2">
                  <c:v>-0.30727206211452107</c:v>
                </c:pt>
                <c:pt idx="3">
                  <c:v>0.42495004485854881</c:v>
                </c:pt>
                <c:pt idx="4">
                  <c:v>0.37291582906837739</c:v>
                </c:pt>
              </c:numCache>
            </c:numRef>
          </c:val>
          <c:extLst xmlns:c16r2="http://schemas.microsoft.com/office/drawing/2015/06/chart">
            <c:ext xmlns:c16="http://schemas.microsoft.com/office/drawing/2014/chart" uri="{C3380CC4-5D6E-409C-BE32-E72D297353CC}">
              <c16:uniqueId val="{00000000-EDFF-403C-876C-9DE8192898F9}"/>
            </c:ext>
          </c:extLst>
        </c:ser>
        <c:ser>
          <c:idx val="1"/>
          <c:order val="1"/>
          <c:tx>
            <c:strRef>
              <c:f>'IPCC SR15 graphs'!$CF$95</c:f>
              <c:strCache>
                <c:ptCount val="1"/>
                <c:pt idx="0">
                  <c:v>2050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graphs'!$CG$93:$CP$93</c15:sqref>
                  </c15:fullRef>
                </c:ext>
              </c:extLst>
              <c:f>('IPCC SR15 graphs'!$CK$93,'IPCC SR15 graphs'!$CM$93:$CP$93)</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graphs'!$CG$95:$CP$95</c15:sqref>
                  </c15:fullRef>
                </c:ext>
              </c:extLst>
              <c:f>('IPCC SR15 graphs'!$CK$95,'IPCC SR15 graphs'!$CM$95:$CP$95)</c:f>
              <c:numCache>
                <c:formatCode>0%</c:formatCode>
                <c:ptCount val="5"/>
                <c:pt idx="0">
                  <c:v>-0.94419728627087807</c:v>
                </c:pt>
                <c:pt idx="1">
                  <c:v>-0.90056128304559568</c:v>
                </c:pt>
                <c:pt idx="2">
                  <c:v>-0.93476677131436892</c:v>
                </c:pt>
                <c:pt idx="3">
                  <c:v>-0.60925846205783696</c:v>
                </c:pt>
                <c:pt idx="4">
                  <c:v>-0.95441788589749155</c:v>
                </c:pt>
              </c:numCache>
            </c:numRef>
          </c:val>
          <c:extLst xmlns:c16r2="http://schemas.microsoft.com/office/drawing/2015/06/chart">
            <c:ext xmlns:c16="http://schemas.microsoft.com/office/drawing/2014/chart" uri="{C3380CC4-5D6E-409C-BE32-E72D297353CC}">
              <c16:uniqueId val="{00000001-EDFF-403C-876C-9DE8192898F9}"/>
            </c:ext>
          </c:extLst>
        </c:ser>
        <c:dLbls>
          <c:showLegendKey val="0"/>
          <c:showVal val="0"/>
          <c:showCatName val="0"/>
          <c:showSerName val="0"/>
          <c:showPercent val="0"/>
          <c:showBubbleSize val="0"/>
        </c:dLbls>
        <c:gapWidth val="219"/>
        <c:overlap val="-27"/>
        <c:axId val="520333288"/>
        <c:axId val="520334856"/>
      </c:barChart>
      <c:catAx>
        <c:axId val="520333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de-DE"/>
          </a:p>
        </c:txPr>
        <c:crossAx val="520334856"/>
        <c:crosses val="autoZero"/>
        <c:auto val="1"/>
        <c:lblAlgn val="ctr"/>
        <c:lblOffset val="100"/>
        <c:noMultiLvlLbl val="0"/>
      </c:catAx>
      <c:valAx>
        <c:axId val="520334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3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400" b="0" i="0" u="none" strike="noStrike" baseline="0">
                <a:effectLst/>
              </a:rPr>
              <a:t>Change emissions in comparison to the year </a:t>
            </a:r>
            <a:r>
              <a:rPr lang="de-DE" b="1"/>
              <a:t>2010</a:t>
            </a:r>
          </a:p>
        </c:rich>
      </c:tx>
      <c:overlay val="0"/>
      <c:spPr>
        <a:noFill/>
        <a:ln>
          <a:noFill/>
        </a:ln>
        <a:effectLst/>
      </c:spPr>
    </c:title>
    <c:autoTitleDeleted val="0"/>
    <c:plotArea>
      <c:layout/>
      <c:barChart>
        <c:barDir val="col"/>
        <c:grouping val="clustered"/>
        <c:varyColors val="0"/>
        <c:ser>
          <c:idx val="0"/>
          <c:order val="0"/>
          <c:tx>
            <c:strRef>
              <c:f>'IPCC SR15 graphs'!$CF$99</c:f>
              <c:strCache>
                <c:ptCount val="1"/>
                <c:pt idx="0">
                  <c:v>2030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graphs'!$CG$98:$CP$98</c15:sqref>
                  </c15:fullRef>
                </c:ext>
              </c:extLst>
              <c:f>('IPCC SR15 graphs'!$CK$98,'IPCC SR15 graphs'!$CM$98:$CP$98)</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graphs'!$CG$99:$CP$99</c15:sqref>
                  </c15:fullRef>
                </c:ext>
              </c:extLst>
              <c:f>('IPCC SR15 graphs'!$CK$99,'IPCC SR15 graphs'!$CM$99:$CP$99)</c:f>
              <c:numCache>
                <c:formatCode>0%</c:formatCode>
                <c:ptCount val="5"/>
                <c:pt idx="0">
                  <c:v>-0.43737434412975951</c:v>
                </c:pt>
                <c:pt idx="1">
                  <c:v>-0.57582699053350672</c:v>
                </c:pt>
                <c:pt idx="2">
                  <c:v>-0.5014328855353205</c:v>
                </c:pt>
                <c:pt idx="3">
                  <c:v>2.5558799158595935E-2</c:v>
                </c:pt>
                <c:pt idx="4">
                  <c:v>-1.1891038506572804E-2</c:v>
                </c:pt>
              </c:numCache>
            </c:numRef>
          </c:val>
          <c:extLst xmlns:c16r2="http://schemas.microsoft.com/office/drawing/2015/06/chart">
            <c:ext xmlns:c16="http://schemas.microsoft.com/office/drawing/2014/chart" uri="{C3380CC4-5D6E-409C-BE32-E72D297353CC}">
              <c16:uniqueId val="{00000000-F7E1-4557-9F2A-734E7EDAA09E}"/>
            </c:ext>
          </c:extLst>
        </c:ser>
        <c:ser>
          <c:idx val="1"/>
          <c:order val="1"/>
          <c:tx>
            <c:strRef>
              <c:f>'IPCC SR15 graphs'!$CF$100</c:f>
              <c:strCache>
                <c:ptCount val="1"/>
                <c:pt idx="0">
                  <c:v>2050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graphs'!$CG$98:$CP$98</c15:sqref>
                  </c15:fullRef>
                </c:ext>
              </c:extLst>
              <c:f>('IPCC SR15 graphs'!$CK$98,'IPCC SR15 graphs'!$CM$98:$CP$98)</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graphs'!$CG$100:$CP$100</c15:sqref>
                  </c15:fullRef>
                </c:ext>
              </c:extLst>
              <c:f>('IPCC SR15 graphs'!$CK$100,'IPCC SR15 graphs'!$CM$100:$CP$100)</c:f>
              <c:numCache>
                <c:formatCode>0%</c:formatCode>
                <c:ptCount val="5"/>
                <c:pt idx="0">
                  <c:v>-0.959837915519691</c:v>
                </c:pt>
                <c:pt idx="1">
                  <c:v>-0.92843240258309989</c:v>
                </c:pt>
                <c:pt idx="2">
                  <c:v>-0.9530506266395361</c:v>
                </c:pt>
                <c:pt idx="3">
                  <c:v>-0.71877721336320466</c:v>
                </c:pt>
                <c:pt idx="4">
                  <c:v>-0.96719384067480119</c:v>
                </c:pt>
              </c:numCache>
            </c:numRef>
          </c:val>
          <c:extLst xmlns:c16r2="http://schemas.microsoft.com/office/drawing/2015/06/chart">
            <c:ext xmlns:c16="http://schemas.microsoft.com/office/drawing/2014/chart" uri="{C3380CC4-5D6E-409C-BE32-E72D297353CC}">
              <c16:uniqueId val="{00000001-F7E1-4557-9F2A-734E7EDAA09E}"/>
            </c:ext>
          </c:extLst>
        </c:ser>
        <c:dLbls>
          <c:showLegendKey val="0"/>
          <c:showVal val="0"/>
          <c:showCatName val="0"/>
          <c:showSerName val="0"/>
          <c:showPercent val="0"/>
          <c:showBubbleSize val="0"/>
        </c:dLbls>
        <c:gapWidth val="219"/>
        <c:overlap val="-27"/>
        <c:axId val="520338384"/>
        <c:axId val="520338776"/>
      </c:barChart>
      <c:catAx>
        <c:axId val="52033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de-DE"/>
          </a:p>
        </c:txPr>
        <c:crossAx val="520338776"/>
        <c:crosses val="autoZero"/>
        <c:auto val="1"/>
        <c:lblAlgn val="ctr"/>
        <c:lblOffset val="100"/>
        <c:noMultiLvlLbl val="0"/>
      </c:catAx>
      <c:valAx>
        <c:axId val="5203387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8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Cumulative</a:t>
            </a:r>
            <a:r>
              <a:rPr lang="de-DE" baseline="0"/>
              <a:t> emissions: 2020 - year of reference point</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barChart>
        <c:barDir val="col"/>
        <c:grouping val="clustered"/>
        <c:varyColors val="0"/>
        <c:ser>
          <c:idx val="0"/>
          <c:order val="0"/>
          <c:tx>
            <c:strRef>
              <c:f>'IPCC SR15 graphs'!$BT$94</c:f>
              <c:strCache>
                <c:ptCount val="1"/>
                <c:pt idx="0">
                  <c:v>2030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graphs'!$BU$93:$CD$93</c15:sqref>
                  </c15:fullRef>
                </c:ext>
              </c:extLst>
              <c:f>('IPCC SR15 graphs'!$BY$93,'IPCC SR15 graphs'!$CA$93:$CD$93)</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graphs'!$BU$94:$CD$94</c15:sqref>
                  </c15:fullRef>
                </c:ext>
              </c:extLst>
              <c:f>('IPCC SR15 graphs'!$BY$94,'IPCC SR15 graphs'!$CA$94:$CD$94)</c:f>
              <c:numCache>
                <c:formatCode>#,##0</c:formatCode>
                <c:ptCount val="5"/>
                <c:pt idx="0">
                  <c:v>352.08655016741528</c:v>
                </c:pt>
                <c:pt idx="1">
                  <c:v>306.77528579499483</c:v>
                </c:pt>
                <c:pt idx="2">
                  <c:v>309.60260704999916</c:v>
                </c:pt>
                <c:pt idx="3">
                  <c:v>445.73453112400006</c:v>
                </c:pt>
                <c:pt idx="4">
                  <c:v>426.08499999999987</c:v>
                </c:pt>
              </c:numCache>
            </c:numRef>
          </c:val>
        </c:ser>
        <c:ser>
          <c:idx val="1"/>
          <c:order val="1"/>
          <c:tx>
            <c:strRef>
              <c:f>'IPCC SR15 graphs'!$BT$95</c:f>
              <c:strCache>
                <c:ptCount val="1"/>
                <c:pt idx="0">
                  <c:v>2050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'IPCC SR15 graphs'!$BU$93:$CD$93</c15:sqref>
                  </c15:fullRef>
                </c:ext>
              </c:extLst>
              <c:f>('IPCC SR15 graphs'!$BY$93,'IPCC SR15 graphs'!$CA$93:$CD$93)</c:f>
              <c:strCache>
                <c:ptCount val="5"/>
                <c:pt idx="0">
                  <c:v>RM-5 rad</c:v>
                </c:pt>
                <c:pt idx="1">
                  <c:v>SR15 P1</c:v>
                </c:pt>
                <c:pt idx="2">
                  <c:v>SR15 P2</c:v>
                </c:pt>
                <c:pt idx="3">
                  <c:v>SR15 P3</c:v>
                </c:pt>
                <c:pt idx="4">
                  <c:v>SR15 P4</c:v>
                </c:pt>
              </c:strCache>
            </c:strRef>
          </c:cat>
          <c:val>
            <c:numRef>
              <c:extLst>
                <c:ext xmlns:c15="http://schemas.microsoft.com/office/drawing/2012/chart" uri="{02D57815-91ED-43cb-92C2-25804820EDAC}">
                  <c15:fullRef>
                    <c15:sqref>'IPCC SR15 graphs'!$BU$95:$CD$95</c15:sqref>
                  </c15:fullRef>
                </c:ext>
              </c:extLst>
              <c:f>('IPCC SR15 graphs'!$BY$95,'IPCC SR15 graphs'!$CA$95:$CD$95)</c:f>
              <c:numCache>
                <c:formatCode>#,##0</c:formatCode>
                <c:ptCount val="5"/>
                <c:pt idx="0">
                  <c:v>516.6081400254451</c:v>
                </c:pt>
                <c:pt idx="1">
                  <c:v>473.51691334399732</c:v>
                </c:pt>
                <c:pt idx="2">
                  <c:v>487.52492425000179</c:v>
                </c:pt>
                <c:pt idx="3">
                  <c:v>901.18758219679694</c:v>
                </c:pt>
                <c:pt idx="4">
                  <c:v>824.34700000000066</c:v>
                </c:pt>
              </c:numCache>
            </c:numRef>
          </c:val>
        </c:ser>
        <c:dLbls>
          <c:showLegendKey val="0"/>
          <c:showVal val="0"/>
          <c:showCatName val="0"/>
          <c:showSerName val="0"/>
          <c:showPercent val="0"/>
          <c:showBubbleSize val="0"/>
        </c:dLbls>
        <c:gapWidth val="219"/>
        <c:overlap val="-27"/>
        <c:axId val="520337600"/>
        <c:axId val="520332504"/>
      </c:barChart>
      <c:catAx>
        <c:axId val="52033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2504"/>
        <c:crosses val="autoZero"/>
        <c:auto val="1"/>
        <c:lblAlgn val="ctr"/>
        <c:lblOffset val="100"/>
        <c:noMultiLvlLbl val="0"/>
      </c:catAx>
      <c:valAx>
        <c:axId val="520332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sz="1400" b="1" i="0" u="none" strike="noStrike" baseline="0">
                <a:solidFill>
                  <a:sysClr val="windowText" lastClr="000000"/>
                </a:solidFill>
                <a:effectLst/>
              </a:rPr>
              <a:t>Jährliche globale Reduktionssätze</a:t>
            </a:r>
            <a:endParaRPr lang="de-DE" sz="1400" b="1">
              <a:solidFill>
                <a:sysClr val="windowText" lastClr="000000"/>
              </a:solidFill>
            </a:endParaRPr>
          </a:p>
        </c:rich>
      </c:tx>
      <c:overlay val="0"/>
      <c:spPr>
        <a:noFill/>
        <a:ln>
          <a:noFill/>
        </a:ln>
        <a:effectLst/>
      </c:spPr>
    </c:title>
    <c:autoTitleDeleted val="0"/>
    <c:plotArea>
      <c:layout/>
      <c:lineChart>
        <c:grouping val="standard"/>
        <c:varyColors val="0"/>
        <c:ser>
          <c:idx val="0"/>
          <c:order val="0"/>
          <c:tx>
            <c:strRef>
              <c:f>Intern!$AK$2</c:f>
              <c:strCache>
                <c:ptCount val="1"/>
                <c:pt idx="0">
                  <c:v>RM-1-const</c:v>
                </c:pt>
              </c:strCache>
            </c:strRef>
          </c:tx>
          <c:spPr>
            <a:ln w="38100" cap="rnd">
              <a:solidFill>
                <a:srgbClr val="4F81BD"/>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(graphs!$CD$10:$CD$70,graphs!$CD$86)</c:f>
              <c:numCache>
                <c:formatCode>0.0%</c:formatCode>
                <c:ptCount val="62"/>
                <c:pt idx="0">
                  <c:v>-7.7676569107411941E-2</c:v>
                </c:pt>
                <c:pt idx="1">
                  <c:v>-7.7676569107411719E-2</c:v>
                </c:pt>
                <c:pt idx="2">
                  <c:v>-7.767656910741183E-2</c:v>
                </c:pt>
                <c:pt idx="3">
                  <c:v>-7.767656910741183E-2</c:v>
                </c:pt>
                <c:pt idx="4">
                  <c:v>-7.767656910741183E-2</c:v>
                </c:pt>
                <c:pt idx="5">
                  <c:v>-7.767656910741183E-2</c:v>
                </c:pt>
                <c:pt idx="6">
                  <c:v>-7.767656910741183E-2</c:v>
                </c:pt>
                <c:pt idx="7">
                  <c:v>-7.767656910741183E-2</c:v>
                </c:pt>
                <c:pt idx="8">
                  <c:v>-7.767656910741183E-2</c:v>
                </c:pt>
                <c:pt idx="9">
                  <c:v>-7.767656910741183E-2</c:v>
                </c:pt>
                <c:pt idx="10">
                  <c:v>-7.767656910741183E-2</c:v>
                </c:pt>
                <c:pt idx="11">
                  <c:v>-7.7676569107411719E-2</c:v>
                </c:pt>
                <c:pt idx="12">
                  <c:v>-7.767656910741183E-2</c:v>
                </c:pt>
                <c:pt idx="13">
                  <c:v>-7.767656910741183E-2</c:v>
                </c:pt>
                <c:pt idx="14">
                  <c:v>-7.767656910741183E-2</c:v>
                </c:pt>
                <c:pt idx="15">
                  <c:v>-7.767656910741183E-2</c:v>
                </c:pt>
                <c:pt idx="16">
                  <c:v>-7.767656910741183E-2</c:v>
                </c:pt>
                <c:pt idx="17">
                  <c:v>-7.767656910741183E-2</c:v>
                </c:pt>
                <c:pt idx="18">
                  <c:v>-7.767656910741183E-2</c:v>
                </c:pt>
                <c:pt idx="19">
                  <c:v>-7.767656910741183E-2</c:v>
                </c:pt>
                <c:pt idx="20">
                  <c:v>-7.767656910741183E-2</c:v>
                </c:pt>
                <c:pt idx="21">
                  <c:v>-7.767656910741183E-2</c:v>
                </c:pt>
                <c:pt idx="22">
                  <c:v>-7.767656910741183E-2</c:v>
                </c:pt>
                <c:pt idx="23">
                  <c:v>-7.767656910741183E-2</c:v>
                </c:pt>
                <c:pt idx="24">
                  <c:v>-7.7676569107411719E-2</c:v>
                </c:pt>
                <c:pt idx="25">
                  <c:v>-7.767656910741183E-2</c:v>
                </c:pt>
                <c:pt idx="26">
                  <c:v>-7.7676569107411941E-2</c:v>
                </c:pt>
                <c:pt idx="27">
                  <c:v>-7.767656910741183E-2</c:v>
                </c:pt>
                <c:pt idx="28">
                  <c:v>-7.7676569107411719E-2</c:v>
                </c:pt>
                <c:pt idx="29">
                  <c:v>-7.767656910741183E-2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val>
          <c:smooth val="0"/>
          <c:extLst xmlns:c16r2="http://schemas.microsoft.com/office/drawing/2015/06/chart">
            <c:ext xmlns:c16="http://schemas.microsoft.com/office/drawing/2014/chart" uri="{C3380CC4-5D6E-409C-BE32-E72D297353CC}">
              <c16:uniqueId val="{00000000-5148-4F83-A587-64FB9CF6D363}"/>
            </c:ext>
          </c:extLst>
        </c:ser>
        <c:ser>
          <c:idx val="1"/>
          <c:order val="1"/>
          <c:tx>
            <c:strRef>
              <c:f>Intern!$AO$2</c:f>
              <c:strCache>
                <c:ptCount val="1"/>
                <c:pt idx="0">
                  <c:v>RM-2-exp</c:v>
                </c:pt>
              </c:strCache>
            </c:strRef>
          </c:tx>
          <c:spPr>
            <a:ln w="38100" cap="rnd">
              <a:solidFill>
                <a:srgbClr val="C0504D"/>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(graphs!$CE$10:$CE$70,graphs!$CE$86)</c:f>
              <c:numCache>
                <c:formatCode>0.0%</c:formatCode>
                <c:ptCount val="62"/>
                <c:pt idx="0">
                  <c:v>-1.6000000000000014E-2</c:v>
                </c:pt>
                <c:pt idx="1">
                  <c:v>-1.8324991236321586E-2</c:v>
                </c:pt>
                <c:pt idx="2">
                  <c:v>-2.0987831488203934E-2</c:v>
                </c:pt>
                <c:pt idx="3">
                  <c:v>-2.4037614255670969E-2</c:v>
                </c:pt>
                <c:pt idx="4">
                  <c:v>-2.7530566911077914E-2</c:v>
                </c:pt>
                <c:pt idx="5">
                  <c:v>-3.1531087336029384E-2</c:v>
                </c:pt>
                <c:pt idx="6">
                  <c:v>-3.611293119402692E-2</c:v>
                </c:pt>
                <c:pt idx="7">
                  <c:v>-4.1360571728026652E-2</c:v>
                </c:pt>
                <c:pt idx="8">
                  <c:v>-4.7370757152833676E-2</c:v>
                </c:pt>
                <c:pt idx="9">
                  <c:v>-5.4254294355224886E-2</c:v>
                </c:pt>
                <c:pt idx="10">
                  <c:v>-6.2138091787019345E-2</c:v>
                </c:pt>
                <c:pt idx="11">
                  <c:v>-7.116749921492993E-2</c:v>
                </c:pt>
                <c:pt idx="12">
                  <c:v>-8.1508987464032234E-2</c:v>
                </c:pt>
                <c:pt idx="13">
                  <c:v>-9.3353217559989932E-2</c:v>
                </c:pt>
                <c:pt idx="14">
                  <c:v>-0.10691855585432763</c:v>
                </c:pt>
                <c:pt idx="15">
                  <c:v>-0.12245509993941972</c:v>
                </c:pt>
                <c:pt idx="16">
                  <c:v>-0.14024928957704708</c:v>
                </c:pt>
                <c:pt idx="17">
                  <c:v>-0.16062918764998257</c:v>
                </c:pt>
                <c:pt idx="18">
                  <c:v>-0.18397052849896189</c:v>
                </c:pt>
                <c:pt idx="19">
                  <c:v>-0.21070364515530837</c:v>
                </c:pt>
                <c:pt idx="20">
                  <c:v>-0.24132140318325279</c:v>
                </c:pt>
                <c:pt idx="21">
                  <c:v>-0.27638828740437138</c:v>
                </c:pt>
                <c:pt idx="22">
                  <c:v>-0.31655080903169042</c:v>
                </c:pt>
                <c:pt idx="23">
                  <c:v>-0.36254942508476518</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1-5148-4F83-A587-64FB9CF6D363}"/>
            </c:ext>
          </c:extLst>
        </c:ser>
        <c:ser>
          <c:idx val="2"/>
          <c:order val="2"/>
          <c:tx>
            <c:strRef>
              <c:f>Intern!$AM$2</c:f>
              <c:strCache>
                <c:ptCount val="1"/>
                <c:pt idx="0">
                  <c:v>RM-3-lin</c:v>
                </c:pt>
              </c:strCache>
            </c:strRef>
          </c:tx>
          <c:spPr>
            <a:ln w="38100" cap="rnd">
              <a:solidFill>
                <a:srgbClr val="9BBB59"/>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(graphs!$CF$10:$CF$70,graphs!$CF$86)</c:f>
              <c:numCache>
                <c:formatCode>0.0%</c:formatCode>
                <c:ptCount val="62"/>
                <c:pt idx="0">
                  <c:v>-1.6000000000000014E-2</c:v>
                </c:pt>
                <c:pt idx="1">
                  <c:v>-2.2475423443837461E-2</c:v>
                </c:pt>
                <c:pt idx="2">
                  <c:v>-2.8950846887674575E-2</c:v>
                </c:pt>
                <c:pt idx="3">
                  <c:v>-3.5426270331512133E-2</c:v>
                </c:pt>
                <c:pt idx="4">
                  <c:v>-4.1901693775349358E-2</c:v>
                </c:pt>
                <c:pt idx="5">
                  <c:v>-4.8377117219186694E-2</c:v>
                </c:pt>
                <c:pt idx="6">
                  <c:v>-5.4852540663024141E-2</c:v>
                </c:pt>
                <c:pt idx="7">
                  <c:v>-6.1327964106861588E-2</c:v>
                </c:pt>
                <c:pt idx="8">
                  <c:v>-6.7803387550698924E-2</c:v>
                </c:pt>
                <c:pt idx="9">
                  <c:v>-7.427881099453626E-2</c:v>
                </c:pt>
                <c:pt idx="10">
                  <c:v>-8.0754234438373595E-2</c:v>
                </c:pt>
                <c:pt idx="11">
                  <c:v>-8.7229657882211042E-2</c:v>
                </c:pt>
                <c:pt idx="12">
                  <c:v>-9.3705081326048489E-2</c:v>
                </c:pt>
                <c:pt idx="13">
                  <c:v>-0.10018050476988583</c:v>
                </c:pt>
                <c:pt idx="14">
                  <c:v>-0.10665592821372305</c:v>
                </c:pt>
                <c:pt idx="15">
                  <c:v>-0.1131313516575605</c:v>
                </c:pt>
                <c:pt idx="16">
                  <c:v>-0.11960677510139783</c:v>
                </c:pt>
                <c:pt idx="17">
                  <c:v>-0.12608219854523517</c:v>
                </c:pt>
                <c:pt idx="18">
                  <c:v>-0.1325576219890725</c:v>
                </c:pt>
                <c:pt idx="19">
                  <c:v>-0.13903304543290984</c:v>
                </c:pt>
                <c:pt idx="20">
                  <c:v>-0.14550846887674729</c:v>
                </c:pt>
                <c:pt idx="21">
                  <c:v>-0.15198389232058473</c:v>
                </c:pt>
                <c:pt idx="22">
                  <c:v>-0.15845931576442196</c:v>
                </c:pt>
                <c:pt idx="23">
                  <c:v>-0.16493473920825952</c:v>
                </c:pt>
                <c:pt idx="24">
                  <c:v>-0.17141016265209674</c:v>
                </c:pt>
                <c:pt idx="25">
                  <c:v>-0.17788558609593408</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val>
          <c:smooth val="0"/>
          <c:extLst xmlns:c16r2="http://schemas.microsoft.com/office/drawing/2015/06/chart">
            <c:ext xmlns:c16="http://schemas.microsoft.com/office/drawing/2014/chart" uri="{C3380CC4-5D6E-409C-BE32-E72D297353CC}">
              <c16:uniqueId val="{00000002-5148-4F83-A587-64FB9CF6D363}"/>
            </c:ext>
          </c:extLst>
        </c:ser>
        <c:ser>
          <c:idx val="3"/>
          <c:order val="3"/>
          <c:tx>
            <c:strRef>
              <c:f>Intern!$AN$2</c:f>
              <c:strCache>
                <c:ptCount val="1"/>
                <c:pt idx="0">
                  <c:v>RM-4-quad</c:v>
                </c:pt>
              </c:strCache>
            </c:strRef>
          </c:tx>
          <c:spPr>
            <a:ln w="38100" cap="rnd">
              <a:solidFill>
                <a:srgbClr val="8064A2"/>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(graphs!$CG$10:$CG$70,graphs!$CG$86)</c:f>
              <c:numCache>
                <c:formatCode>0.0%</c:formatCode>
                <c:ptCount val="62"/>
                <c:pt idx="0">
                  <c:v>-1.6000000000000014E-2</c:v>
                </c:pt>
                <c:pt idx="1">
                  <c:v>-1.6531309630515523E-2</c:v>
                </c:pt>
                <c:pt idx="2">
                  <c:v>-1.812523852206227E-2</c:v>
                </c:pt>
                <c:pt idx="3">
                  <c:v>-2.0781786674640479E-2</c:v>
                </c:pt>
                <c:pt idx="4">
                  <c:v>-2.4500954088249705E-2</c:v>
                </c:pt>
                <c:pt idx="5">
                  <c:v>-2.9282740762889947E-2</c:v>
                </c:pt>
                <c:pt idx="6">
                  <c:v>-3.5127146698561651E-2</c:v>
                </c:pt>
                <c:pt idx="7">
                  <c:v>-4.2034171895264705E-2</c:v>
                </c:pt>
                <c:pt idx="8">
                  <c:v>-5.0003816352998665E-2</c:v>
                </c:pt>
                <c:pt idx="9">
                  <c:v>-5.9036080071763863E-2</c:v>
                </c:pt>
                <c:pt idx="10">
                  <c:v>-6.9130963051560301E-2</c:v>
                </c:pt>
                <c:pt idx="11">
                  <c:v>-8.0288465292387978E-2</c:v>
                </c:pt>
                <c:pt idx="12">
                  <c:v>-9.2508586794246783E-2</c:v>
                </c:pt>
                <c:pt idx="13">
                  <c:v>-0.10579132755713683</c:v>
                </c:pt>
                <c:pt idx="14">
                  <c:v>-0.12013668758105822</c:v>
                </c:pt>
                <c:pt idx="15">
                  <c:v>-0.13554466686601063</c:v>
                </c:pt>
                <c:pt idx="16">
                  <c:v>-0.15201526541199439</c:v>
                </c:pt>
                <c:pt idx="17">
                  <c:v>-0.16954848321900928</c:v>
                </c:pt>
                <c:pt idx="18">
                  <c:v>-0.1881443202870553</c:v>
                </c:pt>
                <c:pt idx="19">
                  <c:v>-0.20780277661613267</c:v>
                </c:pt>
                <c:pt idx="20">
                  <c:v>-0.22852385220624116</c:v>
                </c:pt>
                <c:pt idx="21">
                  <c:v>-0.25030754705738079</c:v>
                </c:pt>
                <c:pt idx="22">
                  <c:v>-0.27315386116955187</c:v>
                </c:pt>
                <c:pt idx="23">
                  <c:v>-0.29706279454275397</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numCache>
            </c:numRef>
          </c:val>
          <c:smooth val="0"/>
          <c:extLst xmlns:c16r2="http://schemas.microsoft.com/office/drawing/2015/06/chart">
            <c:ext xmlns:c16="http://schemas.microsoft.com/office/drawing/2014/chart" uri="{C3380CC4-5D6E-409C-BE32-E72D297353CC}">
              <c16:uniqueId val="{00000003-5148-4F83-A587-64FB9CF6D363}"/>
            </c:ext>
          </c:extLst>
        </c:ser>
        <c:ser>
          <c:idx val="5"/>
          <c:order val="5"/>
          <c:tx>
            <c:strRef>
              <c:f>Intern!$AL$2</c:f>
              <c:strCache>
                <c:ptCount val="1"/>
                <c:pt idx="0">
                  <c:v>RM-5-rad</c:v>
                </c:pt>
              </c:strCache>
            </c:strRef>
          </c:tx>
          <c:spPr>
            <a:ln w="34925"/>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graphs!$CH$10:$CH$40</c:f>
              <c:numCache>
                <c:formatCode>0.0%</c:formatCode>
                <c:ptCount val="31"/>
                <c:pt idx="0">
                  <c:v>-1.6000000000000014E-2</c:v>
                </c:pt>
                <c:pt idx="1">
                  <c:v>-3.1984882019052474E-2</c:v>
                </c:pt>
                <c:pt idx="2">
                  <c:v>-4.3686627809993106E-2</c:v>
                </c:pt>
                <c:pt idx="3">
                  <c:v>-5.1743282806915425E-2</c:v>
                </c:pt>
                <c:pt idx="4">
                  <c:v>-5.8292022559120804E-2</c:v>
                </c:pt>
                <c:pt idx="5">
                  <c:v>-6.3954646057157505E-2</c:v>
                </c:pt>
                <c:pt idx="6">
                  <c:v>-6.9015855975295692E-2</c:v>
                </c:pt>
                <c:pt idx="7">
                  <c:v>-7.3634311751936021E-2</c:v>
                </c:pt>
                <c:pt idx="8">
                  <c:v>-7.7909181850880582E-2</c:v>
                </c:pt>
                <c:pt idx="9">
                  <c:v>-8.1907356977589885E-2</c:v>
                </c:pt>
                <c:pt idx="10">
                  <c:v>-8.567648534547001E-2</c:v>
                </c:pt>
                <c:pt idx="11">
                  <c:v>-8.9251931827246556E-2</c:v>
                </c:pt>
                <c:pt idx="12">
                  <c:v>-9.2660801083406463E-2</c:v>
                </c:pt>
                <c:pt idx="13">
                  <c:v>-9.5924410095262536E-2</c:v>
                </c:pt>
                <c:pt idx="14">
                  <c:v>-9.9059883429979179E-2</c:v>
                </c:pt>
                <c:pt idx="15">
                  <c:v>-0.10208122409519849</c:v>
                </c:pt>
                <c:pt idx="16">
                  <c:v>-0.10500005644972277</c:v>
                </c:pt>
                <c:pt idx="17">
                  <c:v>-0.10782615615596625</c:v>
                </c:pt>
                <c:pt idx="18">
                  <c:v>-0.11056783734814879</c:v>
                </c:pt>
                <c:pt idx="19">
                  <c:v>-0.11323224139673016</c:v>
                </c:pt>
                <c:pt idx="20">
                  <c:v>-0.11582555621361723</c:v>
                </c:pt>
                <c:pt idx="21">
                  <c:v>-0.11835318548869944</c:v>
                </c:pt>
                <c:pt idx="22">
                  <c:v>-0.12081988115815712</c:v>
                </c:pt>
                <c:pt idx="23">
                  <c:v>-0.12322984842074625</c:v>
                </c:pt>
                <c:pt idx="24">
                  <c:v>-0.12558682995078507</c:v>
                </c:pt>
                <c:pt idx="25">
                  <c:v>-0.12789417413336734</c:v>
                </c:pt>
                <c:pt idx="26">
                  <c:v>-0.13015489087776477</c:v>
                </c:pt>
                <c:pt idx="27">
                  <c:v>-0.1323716976658863</c:v>
                </c:pt>
                <c:pt idx="28">
                  <c:v>#N/A</c:v>
                </c:pt>
                <c:pt idx="29">
                  <c:v>#N/A</c:v>
                </c:pt>
                <c:pt idx="30">
                  <c:v>#N/A</c:v>
                </c:pt>
              </c:numCache>
            </c:numRef>
          </c:val>
          <c:smooth val="0"/>
        </c:ser>
        <c:ser>
          <c:idx val="6"/>
          <c:order val="6"/>
          <c:tx>
            <c:strRef>
              <c:f>Intern!$AP$2</c:f>
              <c:strCache>
                <c:ptCount val="1"/>
                <c:pt idx="0">
                  <c:v>RM-6-abs</c:v>
                </c:pt>
              </c:strCache>
            </c:strRef>
          </c:tx>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graphs!$CI$10:$CI$90</c:f>
              <c:numCache>
                <c:formatCode>0.0%</c:formatCode>
                <c:ptCount val="81"/>
                <c:pt idx="0">
                  <c:v>-3.6144907258855219E-2</c:v>
                </c:pt>
                <c:pt idx="1">
                  <c:v>-3.750035407922292E-2</c:v>
                </c:pt>
                <c:pt idx="2">
                  <c:v>-3.8961421168470234E-2</c:v>
                </c:pt>
                <c:pt idx="3">
                  <c:v>-4.0540954366099613E-2</c:v>
                </c:pt>
                <c:pt idx="4">
                  <c:v>-4.2253970662515128E-2</c:v>
                </c:pt>
                <c:pt idx="5">
                  <c:v>-4.411813713468915E-2</c:v>
                </c:pt>
                <c:pt idx="6">
                  <c:v>-4.6154382511707448E-2</c:v>
                </c:pt>
                <c:pt idx="7">
                  <c:v>-4.8387686293766441E-2</c:v>
                </c:pt>
                <c:pt idx="8">
                  <c:v>-5.0848108622419397E-2</c:v>
                </c:pt>
                <c:pt idx="9">
                  <c:v>-5.3572151185011574E-2</c:v>
                </c:pt>
                <c:pt idx="10">
                  <c:v>-5.6604580319660536E-2</c:v>
                </c:pt>
                <c:pt idx="11">
                  <c:v>-6.0000906447945757E-2</c:v>
                </c:pt>
                <c:pt idx="12">
                  <c:v>-6.3830813092824679E-2</c:v>
                </c:pt>
                <c:pt idx="13">
                  <c:v>-6.8182988700688507E-2</c:v>
                </c:pt>
                <c:pt idx="14">
                  <c:v>-7.3172079790231659E-2</c:v>
                </c:pt>
                <c:pt idx="15">
                  <c:v>-7.8948937763625771E-2</c:v>
                </c:pt>
                <c:pt idx="16">
                  <c:v>-8.5716135620029998E-2</c:v>
                </c:pt>
                <c:pt idx="17">
                  <c:v>-9.3752213026486397E-2</c:v>
                </c:pt>
                <c:pt idx="18">
                  <c:v>-0.10345097044548857</c:v>
                </c:pt>
                <c:pt idx="19">
                  <c:v>-0.11538796767968462</c:v>
                </c:pt>
                <c:pt idx="20">
                  <c:v>-0.13043906646513148</c:v>
                </c:pt>
                <c:pt idx="21">
                  <c:v>-0.15000566542804672</c:v>
                </c:pt>
                <c:pt idx="22">
                  <c:v>-0.17647842971046102</c:v>
                </c:pt>
                <c:pt idx="23">
                  <c:v>-0.21429727657092656</c:v>
                </c:pt>
                <c:pt idx="24">
                  <c:v>-0.27274600199380816</c:v>
                </c:pt>
                <c:pt idx="25">
                  <c:v>-0.37503541093147208</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val>
          <c:smooth val="0"/>
        </c:ser>
        <c:dLbls>
          <c:showLegendKey val="0"/>
          <c:showVal val="0"/>
          <c:showCatName val="0"/>
          <c:showSerName val="0"/>
          <c:showPercent val="0"/>
          <c:showBubbleSize val="0"/>
        </c:dLbls>
        <c:smooth val="0"/>
        <c:axId val="520336424"/>
        <c:axId val="520337992"/>
        <c:extLst xmlns:c16r2="http://schemas.microsoft.com/office/drawing/2015/06/chart">
          <c:ext xmlns:c15="http://schemas.microsoft.com/office/drawing/2012/chart" uri="{02D57815-91ED-43cb-92C2-25804820EDAC}">
            <c15:filteredLineSeries>
              <c15:ser>
                <c:idx val="4"/>
                <c:order val="4"/>
                <c:tx>
                  <c:strRef>
                    <c:extLst xmlns:c16r2="http://schemas.microsoft.com/office/drawing/2015/06/chart">
                      <c:ext uri="{02D57815-91ED-43cb-92C2-25804820EDAC}">
                        <c15:formulaRef>
                          <c15:sqref>graphs!$CJ$9</c15:sqref>
                        </c15:formulaRef>
                      </c:ext>
                    </c:extLst>
                    <c:strCache>
                      <c:ptCount val="1"/>
                      <c:pt idx="0">
                        <c:v>SPM-R</c:v>
                      </c:pt>
                    </c:strCache>
                  </c:strRef>
                </c:tx>
                <c:spPr>
                  <a:ln w="38100">
                    <a:solidFill>
                      <a:srgbClr val="F79646"/>
                    </a:solidFill>
                  </a:ln>
                </c:spPr>
                <c:marker>
                  <c:symbol val="none"/>
                </c:marker>
                <c:cat>
                  <c:numRef>
                    <c:extLst xmlns:c16r2="http://schemas.microsoft.com/office/drawing/2015/06/chart">
                      <c:ext uri="{02D57815-91ED-43cb-92C2-25804820EDAC}">
                        <c15:formulaRef>
                          <c15:sqref>Intern!$AH$2:$AH$83</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graphs!$CJ$10:$CJ$90</c15:sqref>
                        </c15:formulaRef>
                      </c:ext>
                    </c:extLst>
                    <c:numCache>
                      <c:formatCode>0.0%</c:formatCode>
                      <c:ptCount val="81"/>
                      <c:pt idx="0">
                        <c:v>-1.1281600276042858E-2</c:v>
                      </c:pt>
                      <c:pt idx="1">
                        <c:v>-5.0224262245711304E-2</c:v>
                      </c:pt>
                      <c:pt idx="2">
                        <c:v>-8.0814854933102809E-2</c:v>
                      </c:pt>
                      <c:pt idx="3">
                        <c:v>-0.10209617637966262</c:v>
                      </c:pt>
                      <c:pt idx="4">
                        <c:v>-0.11775649313364533</c:v>
                      </c:pt>
                      <c:pt idx="5">
                        <c:v>-0.1297630095477974</c:v>
                      </c:pt>
                      <c:pt idx="6">
                        <c:v>-0.13926086984216324</c:v>
                      </c:pt>
                      <c:pt idx="7">
                        <c:v>-0.146961946726615</c:v>
                      </c:pt>
                      <c:pt idx="8">
                        <c:v>-0.15333204710287318</c:v>
                      </c:pt>
                      <c:pt idx="9">
                        <c:v>-0.15868877415144733</c:v>
                      </c:pt>
                      <c:pt idx="10">
                        <c:v>-0.16325612612079476</c:v>
                      </c:pt>
                      <c:pt idx="11">
                        <c:v>-0.16719661425213095</c:v>
                      </c:pt>
                      <c:pt idx="12">
                        <c:v>-0.17063100550023935</c:v>
                      </c:pt>
                      <c:pt idx="13">
                        <c:v>-0.17365091730451299</c:v>
                      </c:pt>
                      <c:pt idx="14">
                        <c:v>-0.17632711186357919</c:v>
                      </c:pt>
                      <c:pt idx="15">
                        <c:v>-0.17871511081380209</c:v>
                      </c:pt>
                      <c:pt idx="16">
                        <c:v>-0.18085908867589184</c:v>
                      </c:pt>
                      <c:pt idx="17">
                        <c:v>-0.18279463074838287</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numCache>
                  </c:numRef>
                </c:val>
                <c:smooth val="0"/>
              </c15:ser>
            </c15:filteredLineSeries>
          </c:ext>
        </c:extLst>
      </c:lineChart>
      <c:catAx>
        <c:axId val="520336424"/>
        <c:scaling>
          <c:orientation val="minMax"/>
        </c:scaling>
        <c:delete val="0"/>
        <c:axPos val="b"/>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7992"/>
        <c:crosses val="autoZero"/>
        <c:auto val="1"/>
        <c:lblAlgn val="ctr"/>
        <c:lblOffset val="100"/>
        <c:noMultiLvlLbl val="0"/>
      </c:catAx>
      <c:valAx>
        <c:axId val="520337992"/>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6424"/>
        <c:crosses val="autoZero"/>
        <c:crossBetween val="midCat"/>
        <c:majorUnit val="2.5000000000000005E-2"/>
      </c:valAx>
      <c:spPr>
        <a:noFill/>
        <a:ln>
          <a:noFill/>
        </a:ln>
        <a:effectLst/>
      </c:spPr>
    </c:plotArea>
    <c:legend>
      <c:legendPos val="r"/>
      <c:layout>
        <c:manualLayout>
          <c:xMode val="edge"/>
          <c:yMode val="edge"/>
          <c:x val="0.10105892857142855"/>
          <c:y val="0.63293870992790457"/>
          <c:w val="0.24222807777968169"/>
          <c:h val="0.36706142764206573"/>
        </c:manualLayout>
      </c:layout>
      <c:overlay val="1"/>
      <c:txPr>
        <a:bodyPr/>
        <a:lstStyle/>
        <a:p>
          <a:pPr>
            <a:defRPr sz="1400"/>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b="1">
                <a:solidFill>
                  <a:sysClr val="windowText" lastClr="000000"/>
                </a:solidFill>
              </a:rPr>
              <a:t>Globale Emissionspfade: 420 Mrd. t 2018</a:t>
            </a:r>
            <a:r>
              <a:rPr lang="de-DE" b="1" baseline="0">
                <a:solidFill>
                  <a:sysClr val="windowText" lastClr="000000"/>
                </a:solidFill>
              </a:rPr>
              <a:t> - 2100</a:t>
            </a:r>
            <a:endParaRPr lang="de-DE" b="1">
              <a:solidFill>
                <a:sysClr val="windowText" lastClr="000000"/>
              </a:solidFill>
            </a:endParaRPr>
          </a:p>
        </c:rich>
      </c:tx>
      <c:overlay val="0"/>
      <c:spPr>
        <a:noFill/>
        <a:ln>
          <a:noFill/>
        </a:ln>
        <a:effectLst/>
      </c:spPr>
    </c:title>
    <c:autoTitleDeleted val="0"/>
    <c:plotArea>
      <c:layout/>
      <c:lineChart>
        <c:grouping val="standard"/>
        <c:varyColors val="0"/>
        <c:ser>
          <c:idx val="0"/>
          <c:order val="0"/>
          <c:tx>
            <c:strRef>
              <c:f>Intern!$AK$2</c:f>
              <c:strCache>
                <c:ptCount val="1"/>
                <c:pt idx="0">
                  <c:v>RM-1-const</c:v>
                </c:pt>
              </c:strCache>
            </c:strRef>
          </c:tx>
          <c:spPr>
            <a:ln w="34925" cap="rnd">
              <a:solidFill>
                <a:srgbClr val="4F81BD"/>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graphs!$BU$9:$BU$90</c:f>
              <c:numCache>
                <c:formatCode>#,##0.00</c:formatCode>
                <c:ptCount val="82"/>
                <c:pt idx="0">
                  <c:v>42.311683327829648</c:v>
                </c:pt>
                <c:pt idx="1">
                  <c:v>39.02505693376456</c:v>
                </c:pt>
                <c:pt idx="2">
                  <c:v>35.993724401928318</c:v>
                </c:pt>
                <c:pt idx="3">
                  <c:v>33.197855380988798</c:v>
                </c:pt>
                <c:pt idx="4">
                  <c:v>30.61915987326956</c:v>
                </c:pt>
                <c:pt idx="5">
                  <c:v>28.240768585362645</c:v>
                </c:pt>
                <c:pt idx="6">
                  <c:v>26.047122572695297</c:v>
                </c:pt>
                <c:pt idx="7">
                  <c:v>24.023871456128106</c:v>
                </c:pt>
                <c:pt idx="8">
                  <c:v>22.157779544738592</c:v>
                </c:pt>
                <c:pt idx="9">
                  <c:v>20.436639250664907</c:v>
                </c:pt>
                <c:pt idx="10">
                  <c:v>18.84919122958739</c:v>
                </c:pt>
                <c:pt idx="11">
                  <c:v>17.385050724423525</c:v>
                </c:pt>
                <c:pt idx="12">
                  <c:v>16.034639630391982</c:v>
                </c:pt>
                <c:pt idx="13">
                  <c:v>14.789123837029395</c:v>
                </c:pt>
                <c:pt idx="14">
                  <c:v>13.64035543726431</c:v>
                </c:pt>
                <c:pt idx="15">
                  <c:v>12.580819425491988</c:v>
                </c:pt>
                <c:pt idx="16">
                  <c:v>11.603584535959891</c:v>
                </c:pt>
                <c:pt idx="17">
                  <c:v>10.702257899858708</c:v>
                </c:pt>
                <c:pt idx="18">
                  <c:v>9.8709432244949884</c:v>
                </c:pt>
                <c:pt idx="19">
                  <c:v>9.1042022209621649</c:v>
                </c:pt>
                <c:pt idx="20">
                  <c:v>8.3970190279777448</c:v>
                </c:pt>
                <c:pt idx="21">
                  <c:v>7.744767399154779</c:v>
                </c:pt>
                <c:pt idx="22">
                  <c:v>7.143180439053503</c:v>
                </c:pt>
                <c:pt idx="23">
                  <c:v>6.5883226900326513</c:v>
                </c:pt>
                <c:pt idx="24">
                  <c:v>6.0765643872984008</c:v>
                </c:pt>
                <c:pt idx="25">
                  <c:v>5.6045577137327793</c:v>
                </c:pt>
                <c:pt idx="26">
                  <c:v>5.1692148991655369</c:v>
                </c:pt>
                <c:pt idx="27">
                  <c:v>4.7676880208194419</c:v>
                </c:pt>
                <c:pt idx="28">
                  <c:v>4.397350372787681</c:v>
                </c:pt>
                <c:pt idx="29">
                  <c:v>4.0557792826663359</c:v>
                </c:pt>
                <c:pt idx="30">
                  <c:v>3.7407402629318951</c:v>
                </c:pt>
                <c:pt idx="31">
                  <c:v>3.4257012431974543</c:v>
                </c:pt>
                <c:pt idx="32">
                  <c:v>3.1106622234630135</c:v>
                </c:pt>
                <c:pt idx="33">
                  <c:v>2.7956232037285726</c:v>
                </c:pt>
                <c:pt idx="34">
                  <c:v>2.4805841839941318</c:v>
                </c:pt>
                <c:pt idx="35">
                  <c:v>2.165545164259691</c:v>
                </c:pt>
                <c:pt idx="36">
                  <c:v>1.8505061445252502</c:v>
                </c:pt>
                <c:pt idx="37">
                  <c:v>1.5354671247908094</c:v>
                </c:pt>
                <c:pt idx="38">
                  <c:v>1.2204281050563686</c:v>
                </c:pt>
                <c:pt idx="39">
                  <c:v>0.90538908532192774</c:v>
                </c:pt>
                <c:pt idx="40">
                  <c:v>0.59035006558748693</c:v>
                </c:pt>
                <c:pt idx="41">
                  <c:v>0.27531104585304611</c:v>
                </c:pt>
                <c:pt idx="42">
                  <c:v>-3.9727973881394707E-2</c:v>
                </c:pt>
                <c:pt idx="43">
                  <c:v>-0.35476699361583552</c:v>
                </c:pt>
                <c:pt idx="44">
                  <c:v>-0.66980601335027634</c:v>
                </c:pt>
                <c:pt idx="45">
                  <c:v>-0.98484503308471716</c:v>
                </c:pt>
                <c:pt idx="46">
                  <c:v>-1.299884052819158</c:v>
                </c:pt>
                <c:pt idx="47">
                  <c:v>-1.6149230725535988</c:v>
                </c:pt>
                <c:pt idx="48">
                  <c:v>-1.9299620922880396</c:v>
                </c:pt>
                <c:pt idx="49">
                  <c:v>-2.2450011120224804</c:v>
                </c:pt>
                <c:pt idx="50">
                  <c:v>-2.5600401317569212</c:v>
                </c:pt>
                <c:pt idx="51">
                  <c:v>-2.8750791514913621</c:v>
                </c:pt>
                <c:pt idx="52">
                  <c:v>-3.1901181712258029</c:v>
                </c:pt>
                <c:pt idx="53">
                  <c:v>-3.5051571909602437</c:v>
                </c:pt>
                <c:pt idx="54">
                  <c:v>-3.8201962106946845</c:v>
                </c:pt>
                <c:pt idx="55">
                  <c:v>-4.1352352304291253</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0-EE9B-45AD-B6C1-E4A29746DB45}"/>
            </c:ext>
          </c:extLst>
        </c:ser>
        <c:ser>
          <c:idx val="1"/>
          <c:order val="1"/>
          <c:tx>
            <c:strRef>
              <c:f>Intern!$AO$2</c:f>
              <c:strCache>
                <c:ptCount val="1"/>
                <c:pt idx="0">
                  <c:v>RM-2-exp</c:v>
                </c:pt>
              </c:strCache>
            </c:strRef>
          </c:tx>
          <c:spPr>
            <a:ln w="34925" cap="rnd">
              <a:solidFill>
                <a:srgbClr val="C0504D"/>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extLst xmlns:c16r2="http://schemas.microsoft.com/office/drawing/2015/06/chart" xmlns:c15="http://schemas.microsoft.com/office/drawing/2012/chart"/>
            </c:numRef>
          </c:cat>
          <c:val>
            <c:numRef>
              <c:f>graphs!$BV$9:$BV$90</c:f>
              <c:numCache>
                <c:formatCode>#,##0.00</c:formatCode>
                <c:ptCount val="82"/>
                <c:pt idx="0">
                  <c:v>42.311683327829648</c:v>
                </c:pt>
                <c:pt idx="1">
                  <c:v>41.634696394584374</c:v>
                </c:pt>
                <c:pt idx="2">
                  <c:v>40.871740948026705</c:v>
                </c:pt>
                <c:pt idx="3">
                  <c:v>40.013931736379995</c:v>
                </c:pt>
                <c:pt idx="4">
                  <c:v>39.052092280448143</c:v>
                </c:pt>
                <c:pt idx="5">
                  <c:v>37.976966040903676</c:v>
                </c:pt>
                <c:pt idx="6">
                  <c:v>36.779511007910521</c:v>
                </c:pt>
                <c:pt idx="7">
                  <c:v>35.451295057531894</c:v>
                </c:pt>
                <c:pt idx="8">
                  <c:v>33.98500922545341</c:v>
                </c:pt>
                <c:pt idx="9">
                  <c:v>32.375113606597644</c:v>
                </c:pt>
                <c:pt idx="10">
                  <c:v>30.618624663201448</c:v>
                </c:pt>
                <c:pt idx="11">
                  <c:v>28.716041753487143</c:v>
                </c:pt>
                <c:pt idx="12">
                  <c:v>26.672392874539952</c:v>
                </c:pt>
                <c:pt idx="13">
                  <c:v>24.498353138093332</c:v>
                </c:pt>
                <c:pt idx="14">
                  <c:v>22.211353047731443</c:v>
                </c:pt>
                <c:pt idx="15">
                  <c:v>19.836547256297379</c:v>
                </c:pt>
                <c:pt idx="16">
                  <c:v>17.407460879574462</c:v>
                </c:pt>
                <c:pt idx="17">
                  <c:v>14.966076857873905</c:v>
                </c:pt>
                <c:pt idx="18">
                  <c:v>12.562088089886416</c:v>
                </c:pt>
                <c:pt idx="19">
                  <c:v>10.251034104939498</c:v>
                </c:pt>
                <c:pt idx="20">
                  <c:v>8.091103852417362</c:v>
                </c:pt>
                <c:pt idx="21">
                  <c:v>6.1385473174505822</c:v>
                </c:pt>
                <c:pt idx="22">
                  <c:v>4.4419247372297175</c:v>
                </c:pt>
                <c:pt idx="23">
                  <c:v>3.0358298680017715</c:v>
                </c:pt>
                <c:pt idx="24">
                  <c:v>1.9351914947025706</c:v>
                </c:pt>
                <c:pt idx="25">
                  <c:v>0.83455312140336968</c:v>
                </c:pt>
                <c:pt idx="26">
                  <c:v>-0.26608525189583121</c:v>
                </c:pt>
                <c:pt idx="27">
                  <c:v>-1.3667236251950321</c:v>
                </c:pt>
                <c:pt idx="28">
                  <c:v>-2.467361998494233</c:v>
                </c:pt>
                <c:pt idx="29">
                  <c:v>-3.5680003717934339</c:v>
                </c:pt>
                <c:pt idx="30">
                  <c:v>-4.3499999999999996</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extLst xmlns:c16r2="http://schemas.microsoft.com/office/drawing/2015/06/chart" xmlns:c15="http://schemas.microsoft.com/office/drawing/2012/chart"/>
            </c:numRef>
          </c:val>
          <c:smooth val="0"/>
          <c:extLst xmlns:c16r2="http://schemas.microsoft.com/office/drawing/2015/06/chart" xmlns:c15="http://schemas.microsoft.com/office/drawing/2012/chart">
            <c:ext xmlns:c16="http://schemas.microsoft.com/office/drawing/2014/chart" uri="{C3380CC4-5D6E-409C-BE32-E72D297353CC}">
              <c16:uniqueId val="{00000001-EE9B-45AD-B6C1-E4A29746DB45}"/>
            </c:ext>
          </c:extLst>
        </c:ser>
        <c:ser>
          <c:idx val="2"/>
          <c:order val="2"/>
          <c:tx>
            <c:strRef>
              <c:f>Intern!$AM$2</c:f>
              <c:strCache>
                <c:ptCount val="1"/>
                <c:pt idx="0">
                  <c:v>RM-3-lin</c:v>
                </c:pt>
              </c:strCache>
            </c:strRef>
          </c:tx>
          <c:spPr>
            <a:ln w="34925" cap="rnd">
              <a:solidFill>
                <a:srgbClr val="9BBB59"/>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graphs!$BW$9:$BW$90</c:f>
              <c:numCache>
                <c:formatCode>#,##0.00</c:formatCode>
                <c:ptCount val="82"/>
                <c:pt idx="0">
                  <c:v>42.311683327829648</c:v>
                </c:pt>
                <c:pt idx="1">
                  <c:v>41.634696394584374</c:v>
                </c:pt>
                <c:pt idx="2">
                  <c:v>40.698938963160479</c:v>
                </c:pt>
                <c:pt idx="3">
                  <c:v>39.520670212747206</c:v>
                </c:pt>
                <c:pt idx="4">
                  <c:v>38.120600266107886</c:v>
                </c:pt>
                <c:pt idx="5">
                  <c:v>36.52328254722493</c:v>
                </c:pt>
                <c:pt idx="6">
                  <c:v>34.756391426208353</c:v>
                </c:pt>
                <c:pt idx="7">
                  <c:v>32.849915052202277</c:v>
                </c:pt>
                <c:pt idx="8">
                  <c:v>30.835296640967364</c:v>
                </c:pt>
                <c:pt idx="9">
                  <c:v>28.74455907257909</c:v>
                </c:pt>
                <c:pt idx="10">
                  <c:v>26.609447402105705</c:v>
                </c:pt>
                <c:pt idx="11">
                  <c:v>24.460621848320489</c:v>
                </c:pt>
                <c:pt idx="12">
                  <c:v>22.326930172905357</c:v>
                </c:pt>
                <c:pt idx="13">
                  <c:v>20.234783365292255</c:v>
                </c:pt>
                <c:pt idx="14">
                  <c:v>18.207652553847989</c:v>
                </c:pt>
                <c:pt idx="15">
                  <c:v>16.265698470124367</c:v>
                </c:pt>
                <c:pt idx="16">
                  <c:v>14.425538016544882</c:v>
                </c:pt>
                <c:pt idx="17">
                  <c:v>12.700145935283334</c:v>
                </c:pt>
                <c:pt idx="18">
                  <c:v>11.098883613917479</c:v>
                </c:pt>
                <c:pt idx="19">
                  <c:v>9.6276419953230956</c:v>
                </c:pt>
                <c:pt idx="20">
                  <c:v>8.2890816083755485</c:v>
                </c:pt>
                <c:pt idx="21">
                  <c:v>7.0829500351464167</c:v>
                </c:pt>
                <c:pt idx="22">
                  <c:v>6.0064557196926422</c:v>
                </c:pt>
                <c:pt idx="23">
                  <c:v>5.0546768561808477</c:v>
                </c:pt>
                <c:pt idx="24">
                  <c:v>4.2209850471246346</c:v>
                </c:pt>
                <c:pt idx="25">
                  <c:v>3.4974653136449327</c:v>
                </c:pt>
                <c:pt idx="26">
                  <c:v>2.8753166464770041</c:v>
                </c:pt>
                <c:pt idx="27">
                  <c:v>2.2531679793090755</c:v>
                </c:pt>
                <c:pt idx="28">
                  <c:v>1.6310193121411469</c:v>
                </c:pt>
                <c:pt idx="29">
                  <c:v>1.0088706449732183</c:v>
                </c:pt>
                <c:pt idx="30">
                  <c:v>0.38672197780528972</c:v>
                </c:pt>
                <c:pt idx="31">
                  <c:v>-0.23542668936263889</c:v>
                </c:pt>
                <c:pt idx="32">
                  <c:v>-0.85757535653056749</c:v>
                </c:pt>
                <c:pt idx="33">
                  <c:v>-1.4797240236984961</c:v>
                </c:pt>
                <c:pt idx="34">
                  <c:v>-2.1018726908664247</c:v>
                </c:pt>
                <c:pt idx="35">
                  <c:v>-2.7240213580343533</c:v>
                </c:pt>
                <c:pt idx="36">
                  <c:v>-3.3461700252022819</c:v>
                </c:pt>
                <c:pt idx="37">
                  <c:v>-3.9683186923702105</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2-EE9B-45AD-B6C1-E4A29746DB45}"/>
            </c:ext>
          </c:extLst>
        </c:ser>
        <c:ser>
          <c:idx val="3"/>
          <c:order val="3"/>
          <c:tx>
            <c:strRef>
              <c:f>Intern!$AN$2</c:f>
              <c:strCache>
                <c:ptCount val="1"/>
                <c:pt idx="0">
                  <c:v>RM-4-quad</c:v>
                </c:pt>
              </c:strCache>
            </c:strRef>
          </c:tx>
          <c:spPr>
            <a:ln w="34925" cap="rnd">
              <a:solidFill>
                <a:srgbClr val="8064A2"/>
              </a:solidFill>
              <a:round/>
            </a:ln>
            <a:effectLst/>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graphs!$BX$9:$BX$90</c:f>
              <c:numCache>
                <c:formatCode>#,##0.00</c:formatCode>
                <c:ptCount val="82"/>
                <c:pt idx="0">
                  <c:v>42.311683327829648</c:v>
                </c:pt>
                <c:pt idx="1">
                  <c:v>41.634696394584374</c:v>
                </c:pt>
                <c:pt idx="2">
                  <c:v>40.94642033711299</c:v>
                </c:pt>
                <c:pt idx="3">
                  <c:v>40.204256701878194</c:v>
                </c:pt>
                <c:pt idx="4">
                  <c:v>39.368740415687277</c:v>
                </c:pt>
                <c:pt idx="5">
                  <c:v>38.404168714250304</c:v>
                </c:pt>
                <c:pt idx="6">
                  <c:v>37.279589397576622</c:v>
                </c:pt>
                <c:pt idx="7">
                  <c:v>35.970063791945805</c:v>
                </c:pt>
                <c:pt idx="8">
                  <c:v>34.458091947431519</c:v>
                </c:pt>
                <c:pt idx="9">
                  <c:v>32.735055845817413</c:v>
                </c:pt>
                <c:pt idx="10">
                  <c:v>30.802506467750074</c:v>
                </c:pt>
                <c:pt idx="11">
                  <c:v>28.673099531232598</c:v>
                </c:pt>
                <c:pt idx="12">
                  <c:v>26.370980374694042</c:v>
                </c:pt>
                <c:pt idx="13">
                  <c:v>23.931438247852281</c:v>
                </c:pt>
                <c:pt idx="14">
                  <c:v>21.399699625260347</c:v>
                </c:pt>
                <c:pt idx="15">
                  <c:v>18.828810597051955</c:v>
                </c:pt>
                <c:pt idx="16">
                  <c:v>16.276665737191337</c:v>
                </c:pt>
                <c:pt idx="17">
                  <c:v>13.80236407512988</c:v>
                </c:pt>
                <c:pt idx="18">
                  <c:v>11.462194181355065</c:v>
                </c:pt>
                <c:pt idx="19">
                  <c:v>9.3056474481057752</c:v>
                </c:pt>
                <c:pt idx="20">
                  <c:v>7.3719080701785655</c:v>
                </c:pt>
                <c:pt idx="21">
                  <c:v>5.6872512398710828</c:v>
                </c:pt>
                <c:pt idx="22">
                  <c:v>4.2636893325199043</c:v>
                </c:pt>
                <c:pt idx="23">
                  <c:v>3.0990461285146633</c:v>
                </c:pt>
                <c:pt idx="24">
                  <c:v>2.1784348251611947</c:v>
                </c:pt>
                <c:pt idx="25">
                  <c:v>1.2578235218077261</c:v>
                </c:pt>
                <c:pt idx="26">
                  <c:v>0.33721221845425742</c:v>
                </c:pt>
                <c:pt idx="27">
                  <c:v>-0.58339908489921122</c:v>
                </c:pt>
                <c:pt idx="28">
                  <c:v>-1.5040103882526799</c:v>
                </c:pt>
                <c:pt idx="29">
                  <c:v>-2.4246216916061485</c:v>
                </c:pt>
                <c:pt idx="30">
                  <c:v>-3.3452329949596171</c:v>
                </c:pt>
                <c:pt idx="31">
                  <c:v>-4.2658442983130858</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3-EE9B-45AD-B6C1-E4A29746DB45}"/>
            </c:ext>
          </c:extLst>
        </c:ser>
        <c:ser>
          <c:idx val="5"/>
          <c:order val="5"/>
          <c:tx>
            <c:strRef>
              <c:f>Intern!$AL$2</c:f>
              <c:strCache>
                <c:ptCount val="1"/>
                <c:pt idx="0">
                  <c:v>RM-5-rad</c:v>
                </c:pt>
              </c:strCache>
            </c:strRef>
          </c:tx>
          <c:spPr>
            <a:ln w="34925"/>
          </c:spPr>
          <c:marker>
            <c:symbol val="none"/>
          </c:marker>
          <c:cat>
            <c:numRef>
              <c:f>Intern!$AH$2:$AH$83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graphs!$BY$9:$BY$90</c:f>
              <c:numCache>
                <c:formatCode>#,##0.00</c:formatCode>
                <c:ptCount val="82"/>
                <c:pt idx="0">
                  <c:v>42.311683327829648</c:v>
                </c:pt>
                <c:pt idx="1">
                  <c:v>41.634696394584374</c:v>
                </c:pt>
                <c:pt idx="2">
                  <c:v>40.303015542504525</c:v>
                </c:pt>
                <c:pt idx="3">
                  <c:v>38.54231270287876</c:v>
                </c:pt>
                <c:pt idx="4">
                  <c:v>36.548006916661137</c:v>
                </c:pt>
                <c:pt idx="5">
                  <c:v>34.417549672984222</c:v>
                </c:pt>
                <c:pt idx="6">
                  <c:v>32.216387465493881</c:v>
                </c:pt>
                <c:pt idx="7">
                  <c:v>29.992945908131034</c:v>
                </c:pt>
                <c:pt idx="8">
                  <c:v>27.784435978772759</c:v>
                </c:pt>
                <c:pt idx="9">
                  <c:v>25.619773303478404</c:v>
                </c:pt>
                <c:pt idx="10">
                  <c:v>23.52132538582547</c:v>
                </c:pt>
                <c:pt idx="11">
                  <c:v>21.506100896100762</c:v>
                </c:pt>
                <c:pt idx="12">
                  <c:v>19.58663984505209</c:v>
                </c:pt>
                <c:pt idx="13">
                  <c:v>17.771726106477395</c:v>
                </c:pt>
                <c:pt idx="14">
                  <c:v>16.066983763338975</c:v>
                </c:pt>
                <c:pt idx="15">
                  <c:v>14.475390224671248</c:v>
                </c:pt>
                <c:pt idx="16">
                  <c:v>12.997724671281137</c:v>
                </c:pt>
                <c:pt idx="17">
                  <c:v>11.632962847078664</c:v>
                </c:pt>
                <c:pt idx="18">
                  <c:v>10.378625178573007</c:v>
                </c:pt>
                <c:pt idx="19">
                  <c:v>9.2310830379311444</c:v>
                </c:pt>
                <c:pt idx="20">
                  <c:v>8.1858268150268643</c:v>
                </c:pt>
                <c:pt idx="21">
                  <c:v>7.2376988711080346</c:v>
                </c:pt>
                <c:pt idx="22">
                  <c:v>6.381094154104435</c:v>
                </c:pt>
                <c:pt idx="23">
                  <c:v>5.6101311167465262</c:v>
                </c:pt>
                <c:pt idx="24">
                  <c:v>4.9187955096093399</c:v>
                </c:pt>
                <c:pt idx="25">
                  <c:v>4.3010595743813465</c:v>
                </c:pt>
                <c:pt idx="26">
                  <c:v>3.7509791122174319</c:v>
                </c:pt>
                <c:pt idx="27">
                  <c:v>3.2627708351819971</c:v>
                </c:pt>
                <c:pt idx="28">
                  <c:v>2.8308723206342146</c:v>
                </c:pt>
                <c:pt idx="29">
                  <c:v>2.3989738060864321</c:v>
                </c:pt>
                <c:pt idx="30">
                  <c:v>1.9670752915386496</c:v>
                </c:pt>
                <c:pt idx="31">
                  <c:v>1.5351767769908671</c:v>
                </c:pt>
                <c:pt idx="32">
                  <c:v>1.1032782624430846</c:v>
                </c:pt>
                <c:pt idx="33">
                  <c:v>0.67137974789530208</c:v>
                </c:pt>
                <c:pt idx="34">
                  <c:v>0.23948123334751958</c:v>
                </c:pt>
                <c:pt idx="35">
                  <c:v>-0.19241728120026291</c:v>
                </c:pt>
                <c:pt idx="36">
                  <c:v>-0.62431579574804541</c:v>
                </c:pt>
                <c:pt idx="37">
                  <c:v>-1.0562143102958279</c:v>
                </c:pt>
                <c:pt idx="38">
                  <c:v>-1.4881128248436104</c:v>
                </c:pt>
                <c:pt idx="39">
                  <c:v>-1.9200113393913929</c:v>
                </c:pt>
                <c:pt idx="40">
                  <c:v>-2.3519098539391754</c:v>
                </c:pt>
                <c:pt idx="41">
                  <c:v>-2.7838083684869579</c:v>
                </c:pt>
                <c:pt idx="42">
                  <c:v>-3.2157068830347404</c:v>
                </c:pt>
                <c:pt idx="43">
                  <c:v>-3.6476053975825229</c:v>
                </c:pt>
                <c:pt idx="44">
                  <c:v>-4.0795039121303054</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dLbls>
          <c:showLegendKey val="0"/>
          <c:showVal val="0"/>
          <c:showCatName val="0"/>
          <c:showSerName val="0"/>
          <c:showPercent val="0"/>
          <c:showBubbleSize val="0"/>
        </c:dLbls>
        <c:smooth val="0"/>
        <c:axId val="520335640"/>
        <c:axId val="520332112"/>
        <c:extLst xmlns:c16r2="http://schemas.microsoft.com/office/drawing/2015/06/chart">
          <c:ext xmlns:c15="http://schemas.microsoft.com/office/drawing/2012/chart" uri="{02D57815-91ED-43cb-92C2-25804820EDAC}">
            <c15:filteredLineSeries>
              <c15:ser>
                <c:idx val="4"/>
                <c:order val="4"/>
                <c:tx>
                  <c:strRef>
                    <c:extLst xmlns:c16r2="http://schemas.microsoft.com/office/drawing/2015/06/chart">
                      <c:ext uri="{02D57815-91ED-43cb-92C2-25804820EDAC}">
                        <c15:formulaRef>
                          <c15:sqref>graphs!$CA$8</c15:sqref>
                        </c15:formulaRef>
                      </c:ext>
                    </c:extLst>
                    <c:strCache>
                      <c:ptCount val="1"/>
                      <c:pt idx="0">
                        <c:v>SPM-R</c:v>
                      </c:pt>
                    </c:strCache>
                  </c:strRef>
                </c:tx>
                <c:spPr>
                  <a:ln w="34925">
                    <a:solidFill>
                      <a:srgbClr val="F79646"/>
                    </a:solidFill>
                  </a:ln>
                </c:spPr>
                <c:marker>
                  <c:symbol val="none"/>
                </c:marker>
                <c:cat>
                  <c:numRef>
                    <c:extLst xmlns:c16r2="http://schemas.microsoft.com/office/drawing/2015/06/chart">
                      <c:ext uri="{02D57815-91ED-43cb-92C2-25804820EDAC}">
                        <c15:formulaRef>
                          <c15:sqref>Intern!$AH$2:$AH$83</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graphs!$CA$9:$CA$90</c15:sqref>
                        </c15:formulaRef>
                      </c:ext>
                    </c:extLst>
                    <c:numCache>
                      <c:formatCode>#,##0.00</c:formatCode>
                      <c:ptCount val="82"/>
                      <c:pt idx="0">
                        <c:v>42.311683327829648</c:v>
                      </c:pt>
                      <c:pt idx="1">
                        <c:v>41.834339829518569</c:v>
                      </c:pt>
                      <c:pt idx="2">
                        <c:v>39.733240975044623</c:v>
                      </c:pt>
                      <c:pt idx="3">
                        <c:v>36.522204869624375</c:v>
                      </c:pt>
                      <c:pt idx="4">
                        <c:v>32.793427399481033</c:v>
                      </c:pt>
                      <c:pt idx="5">
                        <c:v>28.931788391085348</c:v>
                      </c:pt>
                      <c:pt idx="6">
                        <c:v>25.177512457858086</c:v>
                      </c:pt>
                      <c:pt idx="7">
                        <c:v>21.671270172514866</c:v>
                      </c:pt>
                      <c:pt idx="8">
                        <c:v>18.486418119923655</c:v>
                      </c:pt>
                      <c:pt idx="9">
                        <c:v>15.651857785996114</c:v>
                      </c:pt>
                      <c:pt idx="10">
                        <c:v>13.168083660743605</c:v>
                      </c:pt>
                      <c:pt idx="11">
                        <c:v>11.018313333856071</c:v>
                      </c:pt>
                      <c:pt idx="12">
                        <c:v>9.1760886496662266</c:v>
                      </c:pt>
                      <c:pt idx="13">
                        <c:v>7.6103634168143444</c:v>
                      </c:pt>
                      <c:pt idx="14">
                        <c:v>6.2888168284638262</c:v>
                      </c:pt>
                      <c:pt idx="15">
                        <c:v>5.1799279200617256</c:v>
                      </c:pt>
                      <c:pt idx="16">
                        <c:v>4.2541965278203868</c:v>
                      </c:pt>
                      <c:pt idx="17">
                        <c:v>3.4847864207506483</c:v>
                      </c:pt>
                      <c:pt idx="18">
                        <c:v>2.8477861737325547</c:v>
                      </c:pt>
                      <c:pt idx="19">
                        <c:v>2.3222251737788593</c:v>
                      </c:pt>
                      <c:pt idx="20">
                        <c:v>1.8899401284246782</c:v>
                      </c:pt>
                      <c:pt idx="21">
                        <c:v>1.5353572783066616</c:v>
                      </c:pt>
                      <c:pt idx="22">
                        <c:v>1.2452340190892004</c:v>
                      </c:pt>
                      <c:pt idx="23">
                        <c:v>1.0083884535049643</c:v>
                      </c:pt>
                      <c:pt idx="24">
                        <c:v>0.81543478321211005</c:v>
                      </c:pt>
                      <c:pt idx="25">
                        <c:v>0.65853513342908965</c:v>
                      </c:pt>
                      <c:pt idx="26">
                        <c:v>0.53117344366821539</c:v>
                      </c:pt>
                      <c:pt idx="27">
                        <c:v>0.42795377134786117</c:v>
                      </c:pt>
                      <c:pt idx="28">
                        <c:v>0.3444232447171347</c:v>
                      </c:pt>
                      <c:pt idx="29">
                        <c:v>0.27691860830715598</c:v>
                      </c:pt>
                      <c:pt idx="30">
                        <c:v>0.22243457015738544</c:v>
                      </c:pt>
                      <c:pt idx="31">
                        <c:v>0.17851180150263735</c:v>
                      </c:pt>
                      <c:pt idx="32">
                        <c:v>0.14314232650366598</c:v>
                      </c:pt>
                      <c:pt idx="33">
                        <c:v>0.11469008108803347</c:v>
                      </c:pt>
                      <c:pt idx="34">
                        <c:v>9.1824553318918978E-2</c:v>
                      </c:pt>
                      <c:pt idx="35">
                        <c:v>7.3465600361367511E-2</c:v>
                      </c:pt>
                      <c:pt idx="36">
                        <c:v>5.8737740815139106E-2</c:v>
                      </c:pt>
                      <c:pt idx="37">
                        <c:v>4.6932427746303962E-2</c:v>
                      </c:pt>
                      <c:pt idx="38">
                        <c:v>3.7477005992540335E-2</c:v>
                      </c:pt>
                      <c:pt idx="39">
                        <c:v>2.9909240852516977E-2</c:v>
                      </c:pt>
                      <c:pt idx="40">
                        <c:v>2.3856470934856572E-2</c:v>
                      </c:pt>
                      <c:pt idx="41">
                        <c:v>1.9018584686248563E-2</c:v>
                      </c:pt>
                      <c:pt idx="42">
                        <c:v>1.5154148224542634E-2</c:v>
                      </c:pt>
                      <c:pt idx="43">
                        <c:v>1.2069122650795593E-2</c:v>
                      </c:pt>
                      <c:pt idx="44">
                        <c:v>9.6077035150404153E-3</c:v>
                      </c:pt>
                      <c:pt idx="45">
                        <c:v>7.6448952630430445E-3</c:v>
                      </c:pt>
                      <c:pt idx="46">
                        <c:v>6.0805010261560204E-3</c:v>
                      </c:pt>
                      <c:pt idx="47">
                        <c:v>4.8342646991232363E-3</c:v>
                      </c:pt>
                      <c:pt idx="48">
                        <c:v>3.8419494262553113E-3</c:v>
                      </c:pt>
                      <c:pt idx="49">
                        <c:v>3.0521757811871712E-3</c:v>
                      </c:pt>
                      <c:pt idx="50">
                        <c:v>2.4238753176652125E-3</c:v>
                      </c:pt>
                      <c:pt idx="51">
                        <c:v>1.9242418703228478E-3</c:v>
                      </c:pt>
                      <c:pt idx="52">
                        <c:v>1.5270849293665132E-3</c:v>
                      </c:pt>
                      <c:pt idx="53">
                        <c:v>1.211507400511235E-3</c:v>
                      </c:pt>
                      <c:pt idx="54">
                        <c:v>9.6084476937006134E-4</c:v>
                      </c:pt>
                      <c:pt idx="55">
                        <c:v>7.61814689302157E-4</c:v>
                      </c:pt>
                      <c:pt idx="56">
                        <c:v>6.0383578242502933E-4</c:v>
                      </c:pt>
                      <c:pt idx="57">
                        <c:v>4.784823845500471E-4</c:v>
                      </c:pt>
                      <c:pt idx="58">
                        <c:v>3.7904840791133545E-4</c:v>
                      </c:pt>
                      <c:pt idx="59">
                        <c:v>3.0019871513347349E-4</c:v>
                      </c:pt>
                      <c:pt idx="60">
                        <c:v>2.3769062016652581E-4</c:v>
                      </c:pt>
                      <c:pt idx="61">
                        <c:v>1.8815154288200672E-4</c:v>
                      </c:pt>
                      <c:pt idx="62">
                        <c:v>1.4890159613068659E-4</c:v>
                      </c:pt>
                      <c:pt idx="63">
                        <c:v>1.1781210199380822E-4</c:v>
                      </c:pt>
                      <c:pt idx="64">
                        <c:v>9.3192819451234812E-5</c:v>
                      </c:pt>
                      <c:pt idx="65">
                        <c:v>7.3702101592273744E-5</c:v>
                      </c:pt>
                      <c:pt idx="66">
                        <c:v>5.8275354149733865E-5</c:v>
                      </c:pt>
                      <c:pt idx="67">
                        <c:v>4.6068093190151281E-5</c:v>
                      </c:pt>
                      <c:pt idx="68">
                        <c:v>3.6410642515178335E-5</c:v>
                      </c:pt>
                      <c:pt idx="69">
                        <c:v>2.8772106537307176E-5</c:v>
                      </c:pt>
                      <c:pt idx="70">
                        <c:v>2.2731731023758545E-5</c:v>
                      </c:pt>
                      <c:pt idx="71">
                        <c:v>1.7956145504705306E-5</c:v>
                      </c:pt>
                      <c:pt idx="72">
                        <c:v>1.4181286134081569E-5</c:v>
                      </c:pt>
                      <c:pt idx="73">
                        <c:v>1.1198041523564572E-5</c:v>
                      </c:pt>
                      <c:pt idx="74">
                        <c:v>8.8408587273567027E-6</c:v>
                      </c:pt>
                      <c:pt idx="75">
                        <c:v>6.9787019274989334E-6</c:v>
                      </c:pt>
                      <c:pt idx="76">
                        <c:v>5.5078803155863027E-6</c:v>
                      </c:pt>
                      <c:pt idx="77">
                        <c:v>4.3463604906361032E-6</c:v>
                      </c:pt>
                      <c:pt idx="78">
                        <c:v>3.4292574462414513E-6</c:v>
                      </c:pt>
                      <c:pt idx="79">
                        <c:v>2.7052609487227185E-6</c:v>
                      </c:pt>
                      <c:pt idx="80">
                        <c:v>2.1338040491711256E-6</c:v>
                      </c:pt>
                      <c:pt idx="81">
                        <c:v>1.6828202150896504E-6</c:v>
                      </c:pt>
                    </c:numCache>
                  </c:numRef>
                </c:val>
                <c:smooth val="0"/>
              </c15:ser>
            </c15:filteredLineSeries>
          </c:ext>
        </c:extLst>
      </c:lineChart>
      <c:catAx>
        <c:axId val="5203356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520332112"/>
        <c:crosses val="autoZero"/>
        <c:auto val="1"/>
        <c:lblAlgn val="ctr"/>
        <c:lblOffset val="100"/>
        <c:noMultiLvlLbl val="0"/>
      </c:catAx>
      <c:valAx>
        <c:axId val="520332112"/>
        <c:scaling>
          <c:orientation val="minMax"/>
          <c:min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Mrd. t CO</a:t>
                </a:r>
                <a:r>
                  <a:rPr lang="de-DE" baseline="-25000"/>
                  <a:t>2</a:t>
                </a:r>
                <a:endParaRPr lang="de-DE"/>
              </a:p>
            </c:rich>
          </c:tx>
          <c:layout>
            <c:manualLayout>
              <c:xMode val="edge"/>
              <c:yMode val="edge"/>
              <c:x val="1.2124658539381997E-2"/>
              <c:y val="0.47459542585340558"/>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5640"/>
        <c:crosses val="autoZero"/>
        <c:crossBetween val="midCat"/>
      </c:valAx>
      <c:spPr>
        <a:noFill/>
        <a:ln>
          <a:noFill/>
        </a:ln>
        <a:effectLst/>
      </c:spPr>
    </c:plotArea>
    <c:legend>
      <c:legendPos val="tr"/>
      <c:legendEntry>
        <c:idx val="4"/>
        <c:txPr>
          <a:bodyPr rot="0" spcFirstLastPara="1" vertOverflow="ellipsis" vert="horz" wrap="square" anchor="ctr" anchorCtr="1"/>
          <a:lstStyle/>
          <a:p>
            <a:pPr>
              <a:defRPr lang="de-DE" sz="1400" b="0" i="0" u="none" strike="noStrike" kern="1200" baseline="0">
                <a:solidFill>
                  <a:schemeClr val="tx1"/>
                </a:solidFill>
                <a:latin typeface="+mn-lt"/>
                <a:ea typeface="+mn-ea"/>
                <a:cs typeface="+mn-cs"/>
              </a:defRPr>
            </a:pPr>
            <a:endParaRPr lang="de-DE"/>
          </a:p>
        </c:txPr>
      </c:legendEntry>
      <c:layout>
        <c:manualLayout>
          <c:xMode val="edge"/>
          <c:yMode val="edge"/>
          <c:x val="0.62379510411241612"/>
          <c:y val="0.11540049257547692"/>
          <c:w val="0.32328825710110987"/>
          <c:h val="0.3688479335014746"/>
        </c:manualLayout>
      </c:layout>
      <c:overlay val="1"/>
      <c:spPr>
        <a:noFill/>
        <a:ln>
          <a:noFill/>
        </a:ln>
        <a:effectLst/>
      </c:spPr>
      <c:txPr>
        <a:bodyPr rot="0" spcFirstLastPara="1" vertOverflow="ellipsis" vert="horz" wrap="square" anchor="ctr" anchorCtr="1"/>
        <a:lstStyle/>
        <a:p>
          <a:pPr>
            <a:defRPr lang="de-DE" sz="14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Overshoot in Mrd. 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tx>
            <c:strRef>
              <c:f>Intern!$AJ$3</c:f>
              <c:strCache>
                <c:ptCount val="1"/>
                <c:pt idx="0">
                  <c:v>Overshoot</c:v>
                </c:pt>
              </c:strCache>
            </c:strRef>
          </c:tx>
          <c:spPr>
            <a:solidFill>
              <a:schemeClr val="accent1"/>
            </a:solidFill>
            <a:ln>
              <a:noFill/>
            </a:ln>
            <a:effectLst/>
          </c:spPr>
          <c:invertIfNegative val="0"/>
          <c:dLbls>
            <c:dLbl>
              <c:idx val="1"/>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Intern!$AK$2:$AO$2</c:f>
              <c:strCache>
                <c:ptCount val="5"/>
                <c:pt idx="0">
                  <c:v>RM-1-const</c:v>
                </c:pt>
                <c:pt idx="1">
                  <c:v>RM-5-rad</c:v>
                </c:pt>
                <c:pt idx="2">
                  <c:v>RM-3-lin</c:v>
                </c:pt>
                <c:pt idx="3">
                  <c:v>RM-4-quad</c:v>
                </c:pt>
                <c:pt idx="4">
                  <c:v>RM-2-exp</c:v>
                </c:pt>
              </c:strCache>
            </c:strRef>
          </c:cat>
          <c:val>
            <c:numRef>
              <c:f>Intern!$AK$3:$AO$3</c:f>
              <c:numCache>
                <c:formatCode>#,##0</c:formatCode>
                <c:ptCount val="5"/>
                <c:pt idx="0">
                  <c:v>142.75575901885998</c:v>
                </c:pt>
                <c:pt idx="1">
                  <c:v>183.03514003758721</c:v>
                </c:pt>
                <c:pt idx="2">
                  <c:v>206.36126585877378</c:v>
                </c:pt>
                <c:pt idx="3">
                  <c:v>230.46271593687152</c:v>
                </c:pt>
                <c:pt idx="4">
                  <c:v>234.77034012312299</c:v>
                </c:pt>
              </c:numCache>
            </c:numRef>
          </c:val>
        </c:ser>
        <c:dLbls>
          <c:showLegendKey val="0"/>
          <c:showVal val="0"/>
          <c:showCatName val="0"/>
          <c:showSerName val="0"/>
          <c:showPercent val="0"/>
          <c:showBubbleSize val="0"/>
        </c:dLbls>
        <c:gapWidth val="219"/>
        <c:overlap val="-27"/>
        <c:axId val="520336816"/>
        <c:axId val="520332896"/>
      </c:barChart>
      <c:catAx>
        <c:axId val="52033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520332896"/>
        <c:crosses val="autoZero"/>
        <c:auto val="1"/>
        <c:lblAlgn val="ctr"/>
        <c:lblOffset val="100"/>
        <c:noMultiLvlLbl val="0"/>
      </c:catAx>
      <c:valAx>
        <c:axId val="5203328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6816"/>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sz="1400" b="1" i="0" u="none" strike="noStrike" baseline="0">
                <a:solidFill>
                  <a:sysClr val="windowText" lastClr="000000"/>
                </a:solidFill>
                <a:effectLst/>
              </a:rPr>
              <a:t>Reduktion gegenüber dem Referenzjahr </a:t>
            </a:r>
            <a:r>
              <a:rPr lang="de-DE" b="1">
                <a:solidFill>
                  <a:sysClr val="windowText" lastClr="000000"/>
                </a:solidFill>
              </a:rPr>
              <a:t>2010</a:t>
            </a:r>
          </a:p>
        </c:rich>
      </c:tx>
      <c:overlay val="0"/>
      <c:spPr>
        <a:noFill/>
        <a:ln>
          <a:noFill/>
        </a:ln>
        <a:effectLst/>
      </c:spPr>
    </c:title>
    <c:autoTitleDeleted val="0"/>
    <c:plotArea>
      <c:layout/>
      <c:barChart>
        <c:barDir val="col"/>
        <c:grouping val="clustered"/>
        <c:varyColors val="0"/>
        <c:ser>
          <c:idx val="0"/>
          <c:order val="0"/>
          <c:tx>
            <c:strRef>
              <c:f>graphs!$CC$101</c:f>
              <c:strCache>
                <c:ptCount val="1"/>
                <c:pt idx="0">
                  <c:v>2030</c:v>
                </c:pt>
              </c:strCache>
            </c:strRef>
          </c:tx>
          <c:spPr>
            <a:solidFill>
              <a:schemeClr val="accent1"/>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graphs!$CD$100:$CJ$100</c15:sqref>
                  </c15:fullRef>
                </c:ext>
              </c:extLst>
              <c:f>graphs!$CD$100:$CH$100</c:f>
              <c:strCache>
                <c:ptCount val="5"/>
                <c:pt idx="0">
                  <c:v>RM-1 const</c:v>
                </c:pt>
                <c:pt idx="1">
                  <c:v>RM-2 exp</c:v>
                </c:pt>
                <c:pt idx="2">
                  <c:v>RM-3 lin</c:v>
                </c:pt>
                <c:pt idx="3">
                  <c:v>RM-4 quadr</c:v>
                </c:pt>
                <c:pt idx="4">
                  <c:v>RM-5 rad</c:v>
                </c:pt>
              </c:strCache>
            </c:strRef>
          </c:cat>
          <c:val>
            <c:numRef>
              <c:extLst>
                <c:ext xmlns:c15="http://schemas.microsoft.com/office/drawing/2012/chart" uri="{02D57815-91ED-43cb-92C2-25804820EDAC}">
                  <c15:fullRef>
                    <c15:sqref>graphs!$CD$101:$CJ$101</c15:sqref>
                  </c15:fullRef>
                </c:ext>
              </c:extLst>
              <c:f>graphs!$CD$101:$CH$101</c:f>
              <c:numCache>
                <c:formatCode>0%</c:formatCode>
                <c:ptCount val="5"/>
                <c:pt idx="0">
                  <c:v>-0.54518600961554986</c:v>
                </c:pt>
                <c:pt idx="1">
                  <c:v>-0.24875355585808656</c:v>
                </c:pt>
                <c:pt idx="2">
                  <c:v>-0.36008049637205741</c:v>
                </c:pt>
                <c:pt idx="3">
                  <c:v>-0.24987697642033591</c:v>
                </c:pt>
                <c:pt idx="4">
                  <c:v>-0.43737434412975951</c:v>
                </c:pt>
              </c:numCache>
            </c:numRef>
          </c:val>
          <c:extLst xmlns:c16r2="http://schemas.microsoft.com/office/drawing/2015/06/chart">
            <c:ext xmlns:c16="http://schemas.microsoft.com/office/drawing/2014/chart" uri="{C3380CC4-5D6E-409C-BE32-E72D297353CC}">
              <c16:uniqueId val="{00000000-F7E1-4557-9F2A-734E7EDAA09E}"/>
            </c:ext>
          </c:extLst>
        </c:ser>
        <c:ser>
          <c:idx val="1"/>
          <c:order val="1"/>
          <c:tx>
            <c:strRef>
              <c:f>graphs!$CC$102</c:f>
              <c:strCache>
                <c:ptCount val="1"/>
                <c:pt idx="0">
                  <c:v>2050</c:v>
                </c:pt>
              </c:strCache>
            </c:strRef>
          </c:tx>
          <c:spPr>
            <a:solidFill>
              <a:schemeClr val="accent2"/>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graphs!$CD$100:$CJ$100</c15:sqref>
                  </c15:fullRef>
                </c:ext>
              </c:extLst>
              <c:f>graphs!$CD$100:$CH$100</c:f>
              <c:strCache>
                <c:ptCount val="5"/>
                <c:pt idx="0">
                  <c:v>RM-1 const</c:v>
                </c:pt>
                <c:pt idx="1">
                  <c:v>RM-2 exp</c:v>
                </c:pt>
                <c:pt idx="2">
                  <c:v>RM-3 lin</c:v>
                </c:pt>
                <c:pt idx="3">
                  <c:v>RM-4 quadr</c:v>
                </c:pt>
                <c:pt idx="4">
                  <c:v>RM-5 rad</c:v>
                </c:pt>
              </c:strCache>
            </c:strRef>
          </c:cat>
          <c:val>
            <c:numRef>
              <c:extLst>
                <c:ext xmlns:c15="http://schemas.microsoft.com/office/drawing/2012/chart" uri="{02D57815-91ED-43cb-92C2-25804820EDAC}">
                  <c15:fullRef>
                    <c15:sqref>graphs!$CD$102:$CJ$102</c15:sqref>
                  </c15:fullRef>
                </c:ext>
              </c:extLst>
              <c:f>graphs!$CD$102:$CH$102</c:f>
              <c:numCache>
                <c:formatCode>0%</c:formatCode>
                <c:ptCount val="5"/>
                <c:pt idx="0">
                  <c:v>-0.91037950495624631</c:v>
                </c:pt>
                <c:pt idx="1">
                  <c:v>-1.113801270386455</c:v>
                </c:pt>
                <c:pt idx="2">
                  <c:v>-1.0061590474327231</c:v>
                </c:pt>
                <c:pt idx="3">
                  <c:v>-1.1115996552687</c:v>
                </c:pt>
                <c:pt idx="4">
                  <c:v>-0.959837915519691</c:v>
                </c:pt>
              </c:numCache>
            </c:numRef>
          </c:val>
          <c:extLst xmlns:c16r2="http://schemas.microsoft.com/office/drawing/2015/06/chart">
            <c:ext xmlns:c16="http://schemas.microsoft.com/office/drawing/2014/chart" uri="{C3380CC4-5D6E-409C-BE32-E72D297353CC}">
              <c16:uniqueId val="{00000001-F7E1-4557-9F2A-734E7EDAA09E}"/>
            </c:ext>
          </c:extLst>
        </c:ser>
        <c:dLbls>
          <c:showLegendKey val="0"/>
          <c:showVal val="0"/>
          <c:showCatName val="0"/>
          <c:showSerName val="0"/>
          <c:showPercent val="0"/>
          <c:showBubbleSize val="0"/>
        </c:dLbls>
        <c:gapWidth val="219"/>
        <c:overlap val="-27"/>
        <c:axId val="520334072"/>
        <c:axId val="521922912"/>
      </c:barChart>
      <c:catAx>
        <c:axId val="520334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de-DE"/>
          </a:p>
        </c:txPr>
        <c:crossAx val="521922912"/>
        <c:crosses val="autoZero"/>
        <c:auto val="1"/>
        <c:lblAlgn val="ctr"/>
        <c:lblOffset val="100"/>
        <c:noMultiLvlLbl val="0"/>
      </c:catAx>
      <c:valAx>
        <c:axId val="5219229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033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sz="1400" b="1" i="0" u="none" strike="noStrike" baseline="0">
                <a:solidFill>
                  <a:sysClr val="windowText" lastClr="000000"/>
                </a:solidFill>
                <a:effectLst/>
              </a:rPr>
              <a:t>Jährliche globale Reduktionssätze</a:t>
            </a:r>
            <a:endParaRPr lang="de-DE" sz="1400" b="1">
              <a:solidFill>
                <a:sysClr val="windowText" lastClr="000000"/>
              </a:solidFill>
            </a:endParaRPr>
          </a:p>
        </c:rich>
      </c:tx>
      <c:overlay val="0"/>
      <c:spPr>
        <a:noFill/>
        <a:ln>
          <a:noFill/>
        </a:ln>
        <a:effectLst/>
      </c:spPr>
    </c:title>
    <c:autoTitleDeleted val="0"/>
    <c:plotArea>
      <c:layout/>
      <c:lineChart>
        <c:grouping val="standard"/>
        <c:varyColors val="0"/>
        <c:ser>
          <c:idx val="0"/>
          <c:order val="0"/>
          <c:tx>
            <c:strRef>
              <c:f>wp!$T$2</c:f>
              <c:strCache>
                <c:ptCount val="1"/>
                <c:pt idx="0">
                  <c:v>RM-1-const</c:v>
                </c:pt>
              </c:strCache>
            </c:strRef>
          </c:tx>
          <c:spPr>
            <a:ln w="38100" cap="rnd">
              <a:solidFill>
                <a:srgbClr val="4F81BD"/>
              </a:solidFill>
              <a:round/>
            </a:ln>
            <a:effectLst/>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(graphs!$CD$10:$CD$70,graphs!$CD$86)</c15:sqref>
                  </c15:fullRef>
                </c:ext>
              </c:extLst>
              <c:f>graphs!$CD$10:$CD$40</c:f>
              <c:numCache>
                <c:formatCode>0.0%</c:formatCode>
                <c:ptCount val="31"/>
                <c:pt idx="0">
                  <c:v>-7.7676569107411941E-2</c:v>
                </c:pt>
                <c:pt idx="1">
                  <c:v>-7.7676569107411719E-2</c:v>
                </c:pt>
                <c:pt idx="2">
                  <c:v>-7.767656910741183E-2</c:v>
                </c:pt>
                <c:pt idx="3">
                  <c:v>-7.767656910741183E-2</c:v>
                </c:pt>
                <c:pt idx="4">
                  <c:v>-7.767656910741183E-2</c:v>
                </c:pt>
                <c:pt idx="5">
                  <c:v>-7.767656910741183E-2</c:v>
                </c:pt>
                <c:pt idx="6">
                  <c:v>-7.767656910741183E-2</c:v>
                </c:pt>
                <c:pt idx="7">
                  <c:v>-7.767656910741183E-2</c:v>
                </c:pt>
                <c:pt idx="8">
                  <c:v>-7.767656910741183E-2</c:v>
                </c:pt>
                <c:pt idx="9">
                  <c:v>-7.767656910741183E-2</c:v>
                </c:pt>
                <c:pt idx="10">
                  <c:v>-7.767656910741183E-2</c:v>
                </c:pt>
                <c:pt idx="11">
                  <c:v>-7.7676569107411719E-2</c:v>
                </c:pt>
                <c:pt idx="12">
                  <c:v>-7.767656910741183E-2</c:v>
                </c:pt>
                <c:pt idx="13">
                  <c:v>-7.767656910741183E-2</c:v>
                </c:pt>
                <c:pt idx="14">
                  <c:v>-7.767656910741183E-2</c:v>
                </c:pt>
                <c:pt idx="15">
                  <c:v>-7.767656910741183E-2</c:v>
                </c:pt>
                <c:pt idx="16">
                  <c:v>-7.767656910741183E-2</c:v>
                </c:pt>
                <c:pt idx="17">
                  <c:v>-7.767656910741183E-2</c:v>
                </c:pt>
                <c:pt idx="18">
                  <c:v>-7.767656910741183E-2</c:v>
                </c:pt>
                <c:pt idx="19">
                  <c:v>-7.767656910741183E-2</c:v>
                </c:pt>
                <c:pt idx="20">
                  <c:v>-7.767656910741183E-2</c:v>
                </c:pt>
                <c:pt idx="21">
                  <c:v>-7.767656910741183E-2</c:v>
                </c:pt>
                <c:pt idx="22">
                  <c:v>-7.767656910741183E-2</c:v>
                </c:pt>
                <c:pt idx="23">
                  <c:v>-7.767656910741183E-2</c:v>
                </c:pt>
                <c:pt idx="24">
                  <c:v>-7.7676569107411719E-2</c:v>
                </c:pt>
                <c:pt idx="25">
                  <c:v>-7.767656910741183E-2</c:v>
                </c:pt>
                <c:pt idx="26">
                  <c:v>-7.7676569107411941E-2</c:v>
                </c:pt>
                <c:pt idx="27">
                  <c:v>-7.767656910741183E-2</c:v>
                </c:pt>
                <c:pt idx="28">
                  <c:v>-7.7676569107411719E-2</c:v>
                </c:pt>
                <c:pt idx="29">
                  <c:v>-7.767656910741183E-2</c:v>
                </c:pt>
                <c:pt idx="30">
                  <c:v>#N/A</c:v>
                </c:pt>
              </c:numCache>
            </c:numRef>
          </c:val>
          <c:smooth val="0"/>
          <c:extLst xmlns:c16r2="http://schemas.microsoft.com/office/drawing/2015/06/chart">
            <c:ext xmlns:c16="http://schemas.microsoft.com/office/drawing/2014/chart" uri="{C3380CC4-5D6E-409C-BE32-E72D297353CC}">
              <c16:uniqueId val="{00000000-5148-4F83-A587-64FB9CF6D363}"/>
            </c:ext>
          </c:extLst>
        </c:ser>
        <c:ser>
          <c:idx val="1"/>
          <c:order val="1"/>
          <c:tx>
            <c:strRef>
              <c:f>wp!$Y$2</c:f>
              <c:strCache>
                <c:ptCount val="1"/>
                <c:pt idx="0">
                  <c:v>RM-2-exp</c:v>
                </c:pt>
              </c:strCache>
            </c:strRef>
          </c:tx>
          <c:spPr>
            <a:ln w="38100" cap="rnd">
              <a:solidFill>
                <a:srgbClr val="C0504D"/>
              </a:solidFill>
              <a:round/>
            </a:ln>
            <a:effectLst/>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(graphs!$CE$10:$CE$70,graphs!$CE$86)</c15:sqref>
                  </c15:fullRef>
                </c:ext>
              </c:extLst>
              <c:f>graphs!$CE$10:$CE$40</c:f>
              <c:numCache>
                <c:formatCode>0.0%</c:formatCode>
                <c:ptCount val="31"/>
                <c:pt idx="0">
                  <c:v>-1.6000000000000014E-2</c:v>
                </c:pt>
                <c:pt idx="1">
                  <c:v>-1.8324991236321586E-2</c:v>
                </c:pt>
                <c:pt idx="2">
                  <c:v>-2.0987831488203934E-2</c:v>
                </c:pt>
                <c:pt idx="3">
                  <c:v>-2.4037614255670969E-2</c:v>
                </c:pt>
                <c:pt idx="4">
                  <c:v>-2.7530566911077914E-2</c:v>
                </c:pt>
                <c:pt idx="5">
                  <c:v>-3.1531087336029384E-2</c:v>
                </c:pt>
                <c:pt idx="6">
                  <c:v>-3.611293119402692E-2</c:v>
                </c:pt>
                <c:pt idx="7">
                  <c:v>-4.1360571728026652E-2</c:v>
                </c:pt>
                <c:pt idx="8">
                  <c:v>-4.7370757152833676E-2</c:v>
                </c:pt>
                <c:pt idx="9">
                  <c:v>-5.4254294355224886E-2</c:v>
                </c:pt>
                <c:pt idx="10">
                  <c:v>-6.2138091787019345E-2</c:v>
                </c:pt>
                <c:pt idx="11">
                  <c:v>-7.116749921492993E-2</c:v>
                </c:pt>
                <c:pt idx="12">
                  <c:v>-8.1508987464032234E-2</c:v>
                </c:pt>
                <c:pt idx="13">
                  <c:v>-9.3353217559989932E-2</c:v>
                </c:pt>
                <c:pt idx="14">
                  <c:v>-0.10691855585432763</c:v>
                </c:pt>
                <c:pt idx="15">
                  <c:v>-0.12245509993941972</c:v>
                </c:pt>
                <c:pt idx="16">
                  <c:v>-0.14024928957704708</c:v>
                </c:pt>
                <c:pt idx="17">
                  <c:v>-0.16062918764998257</c:v>
                </c:pt>
                <c:pt idx="18">
                  <c:v>-0.18397052849896189</c:v>
                </c:pt>
                <c:pt idx="19">
                  <c:v>-0.21070364515530837</c:v>
                </c:pt>
                <c:pt idx="20">
                  <c:v>-0.24132140318325279</c:v>
                </c:pt>
                <c:pt idx="21">
                  <c:v>-0.27638828740437138</c:v>
                </c:pt>
                <c:pt idx="22">
                  <c:v>-0.31655080903169042</c:v>
                </c:pt>
                <c:pt idx="23">
                  <c:v>-0.36254942508476518</c:v>
                </c:pt>
                <c:pt idx="24">
                  <c:v>#N/A</c:v>
                </c:pt>
                <c:pt idx="25">
                  <c:v>#N/A</c:v>
                </c:pt>
                <c:pt idx="26">
                  <c:v>#N/A</c:v>
                </c:pt>
                <c:pt idx="27">
                  <c:v>#N/A</c:v>
                </c:pt>
                <c:pt idx="28">
                  <c:v>#N/A</c:v>
                </c:pt>
                <c:pt idx="29">
                  <c:v>#N/A</c:v>
                </c:pt>
                <c:pt idx="30">
                  <c:v>#N/A</c:v>
                </c:pt>
              </c:numCache>
            </c:numRef>
          </c:val>
          <c:smooth val="0"/>
          <c:extLst xmlns:c16r2="http://schemas.microsoft.com/office/drawing/2015/06/chart" xmlns:c15="http://schemas.microsoft.com/office/drawing/2012/chart">
            <c:ext xmlns:c16="http://schemas.microsoft.com/office/drawing/2014/chart" uri="{C3380CC4-5D6E-409C-BE32-E72D297353CC}">
              <c16:uniqueId val="{00000001-5148-4F83-A587-64FB9CF6D363}"/>
            </c:ext>
          </c:extLst>
        </c:ser>
        <c:ser>
          <c:idx val="2"/>
          <c:order val="2"/>
          <c:tx>
            <c:strRef>
              <c:f>wp!$V$2</c:f>
              <c:strCache>
                <c:ptCount val="1"/>
                <c:pt idx="0">
                  <c:v>RM-3-lin</c:v>
                </c:pt>
              </c:strCache>
            </c:strRef>
          </c:tx>
          <c:spPr>
            <a:ln w="38100" cap="rnd">
              <a:solidFill>
                <a:srgbClr val="9BBB59"/>
              </a:solidFill>
              <a:round/>
            </a:ln>
            <a:effectLst/>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(graphs!$CF$10:$CF$70,graphs!$CF$86)</c15:sqref>
                  </c15:fullRef>
                </c:ext>
              </c:extLst>
              <c:f>graphs!$CF$10:$CF$40</c:f>
              <c:numCache>
                <c:formatCode>0.0%</c:formatCode>
                <c:ptCount val="31"/>
                <c:pt idx="0">
                  <c:v>-1.6000000000000014E-2</c:v>
                </c:pt>
                <c:pt idx="1">
                  <c:v>-2.2475423443837461E-2</c:v>
                </c:pt>
                <c:pt idx="2">
                  <c:v>-2.8950846887674575E-2</c:v>
                </c:pt>
                <c:pt idx="3">
                  <c:v>-3.5426270331512133E-2</c:v>
                </c:pt>
                <c:pt idx="4">
                  <c:v>-4.1901693775349358E-2</c:v>
                </c:pt>
                <c:pt idx="5">
                  <c:v>-4.8377117219186694E-2</c:v>
                </c:pt>
                <c:pt idx="6">
                  <c:v>-5.4852540663024141E-2</c:v>
                </c:pt>
                <c:pt idx="7">
                  <c:v>-6.1327964106861588E-2</c:v>
                </c:pt>
                <c:pt idx="8">
                  <c:v>-6.7803387550698924E-2</c:v>
                </c:pt>
                <c:pt idx="9">
                  <c:v>-7.427881099453626E-2</c:v>
                </c:pt>
                <c:pt idx="10">
                  <c:v>-8.0754234438373595E-2</c:v>
                </c:pt>
                <c:pt idx="11">
                  <c:v>-8.7229657882211042E-2</c:v>
                </c:pt>
                <c:pt idx="12">
                  <c:v>-9.3705081326048489E-2</c:v>
                </c:pt>
                <c:pt idx="13">
                  <c:v>-0.10018050476988583</c:v>
                </c:pt>
                <c:pt idx="14">
                  <c:v>-0.10665592821372305</c:v>
                </c:pt>
                <c:pt idx="15">
                  <c:v>-0.1131313516575605</c:v>
                </c:pt>
                <c:pt idx="16">
                  <c:v>-0.11960677510139783</c:v>
                </c:pt>
                <c:pt idx="17">
                  <c:v>-0.12608219854523517</c:v>
                </c:pt>
                <c:pt idx="18">
                  <c:v>-0.1325576219890725</c:v>
                </c:pt>
                <c:pt idx="19">
                  <c:v>-0.13903304543290984</c:v>
                </c:pt>
                <c:pt idx="20">
                  <c:v>-0.14550846887674729</c:v>
                </c:pt>
                <c:pt idx="21">
                  <c:v>-0.15198389232058473</c:v>
                </c:pt>
                <c:pt idx="22">
                  <c:v>-0.15845931576442196</c:v>
                </c:pt>
                <c:pt idx="23">
                  <c:v>-0.16493473920825952</c:v>
                </c:pt>
                <c:pt idx="24">
                  <c:v>-0.17141016265209674</c:v>
                </c:pt>
                <c:pt idx="25">
                  <c:v>-0.17788558609593408</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2-5148-4F83-A587-64FB9CF6D363}"/>
            </c:ext>
          </c:extLst>
        </c:ser>
        <c:ser>
          <c:idx val="3"/>
          <c:order val="3"/>
          <c:tx>
            <c:strRef>
              <c:f>wp!$X$2</c:f>
              <c:strCache>
                <c:ptCount val="1"/>
                <c:pt idx="0">
                  <c:v>RM-4-quad</c:v>
                </c:pt>
              </c:strCache>
            </c:strRef>
          </c:tx>
          <c:spPr>
            <a:ln w="38100" cap="rnd">
              <a:solidFill>
                <a:srgbClr val="8064A2"/>
              </a:solidFill>
              <a:round/>
            </a:ln>
            <a:effectLst/>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(graphs!$CG$10:$CG$70,graphs!$CG$86)</c15:sqref>
                  </c15:fullRef>
                </c:ext>
              </c:extLst>
              <c:f>graphs!$CG$10:$CG$40</c:f>
              <c:numCache>
                <c:formatCode>0.0%</c:formatCode>
                <c:ptCount val="31"/>
                <c:pt idx="0">
                  <c:v>-1.6000000000000014E-2</c:v>
                </c:pt>
                <c:pt idx="1">
                  <c:v>-1.6531309630515523E-2</c:v>
                </c:pt>
                <c:pt idx="2">
                  <c:v>-1.812523852206227E-2</c:v>
                </c:pt>
                <c:pt idx="3">
                  <c:v>-2.0781786674640479E-2</c:v>
                </c:pt>
                <c:pt idx="4">
                  <c:v>-2.4500954088249705E-2</c:v>
                </c:pt>
                <c:pt idx="5">
                  <c:v>-2.9282740762889947E-2</c:v>
                </c:pt>
                <c:pt idx="6">
                  <c:v>-3.5127146698561651E-2</c:v>
                </c:pt>
                <c:pt idx="7">
                  <c:v>-4.2034171895264705E-2</c:v>
                </c:pt>
                <c:pt idx="8">
                  <c:v>-5.0003816352998665E-2</c:v>
                </c:pt>
                <c:pt idx="9">
                  <c:v>-5.9036080071763863E-2</c:v>
                </c:pt>
                <c:pt idx="10">
                  <c:v>-6.9130963051560301E-2</c:v>
                </c:pt>
                <c:pt idx="11">
                  <c:v>-8.0288465292387978E-2</c:v>
                </c:pt>
                <c:pt idx="12">
                  <c:v>-9.2508586794246783E-2</c:v>
                </c:pt>
                <c:pt idx="13">
                  <c:v>-0.10579132755713683</c:v>
                </c:pt>
                <c:pt idx="14">
                  <c:v>-0.12013668758105822</c:v>
                </c:pt>
                <c:pt idx="15">
                  <c:v>-0.13554466686601063</c:v>
                </c:pt>
                <c:pt idx="16">
                  <c:v>-0.15201526541199439</c:v>
                </c:pt>
                <c:pt idx="17">
                  <c:v>-0.16954848321900928</c:v>
                </c:pt>
                <c:pt idx="18">
                  <c:v>-0.1881443202870553</c:v>
                </c:pt>
                <c:pt idx="19">
                  <c:v>-0.20780277661613267</c:v>
                </c:pt>
                <c:pt idx="20">
                  <c:v>-0.22852385220624116</c:v>
                </c:pt>
                <c:pt idx="21">
                  <c:v>-0.25030754705738079</c:v>
                </c:pt>
                <c:pt idx="22">
                  <c:v>-0.27315386116955187</c:v>
                </c:pt>
                <c:pt idx="23">
                  <c:v>-0.29706279454275397</c:v>
                </c:pt>
                <c:pt idx="24">
                  <c:v>#N/A</c:v>
                </c:pt>
                <c:pt idx="25">
                  <c:v>#N/A</c:v>
                </c:pt>
                <c:pt idx="26">
                  <c:v>#N/A</c:v>
                </c:pt>
                <c:pt idx="27">
                  <c:v>#N/A</c:v>
                </c:pt>
                <c:pt idx="28">
                  <c:v>#N/A</c:v>
                </c:pt>
                <c:pt idx="29">
                  <c:v>#N/A</c:v>
                </c:pt>
                <c:pt idx="30">
                  <c:v>#N/A</c:v>
                </c:pt>
              </c:numCache>
            </c:numRef>
          </c:val>
          <c:smooth val="0"/>
          <c:extLst xmlns:c16r2="http://schemas.microsoft.com/office/drawing/2015/06/chart">
            <c:ext xmlns:c16="http://schemas.microsoft.com/office/drawing/2014/chart" uri="{C3380CC4-5D6E-409C-BE32-E72D297353CC}">
              <c16:uniqueId val="{00000003-5148-4F83-A587-64FB9CF6D363}"/>
            </c:ext>
          </c:extLst>
        </c:ser>
        <c:ser>
          <c:idx val="5"/>
          <c:order val="5"/>
          <c:tx>
            <c:strRef>
              <c:f>wp!$U$2</c:f>
              <c:strCache>
                <c:ptCount val="1"/>
                <c:pt idx="0">
                  <c:v>RM-5-rad</c:v>
                </c:pt>
              </c:strCache>
            </c:strRef>
          </c:tx>
          <c:spPr>
            <a:ln w="34925"/>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graphs!$CH$10:$CH$40</c15:sqref>
                  </c15:fullRef>
                </c:ext>
              </c:extLst>
              <c:f>graphs!$CH$10:$CH$40</c:f>
              <c:numCache>
                <c:formatCode>0.0%</c:formatCode>
                <c:ptCount val="31"/>
                <c:pt idx="0">
                  <c:v>-1.6000000000000014E-2</c:v>
                </c:pt>
                <c:pt idx="1">
                  <c:v>-3.1984882019052474E-2</c:v>
                </c:pt>
                <c:pt idx="2">
                  <c:v>-4.3686627809993106E-2</c:v>
                </c:pt>
                <c:pt idx="3">
                  <c:v>-5.1743282806915425E-2</c:v>
                </c:pt>
                <c:pt idx="4">
                  <c:v>-5.8292022559120804E-2</c:v>
                </c:pt>
                <c:pt idx="5">
                  <c:v>-6.3954646057157505E-2</c:v>
                </c:pt>
                <c:pt idx="6">
                  <c:v>-6.9015855975295692E-2</c:v>
                </c:pt>
                <c:pt idx="7">
                  <c:v>-7.3634311751936021E-2</c:v>
                </c:pt>
                <c:pt idx="8">
                  <c:v>-7.7909181850880582E-2</c:v>
                </c:pt>
                <c:pt idx="9">
                  <c:v>-8.1907356977589885E-2</c:v>
                </c:pt>
                <c:pt idx="10">
                  <c:v>-8.567648534547001E-2</c:v>
                </c:pt>
                <c:pt idx="11">
                  <c:v>-8.9251931827246556E-2</c:v>
                </c:pt>
                <c:pt idx="12">
                  <c:v>-9.2660801083406463E-2</c:v>
                </c:pt>
                <c:pt idx="13">
                  <c:v>-9.5924410095262536E-2</c:v>
                </c:pt>
                <c:pt idx="14">
                  <c:v>-9.9059883429979179E-2</c:v>
                </c:pt>
                <c:pt idx="15">
                  <c:v>-0.10208122409519849</c:v>
                </c:pt>
                <c:pt idx="16">
                  <c:v>-0.10500005644972277</c:v>
                </c:pt>
                <c:pt idx="17">
                  <c:v>-0.10782615615596625</c:v>
                </c:pt>
                <c:pt idx="18">
                  <c:v>-0.11056783734814879</c:v>
                </c:pt>
                <c:pt idx="19">
                  <c:v>-0.11323224139673016</c:v>
                </c:pt>
                <c:pt idx="20">
                  <c:v>-0.11582555621361723</c:v>
                </c:pt>
                <c:pt idx="21">
                  <c:v>-0.11835318548869944</c:v>
                </c:pt>
                <c:pt idx="22">
                  <c:v>-0.12081988115815712</c:v>
                </c:pt>
                <c:pt idx="23">
                  <c:v>-0.12322984842074625</c:v>
                </c:pt>
                <c:pt idx="24">
                  <c:v>-0.12558682995078507</c:v>
                </c:pt>
                <c:pt idx="25">
                  <c:v>-0.12789417413336734</c:v>
                </c:pt>
                <c:pt idx="26">
                  <c:v>-0.13015489087776477</c:v>
                </c:pt>
                <c:pt idx="27">
                  <c:v>-0.1323716976658863</c:v>
                </c:pt>
                <c:pt idx="28">
                  <c:v>#N/A</c:v>
                </c:pt>
                <c:pt idx="29">
                  <c:v>#N/A</c:v>
                </c:pt>
                <c:pt idx="30">
                  <c:v>#N/A</c:v>
                </c:pt>
              </c:numCache>
            </c:numRef>
          </c:val>
          <c:smooth val="0"/>
        </c:ser>
        <c:ser>
          <c:idx val="6"/>
          <c:order val="6"/>
          <c:tx>
            <c:strRef>
              <c:f>wp!$W$2</c:f>
              <c:strCache>
                <c:ptCount val="1"/>
                <c:pt idx="0">
                  <c:v>RM-6-abs</c:v>
                </c:pt>
              </c:strCache>
            </c:strRef>
          </c:tx>
          <c:spPr>
            <a:ln w="31750">
              <a:solidFill>
                <a:sysClr val="windowText" lastClr="000000">
                  <a:lumMod val="50000"/>
                  <a:lumOff val="50000"/>
                </a:sysClr>
              </a:solidFill>
            </a:ln>
          </c:spPr>
          <c:marker>
            <c:symbol val="none"/>
          </c:marker>
          <c:cat>
            <c:numRef>
              <c:extLst>
                <c:ext xmlns:c15="http://schemas.microsoft.com/office/drawing/2012/chart" uri="{02D57815-91ED-43cb-92C2-25804820EDAC}">
                  <c15:fullRef>
                    <c15:sqref>wp!$P$3:$P$33</c15:sqref>
                  </c15:fullRef>
                </c:ext>
              </c:extLst>
              <c:f>wp!$P$3:$P$33</c:f>
              <c:numCache>
                <c:formatCode>General</c:formatCode>
                <c:ptCount val="31"/>
                <c:pt idx="0">
                  <c:v>2020</c:v>
                </c:pt>
                <c:pt idx="10">
                  <c:v>2030</c:v>
                </c:pt>
                <c:pt idx="20">
                  <c:v>2040</c:v>
                </c:pt>
                <c:pt idx="30">
                  <c:v>2050</c:v>
                </c:pt>
              </c:numCache>
            </c:numRef>
          </c:cat>
          <c:val>
            <c:numRef>
              <c:extLst>
                <c:ext xmlns:c15="http://schemas.microsoft.com/office/drawing/2012/chart" uri="{02D57815-91ED-43cb-92C2-25804820EDAC}">
                  <c15:fullRef>
                    <c15:sqref>graphs!$CI$10:$CI$90</c15:sqref>
                  </c15:fullRef>
                </c:ext>
              </c:extLst>
              <c:f>graphs!$CI$10:$CI$40</c:f>
              <c:numCache>
                <c:formatCode>0.0%</c:formatCode>
                <c:ptCount val="31"/>
                <c:pt idx="0">
                  <c:v>-3.6144907258855219E-2</c:v>
                </c:pt>
                <c:pt idx="1">
                  <c:v>-3.750035407922292E-2</c:v>
                </c:pt>
                <c:pt idx="2">
                  <c:v>-3.8961421168470234E-2</c:v>
                </c:pt>
                <c:pt idx="3">
                  <c:v>-4.0540954366099613E-2</c:v>
                </c:pt>
                <c:pt idx="4">
                  <c:v>-4.2253970662515128E-2</c:v>
                </c:pt>
                <c:pt idx="5">
                  <c:v>-4.411813713468915E-2</c:v>
                </c:pt>
                <c:pt idx="6">
                  <c:v>-4.6154382511707448E-2</c:v>
                </c:pt>
                <c:pt idx="7">
                  <c:v>-4.8387686293766441E-2</c:v>
                </c:pt>
                <c:pt idx="8">
                  <c:v>-5.0848108622419397E-2</c:v>
                </c:pt>
                <c:pt idx="9">
                  <c:v>-5.3572151185011574E-2</c:v>
                </c:pt>
                <c:pt idx="10">
                  <c:v>-5.6604580319660536E-2</c:v>
                </c:pt>
                <c:pt idx="11">
                  <c:v>-6.0000906447945757E-2</c:v>
                </c:pt>
                <c:pt idx="12">
                  <c:v>-6.3830813092824679E-2</c:v>
                </c:pt>
                <c:pt idx="13">
                  <c:v>-6.8182988700688507E-2</c:v>
                </c:pt>
                <c:pt idx="14">
                  <c:v>-7.3172079790231659E-2</c:v>
                </c:pt>
                <c:pt idx="15">
                  <c:v>-7.8948937763625771E-2</c:v>
                </c:pt>
                <c:pt idx="16">
                  <c:v>-8.5716135620029998E-2</c:v>
                </c:pt>
                <c:pt idx="17">
                  <c:v>-9.3752213026486397E-2</c:v>
                </c:pt>
                <c:pt idx="18">
                  <c:v>-0.10345097044548857</c:v>
                </c:pt>
                <c:pt idx="19">
                  <c:v>-0.11538796767968462</c:v>
                </c:pt>
                <c:pt idx="20">
                  <c:v>-0.13043906646513148</c:v>
                </c:pt>
                <c:pt idx="21">
                  <c:v>-0.15000566542804672</c:v>
                </c:pt>
                <c:pt idx="22">
                  <c:v>-0.17647842971046102</c:v>
                </c:pt>
                <c:pt idx="23">
                  <c:v>-0.21429727657092656</c:v>
                </c:pt>
                <c:pt idx="24">
                  <c:v>-0.27274600199380816</c:v>
                </c:pt>
                <c:pt idx="25">
                  <c:v>-0.37503541093147208</c:v>
                </c:pt>
                <c:pt idx="26">
                  <c:v>#N/A</c:v>
                </c:pt>
                <c:pt idx="27">
                  <c:v>#N/A</c:v>
                </c:pt>
                <c:pt idx="28">
                  <c:v>#N/A</c:v>
                </c:pt>
                <c:pt idx="29">
                  <c:v>#N/A</c:v>
                </c:pt>
                <c:pt idx="30">
                  <c:v>#N/A</c:v>
                </c:pt>
              </c:numCache>
            </c:numRef>
          </c:val>
          <c:smooth val="0"/>
        </c:ser>
        <c:dLbls>
          <c:showLegendKey val="0"/>
          <c:showVal val="0"/>
          <c:showCatName val="0"/>
          <c:showSerName val="0"/>
          <c:showPercent val="0"/>
          <c:showBubbleSize val="0"/>
        </c:dLbls>
        <c:smooth val="0"/>
        <c:axId val="521923696"/>
        <c:axId val="521925656"/>
        <c:extLst xmlns:c16r2="http://schemas.microsoft.com/office/drawing/2015/06/chart">
          <c:ext xmlns:c15="http://schemas.microsoft.com/office/drawing/2012/chart" uri="{02D57815-91ED-43cb-92C2-25804820EDAC}">
            <c15:filteredLineSeries>
              <c15:ser>
                <c:idx val="4"/>
                <c:order val="4"/>
                <c:tx>
                  <c:strRef>
                    <c:extLst xmlns:c16r2="http://schemas.microsoft.com/office/drawing/2015/06/chart">
                      <c:ext uri="{02D57815-91ED-43cb-92C2-25804820EDAC}">
                        <c15:formulaRef>
                          <c15:sqref>graphs!$CJ$9</c15:sqref>
                        </c15:formulaRef>
                      </c:ext>
                    </c:extLst>
                    <c:strCache>
                      <c:ptCount val="1"/>
                      <c:pt idx="0">
                        <c:v>SPM-R</c:v>
                      </c:pt>
                    </c:strCache>
                  </c:strRef>
                </c:tx>
                <c:spPr>
                  <a:ln w="38100">
                    <a:solidFill>
                      <a:srgbClr val="F79646"/>
                    </a:solidFill>
                  </a:ln>
                </c:spPr>
                <c:marker>
                  <c:symbol val="none"/>
                </c:marker>
                <c:cat>
                  <c:numRef>
                    <c:extLst>
                      <c:ext uri="{02D57815-91ED-43cb-92C2-25804820EDAC}">
                        <c15:fullRef>
                          <c15:sqref>wp!$P$3:$P$33</c15:sqref>
                        </c15:fullRef>
                        <c15:formulaRef>
                          <c15:sqref>wp!$P$3:$P$33</c15:sqref>
                        </c15:formulaRef>
                      </c:ext>
                    </c:extLst>
                    <c:numCache>
                      <c:formatCode>General</c:formatCode>
                      <c:ptCount val="31"/>
                      <c:pt idx="0">
                        <c:v>2020</c:v>
                      </c:pt>
                      <c:pt idx="10">
                        <c:v>2030</c:v>
                      </c:pt>
                      <c:pt idx="20">
                        <c:v>2040</c:v>
                      </c:pt>
                      <c:pt idx="30">
                        <c:v>2050</c:v>
                      </c:pt>
                    </c:numCache>
                  </c:numRef>
                </c:cat>
                <c:val>
                  <c:numRef>
                    <c:extLst>
                      <c:ext uri="{02D57815-91ED-43cb-92C2-25804820EDAC}">
                        <c15:fullRef>
                          <c15:sqref>graphs!$CJ$10:$CJ$90</c15:sqref>
                        </c15:fullRef>
                        <c15:formulaRef>
                          <c15:sqref>graphs!$CJ$10:$CJ$40</c15:sqref>
                        </c15:formulaRef>
                      </c:ext>
                    </c:extLst>
                    <c:numCache>
                      <c:formatCode>0.0%</c:formatCode>
                      <c:ptCount val="31"/>
                      <c:pt idx="0">
                        <c:v>-1.1281600276042858E-2</c:v>
                      </c:pt>
                      <c:pt idx="1">
                        <c:v>-5.0224262245711304E-2</c:v>
                      </c:pt>
                      <c:pt idx="2">
                        <c:v>-8.0814854933102809E-2</c:v>
                      </c:pt>
                      <c:pt idx="3">
                        <c:v>-0.10209617637966262</c:v>
                      </c:pt>
                      <c:pt idx="4">
                        <c:v>-0.11775649313364533</c:v>
                      </c:pt>
                      <c:pt idx="5">
                        <c:v>-0.1297630095477974</c:v>
                      </c:pt>
                      <c:pt idx="6">
                        <c:v>-0.13926086984216324</c:v>
                      </c:pt>
                      <c:pt idx="7">
                        <c:v>-0.146961946726615</c:v>
                      </c:pt>
                      <c:pt idx="8">
                        <c:v>-0.15333204710287318</c:v>
                      </c:pt>
                      <c:pt idx="9">
                        <c:v>-0.15868877415144733</c:v>
                      </c:pt>
                      <c:pt idx="10">
                        <c:v>-0.16325612612079476</c:v>
                      </c:pt>
                      <c:pt idx="11">
                        <c:v>-0.16719661425213095</c:v>
                      </c:pt>
                      <c:pt idx="12">
                        <c:v>-0.17063100550023935</c:v>
                      </c:pt>
                      <c:pt idx="13">
                        <c:v>-0.17365091730451299</c:v>
                      </c:pt>
                      <c:pt idx="14">
                        <c:v>-0.17632711186357919</c:v>
                      </c:pt>
                      <c:pt idx="15">
                        <c:v>-0.17871511081380209</c:v>
                      </c:pt>
                      <c:pt idx="16">
                        <c:v>-0.18085908867589184</c:v>
                      </c:pt>
                      <c:pt idx="17">
                        <c:v>-0.18279463074838287</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15:ser>
            </c15:filteredLineSeries>
          </c:ext>
        </c:extLst>
      </c:lineChart>
      <c:catAx>
        <c:axId val="521923696"/>
        <c:scaling>
          <c:orientation val="minMax"/>
        </c:scaling>
        <c:delete val="0"/>
        <c:axPos val="b"/>
        <c:numFmt formatCode="General" sourceLinked="1"/>
        <c:majorTickMark val="out"/>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1925656"/>
        <c:crosses val="autoZero"/>
        <c:auto val="1"/>
        <c:lblAlgn val="ctr"/>
        <c:lblOffset val="100"/>
        <c:noMultiLvlLbl val="0"/>
      </c:catAx>
      <c:valAx>
        <c:axId val="521925656"/>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1923696"/>
        <c:crosses val="autoZero"/>
        <c:crossBetween val="midCat"/>
        <c:majorUnit val="2.5000000000000005E-2"/>
      </c:valAx>
      <c:spPr>
        <a:noFill/>
        <a:ln>
          <a:noFill/>
        </a:ln>
        <a:effectLst/>
      </c:spPr>
    </c:plotArea>
    <c:legend>
      <c:legendPos val="r"/>
      <c:layout>
        <c:manualLayout>
          <c:xMode val="edge"/>
          <c:yMode val="edge"/>
          <c:x val="8.3407476445125528E-2"/>
          <c:y val="0.59123026953953373"/>
          <c:w val="0.24222807777968169"/>
          <c:h val="0.36706142764206573"/>
        </c:manualLayout>
      </c:layout>
      <c:overlay val="1"/>
      <c:txPr>
        <a:bodyPr/>
        <a:lstStyle/>
        <a:p>
          <a:pPr>
            <a:defRPr sz="1400"/>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b="1">
                <a:solidFill>
                  <a:sysClr val="windowText" lastClr="000000"/>
                </a:solidFill>
              </a:rPr>
              <a:t>Globale Emissionspfade: 420 Mrd. t 2018</a:t>
            </a:r>
            <a:r>
              <a:rPr lang="de-DE" b="1" baseline="0">
                <a:solidFill>
                  <a:sysClr val="windowText" lastClr="000000"/>
                </a:solidFill>
              </a:rPr>
              <a:t> - 2100</a:t>
            </a:r>
            <a:endParaRPr lang="de-DE" b="1">
              <a:solidFill>
                <a:sysClr val="windowText" lastClr="000000"/>
              </a:solidFill>
            </a:endParaRPr>
          </a:p>
        </c:rich>
      </c:tx>
      <c:overlay val="0"/>
      <c:spPr>
        <a:noFill/>
        <a:ln>
          <a:noFill/>
        </a:ln>
        <a:effectLst/>
      </c:spPr>
    </c:title>
    <c:autoTitleDeleted val="0"/>
    <c:plotArea>
      <c:layout/>
      <c:lineChart>
        <c:grouping val="standard"/>
        <c:varyColors val="0"/>
        <c:ser>
          <c:idx val="0"/>
          <c:order val="0"/>
          <c:tx>
            <c:strRef>
              <c:f>wp!$T$2</c:f>
              <c:strCache>
                <c:ptCount val="1"/>
                <c:pt idx="0">
                  <c:v>RM-1-const</c:v>
                </c:pt>
              </c:strCache>
            </c:strRef>
          </c:tx>
          <c:spPr>
            <a:ln w="34925" cap="rnd">
              <a:solidFill>
                <a:srgbClr val="4F81BD"/>
              </a:solidFill>
              <a:round/>
            </a:ln>
            <a:effectLst/>
          </c:spPr>
          <c:marker>
            <c:symbol val="none"/>
          </c:marker>
          <c:cat>
            <c:numRef>
              <c:f>wp!$Q$2:$Q$83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graphs!$BU$9:$BU$90</c:f>
              <c:numCache>
                <c:formatCode>#,##0.00</c:formatCode>
                <c:ptCount val="82"/>
                <c:pt idx="0">
                  <c:v>42.311683327829648</c:v>
                </c:pt>
                <c:pt idx="1">
                  <c:v>39.02505693376456</c:v>
                </c:pt>
                <c:pt idx="2">
                  <c:v>35.993724401928318</c:v>
                </c:pt>
                <c:pt idx="3">
                  <c:v>33.197855380988798</c:v>
                </c:pt>
                <c:pt idx="4">
                  <c:v>30.61915987326956</c:v>
                </c:pt>
                <c:pt idx="5">
                  <c:v>28.240768585362645</c:v>
                </c:pt>
                <c:pt idx="6">
                  <c:v>26.047122572695297</c:v>
                </c:pt>
                <c:pt idx="7">
                  <c:v>24.023871456128106</c:v>
                </c:pt>
                <c:pt idx="8">
                  <c:v>22.157779544738592</c:v>
                </c:pt>
                <c:pt idx="9">
                  <c:v>20.436639250664907</c:v>
                </c:pt>
                <c:pt idx="10">
                  <c:v>18.84919122958739</c:v>
                </c:pt>
                <c:pt idx="11">
                  <c:v>17.385050724423525</c:v>
                </c:pt>
                <c:pt idx="12">
                  <c:v>16.034639630391982</c:v>
                </c:pt>
                <c:pt idx="13">
                  <c:v>14.789123837029395</c:v>
                </c:pt>
                <c:pt idx="14">
                  <c:v>13.64035543726431</c:v>
                </c:pt>
                <c:pt idx="15">
                  <c:v>12.580819425491988</c:v>
                </c:pt>
                <c:pt idx="16">
                  <c:v>11.603584535959891</c:v>
                </c:pt>
                <c:pt idx="17">
                  <c:v>10.702257899858708</c:v>
                </c:pt>
                <c:pt idx="18">
                  <c:v>9.8709432244949884</c:v>
                </c:pt>
                <c:pt idx="19">
                  <c:v>9.1042022209621649</c:v>
                </c:pt>
                <c:pt idx="20">
                  <c:v>8.3970190279777448</c:v>
                </c:pt>
                <c:pt idx="21">
                  <c:v>7.744767399154779</c:v>
                </c:pt>
                <c:pt idx="22">
                  <c:v>7.143180439053503</c:v>
                </c:pt>
                <c:pt idx="23">
                  <c:v>6.5883226900326513</c:v>
                </c:pt>
                <c:pt idx="24">
                  <c:v>6.0765643872984008</c:v>
                </c:pt>
                <c:pt idx="25">
                  <c:v>5.6045577137327793</c:v>
                </c:pt>
                <c:pt idx="26">
                  <c:v>5.1692148991655369</c:v>
                </c:pt>
                <c:pt idx="27">
                  <c:v>4.7676880208194419</c:v>
                </c:pt>
                <c:pt idx="28">
                  <c:v>4.397350372787681</c:v>
                </c:pt>
                <c:pt idx="29">
                  <c:v>4.0557792826663359</c:v>
                </c:pt>
                <c:pt idx="30">
                  <c:v>3.7407402629318951</c:v>
                </c:pt>
                <c:pt idx="31">
                  <c:v>3.4257012431974543</c:v>
                </c:pt>
                <c:pt idx="32">
                  <c:v>3.1106622234630135</c:v>
                </c:pt>
                <c:pt idx="33">
                  <c:v>2.7956232037285726</c:v>
                </c:pt>
                <c:pt idx="34">
                  <c:v>2.4805841839941318</c:v>
                </c:pt>
                <c:pt idx="35">
                  <c:v>2.165545164259691</c:v>
                </c:pt>
                <c:pt idx="36">
                  <c:v>1.8505061445252502</c:v>
                </c:pt>
                <c:pt idx="37">
                  <c:v>1.5354671247908094</c:v>
                </c:pt>
                <c:pt idx="38">
                  <c:v>1.2204281050563686</c:v>
                </c:pt>
                <c:pt idx="39">
                  <c:v>0.90538908532192774</c:v>
                </c:pt>
                <c:pt idx="40">
                  <c:v>0.59035006558748693</c:v>
                </c:pt>
                <c:pt idx="41">
                  <c:v>0.27531104585304611</c:v>
                </c:pt>
                <c:pt idx="42">
                  <c:v>-3.9727973881394707E-2</c:v>
                </c:pt>
                <c:pt idx="43">
                  <c:v>-0.35476699361583552</c:v>
                </c:pt>
                <c:pt idx="44">
                  <c:v>-0.66980601335027634</c:v>
                </c:pt>
                <c:pt idx="45">
                  <c:v>-0.98484503308471716</c:v>
                </c:pt>
                <c:pt idx="46">
                  <c:v>-1.299884052819158</c:v>
                </c:pt>
                <c:pt idx="47">
                  <c:v>-1.6149230725535988</c:v>
                </c:pt>
                <c:pt idx="48">
                  <c:v>-1.9299620922880396</c:v>
                </c:pt>
                <c:pt idx="49">
                  <c:v>-2.2450011120224804</c:v>
                </c:pt>
                <c:pt idx="50">
                  <c:v>-2.5600401317569212</c:v>
                </c:pt>
                <c:pt idx="51">
                  <c:v>-2.8750791514913621</c:v>
                </c:pt>
                <c:pt idx="52">
                  <c:v>-3.1901181712258029</c:v>
                </c:pt>
                <c:pt idx="53">
                  <c:v>-3.5051571909602437</c:v>
                </c:pt>
                <c:pt idx="54">
                  <c:v>-3.8201962106946845</c:v>
                </c:pt>
                <c:pt idx="55">
                  <c:v>-4.1352352304291253</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0-EE9B-45AD-B6C1-E4A29746DB45}"/>
            </c:ext>
          </c:extLst>
        </c:ser>
        <c:ser>
          <c:idx val="1"/>
          <c:order val="1"/>
          <c:tx>
            <c:strRef>
              <c:f>wp!$Y$2</c:f>
              <c:strCache>
                <c:ptCount val="1"/>
                <c:pt idx="0">
                  <c:v>RM-2-exp</c:v>
                </c:pt>
              </c:strCache>
            </c:strRef>
          </c:tx>
          <c:spPr>
            <a:ln w="34925" cap="rnd">
              <a:solidFill>
                <a:srgbClr val="C0504D"/>
              </a:solidFill>
              <a:round/>
            </a:ln>
            <a:effectLst/>
          </c:spPr>
          <c:marker>
            <c:symbol val="none"/>
          </c:marker>
          <c:cat>
            <c:numRef>
              <c:f>wp!$Q$2:$Q$83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graphs!$BV$9:$BV$90</c:f>
              <c:numCache>
                <c:formatCode>#,##0.00</c:formatCode>
                <c:ptCount val="82"/>
                <c:pt idx="0">
                  <c:v>42.311683327829648</c:v>
                </c:pt>
                <c:pt idx="1">
                  <c:v>41.634696394584374</c:v>
                </c:pt>
                <c:pt idx="2">
                  <c:v>40.871740948026705</c:v>
                </c:pt>
                <c:pt idx="3">
                  <c:v>40.013931736379995</c:v>
                </c:pt>
                <c:pt idx="4">
                  <c:v>39.052092280448143</c:v>
                </c:pt>
                <c:pt idx="5">
                  <c:v>37.976966040903676</c:v>
                </c:pt>
                <c:pt idx="6">
                  <c:v>36.779511007910521</c:v>
                </c:pt>
                <c:pt idx="7">
                  <c:v>35.451295057531894</c:v>
                </c:pt>
                <c:pt idx="8">
                  <c:v>33.98500922545341</c:v>
                </c:pt>
                <c:pt idx="9">
                  <c:v>32.375113606597644</c:v>
                </c:pt>
                <c:pt idx="10">
                  <c:v>30.618624663201448</c:v>
                </c:pt>
                <c:pt idx="11">
                  <c:v>28.716041753487143</c:v>
                </c:pt>
                <c:pt idx="12">
                  <c:v>26.672392874539952</c:v>
                </c:pt>
                <c:pt idx="13">
                  <c:v>24.498353138093332</c:v>
                </c:pt>
                <c:pt idx="14">
                  <c:v>22.211353047731443</c:v>
                </c:pt>
                <c:pt idx="15">
                  <c:v>19.836547256297379</c:v>
                </c:pt>
                <c:pt idx="16">
                  <c:v>17.407460879574462</c:v>
                </c:pt>
                <c:pt idx="17">
                  <c:v>14.966076857873905</c:v>
                </c:pt>
                <c:pt idx="18">
                  <c:v>12.562088089886416</c:v>
                </c:pt>
                <c:pt idx="19">
                  <c:v>10.251034104939498</c:v>
                </c:pt>
                <c:pt idx="20">
                  <c:v>8.091103852417362</c:v>
                </c:pt>
                <c:pt idx="21">
                  <c:v>6.1385473174505822</c:v>
                </c:pt>
                <c:pt idx="22">
                  <c:v>4.4419247372297175</c:v>
                </c:pt>
                <c:pt idx="23">
                  <c:v>3.0358298680017715</c:v>
                </c:pt>
                <c:pt idx="24">
                  <c:v>1.9351914947025706</c:v>
                </c:pt>
                <c:pt idx="25">
                  <c:v>0.83455312140336968</c:v>
                </c:pt>
                <c:pt idx="26">
                  <c:v>-0.26608525189583121</c:v>
                </c:pt>
                <c:pt idx="27">
                  <c:v>-1.3667236251950321</c:v>
                </c:pt>
                <c:pt idx="28">
                  <c:v>-2.467361998494233</c:v>
                </c:pt>
                <c:pt idx="29">
                  <c:v>-3.5680003717934339</c:v>
                </c:pt>
                <c:pt idx="30">
                  <c:v>-4.3499999999999996</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extLst xmlns:c16r2="http://schemas.microsoft.com/office/drawing/2015/06/chart" xmlns:c15="http://schemas.microsoft.com/office/drawing/2012/chart"/>
            </c:numRef>
          </c:val>
          <c:smooth val="0"/>
          <c:extLst xmlns:c16r2="http://schemas.microsoft.com/office/drawing/2015/06/chart" xmlns:c15="http://schemas.microsoft.com/office/drawing/2012/chart">
            <c:ext xmlns:c16="http://schemas.microsoft.com/office/drawing/2014/chart" uri="{C3380CC4-5D6E-409C-BE32-E72D297353CC}">
              <c16:uniqueId val="{00000001-EE9B-45AD-B6C1-E4A29746DB45}"/>
            </c:ext>
          </c:extLst>
        </c:ser>
        <c:ser>
          <c:idx val="2"/>
          <c:order val="2"/>
          <c:tx>
            <c:strRef>
              <c:f>wp!$V$2</c:f>
              <c:strCache>
                <c:ptCount val="1"/>
                <c:pt idx="0">
                  <c:v>RM-3-lin</c:v>
                </c:pt>
              </c:strCache>
            </c:strRef>
          </c:tx>
          <c:spPr>
            <a:ln w="34925" cap="rnd">
              <a:solidFill>
                <a:srgbClr val="9BBB59"/>
              </a:solidFill>
              <a:round/>
            </a:ln>
            <a:effectLst/>
          </c:spPr>
          <c:marker>
            <c:symbol val="none"/>
          </c:marker>
          <c:cat>
            <c:numRef>
              <c:f>wp!$Q$2:$Q$83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graphs!$BW$9:$BW$90</c:f>
              <c:numCache>
                <c:formatCode>#,##0.00</c:formatCode>
                <c:ptCount val="82"/>
                <c:pt idx="0">
                  <c:v>42.311683327829648</c:v>
                </c:pt>
                <c:pt idx="1">
                  <c:v>41.634696394584374</c:v>
                </c:pt>
                <c:pt idx="2">
                  <c:v>40.698938963160479</c:v>
                </c:pt>
                <c:pt idx="3">
                  <c:v>39.520670212747206</c:v>
                </c:pt>
                <c:pt idx="4">
                  <c:v>38.120600266107886</c:v>
                </c:pt>
                <c:pt idx="5">
                  <c:v>36.52328254722493</c:v>
                </c:pt>
                <c:pt idx="6">
                  <c:v>34.756391426208353</c:v>
                </c:pt>
                <c:pt idx="7">
                  <c:v>32.849915052202277</c:v>
                </c:pt>
                <c:pt idx="8">
                  <c:v>30.835296640967364</c:v>
                </c:pt>
                <c:pt idx="9">
                  <c:v>28.74455907257909</c:v>
                </c:pt>
                <c:pt idx="10">
                  <c:v>26.609447402105705</c:v>
                </c:pt>
                <c:pt idx="11">
                  <c:v>24.460621848320489</c:v>
                </c:pt>
                <c:pt idx="12">
                  <c:v>22.326930172905357</c:v>
                </c:pt>
                <c:pt idx="13">
                  <c:v>20.234783365292255</c:v>
                </c:pt>
                <c:pt idx="14">
                  <c:v>18.207652553847989</c:v>
                </c:pt>
                <c:pt idx="15">
                  <c:v>16.265698470124367</c:v>
                </c:pt>
                <c:pt idx="16">
                  <c:v>14.425538016544882</c:v>
                </c:pt>
                <c:pt idx="17">
                  <c:v>12.700145935283334</c:v>
                </c:pt>
                <c:pt idx="18">
                  <c:v>11.098883613917479</c:v>
                </c:pt>
                <c:pt idx="19">
                  <c:v>9.6276419953230956</c:v>
                </c:pt>
                <c:pt idx="20">
                  <c:v>8.2890816083755485</c:v>
                </c:pt>
                <c:pt idx="21">
                  <c:v>7.0829500351464167</c:v>
                </c:pt>
                <c:pt idx="22">
                  <c:v>6.0064557196926422</c:v>
                </c:pt>
                <c:pt idx="23">
                  <c:v>5.0546768561808477</c:v>
                </c:pt>
                <c:pt idx="24">
                  <c:v>4.2209850471246346</c:v>
                </c:pt>
                <c:pt idx="25">
                  <c:v>3.4974653136449327</c:v>
                </c:pt>
                <c:pt idx="26">
                  <c:v>2.8753166464770041</c:v>
                </c:pt>
                <c:pt idx="27">
                  <c:v>2.2531679793090755</c:v>
                </c:pt>
                <c:pt idx="28">
                  <c:v>1.6310193121411469</c:v>
                </c:pt>
                <c:pt idx="29">
                  <c:v>1.0088706449732183</c:v>
                </c:pt>
                <c:pt idx="30">
                  <c:v>0.38672197780528972</c:v>
                </c:pt>
                <c:pt idx="31">
                  <c:v>-0.23542668936263889</c:v>
                </c:pt>
                <c:pt idx="32">
                  <c:v>-0.85757535653056749</c:v>
                </c:pt>
                <c:pt idx="33">
                  <c:v>-1.4797240236984961</c:v>
                </c:pt>
                <c:pt idx="34">
                  <c:v>-2.1018726908664247</c:v>
                </c:pt>
                <c:pt idx="35">
                  <c:v>-2.7240213580343533</c:v>
                </c:pt>
                <c:pt idx="36">
                  <c:v>-3.3461700252022819</c:v>
                </c:pt>
                <c:pt idx="37">
                  <c:v>-3.9683186923702105</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2-EE9B-45AD-B6C1-E4A29746DB45}"/>
            </c:ext>
          </c:extLst>
        </c:ser>
        <c:ser>
          <c:idx val="3"/>
          <c:order val="3"/>
          <c:tx>
            <c:strRef>
              <c:f>wp!$X$2</c:f>
              <c:strCache>
                <c:ptCount val="1"/>
                <c:pt idx="0">
                  <c:v>RM-4-quad</c:v>
                </c:pt>
              </c:strCache>
            </c:strRef>
          </c:tx>
          <c:spPr>
            <a:ln w="34925" cap="rnd">
              <a:solidFill>
                <a:srgbClr val="8064A2"/>
              </a:solidFill>
              <a:round/>
            </a:ln>
            <a:effectLst/>
          </c:spPr>
          <c:marker>
            <c:symbol val="none"/>
          </c:marker>
          <c:cat>
            <c:numRef>
              <c:f>wp!$Q$2:$Q$83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graphs!$BX$9:$BX$90</c:f>
              <c:numCache>
                <c:formatCode>#,##0.00</c:formatCode>
                <c:ptCount val="82"/>
                <c:pt idx="0">
                  <c:v>42.311683327829648</c:v>
                </c:pt>
                <c:pt idx="1">
                  <c:v>41.634696394584374</c:v>
                </c:pt>
                <c:pt idx="2">
                  <c:v>40.94642033711299</c:v>
                </c:pt>
                <c:pt idx="3">
                  <c:v>40.204256701878194</c:v>
                </c:pt>
                <c:pt idx="4">
                  <c:v>39.368740415687277</c:v>
                </c:pt>
                <c:pt idx="5">
                  <c:v>38.404168714250304</c:v>
                </c:pt>
                <c:pt idx="6">
                  <c:v>37.279589397576622</c:v>
                </c:pt>
                <c:pt idx="7">
                  <c:v>35.970063791945805</c:v>
                </c:pt>
                <c:pt idx="8">
                  <c:v>34.458091947431519</c:v>
                </c:pt>
                <c:pt idx="9">
                  <c:v>32.735055845817413</c:v>
                </c:pt>
                <c:pt idx="10">
                  <c:v>30.802506467750074</c:v>
                </c:pt>
                <c:pt idx="11">
                  <c:v>28.673099531232598</c:v>
                </c:pt>
                <c:pt idx="12">
                  <c:v>26.370980374694042</c:v>
                </c:pt>
                <c:pt idx="13">
                  <c:v>23.931438247852281</c:v>
                </c:pt>
                <c:pt idx="14">
                  <c:v>21.399699625260347</c:v>
                </c:pt>
                <c:pt idx="15">
                  <c:v>18.828810597051955</c:v>
                </c:pt>
                <c:pt idx="16">
                  <c:v>16.276665737191337</c:v>
                </c:pt>
                <c:pt idx="17">
                  <c:v>13.80236407512988</c:v>
                </c:pt>
                <c:pt idx="18">
                  <c:v>11.462194181355065</c:v>
                </c:pt>
                <c:pt idx="19">
                  <c:v>9.3056474481057752</c:v>
                </c:pt>
                <c:pt idx="20">
                  <c:v>7.3719080701785655</c:v>
                </c:pt>
                <c:pt idx="21">
                  <c:v>5.6872512398710828</c:v>
                </c:pt>
                <c:pt idx="22">
                  <c:v>4.2636893325199043</c:v>
                </c:pt>
                <c:pt idx="23">
                  <c:v>3.0990461285146633</c:v>
                </c:pt>
                <c:pt idx="24">
                  <c:v>2.1784348251611947</c:v>
                </c:pt>
                <c:pt idx="25">
                  <c:v>1.2578235218077261</c:v>
                </c:pt>
                <c:pt idx="26">
                  <c:v>0.33721221845425742</c:v>
                </c:pt>
                <c:pt idx="27">
                  <c:v>-0.58339908489921122</c:v>
                </c:pt>
                <c:pt idx="28">
                  <c:v>-1.5040103882526799</c:v>
                </c:pt>
                <c:pt idx="29">
                  <c:v>-2.4246216916061485</c:v>
                </c:pt>
                <c:pt idx="30">
                  <c:v>-3.3452329949596171</c:v>
                </c:pt>
                <c:pt idx="31">
                  <c:v>-4.2658442983130858</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extLst xmlns:c16r2="http://schemas.microsoft.com/office/drawing/2015/06/chart">
            <c:ext xmlns:c16="http://schemas.microsoft.com/office/drawing/2014/chart" uri="{C3380CC4-5D6E-409C-BE32-E72D297353CC}">
              <c16:uniqueId val="{00000003-EE9B-45AD-B6C1-E4A29746DB45}"/>
            </c:ext>
          </c:extLst>
        </c:ser>
        <c:ser>
          <c:idx val="5"/>
          <c:order val="5"/>
          <c:tx>
            <c:strRef>
              <c:f>wp!$U$2</c:f>
              <c:strCache>
                <c:ptCount val="1"/>
                <c:pt idx="0">
                  <c:v>RM-5-rad</c:v>
                </c:pt>
              </c:strCache>
            </c:strRef>
          </c:tx>
          <c:spPr>
            <a:ln w="34925"/>
          </c:spPr>
          <c:marker>
            <c:symbol val="none"/>
          </c:marker>
          <c:cat>
            <c:numRef>
              <c:f>wp!$Q$2:$Q$83</c:f>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f>graphs!$BY$9:$BY$90</c:f>
              <c:numCache>
                <c:formatCode>#,##0.00</c:formatCode>
                <c:ptCount val="82"/>
                <c:pt idx="0">
                  <c:v>42.311683327829648</c:v>
                </c:pt>
                <c:pt idx="1">
                  <c:v>41.634696394584374</c:v>
                </c:pt>
                <c:pt idx="2">
                  <c:v>40.303015542504525</c:v>
                </c:pt>
                <c:pt idx="3">
                  <c:v>38.54231270287876</c:v>
                </c:pt>
                <c:pt idx="4">
                  <c:v>36.548006916661137</c:v>
                </c:pt>
                <c:pt idx="5">
                  <c:v>34.417549672984222</c:v>
                </c:pt>
                <c:pt idx="6">
                  <c:v>32.216387465493881</c:v>
                </c:pt>
                <c:pt idx="7">
                  <c:v>29.992945908131034</c:v>
                </c:pt>
                <c:pt idx="8">
                  <c:v>27.784435978772759</c:v>
                </c:pt>
                <c:pt idx="9">
                  <c:v>25.619773303478404</c:v>
                </c:pt>
                <c:pt idx="10">
                  <c:v>23.52132538582547</c:v>
                </c:pt>
                <c:pt idx="11">
                  <c:v>21.506100896100762</c:v>
                </c:pt>
                <c:pt idx="12">
                  <c:v>19.58663984505209</c:v>
                </c:pt>
                <c:pt idx="13">
                  <c:v>17.771726106477395</c:v>
                </c:pt>
                <c:pt idx="14">
                  <c:v>16.066983763338975</c:v>
                </c:pt>
                <c:pt idx="15">
                  <c:v>14.475390224671248</c:v>
                </c:pt>
                <c:pt idx="16">
                  <c:v>12.997724671281137</c:v>
                </c:pt>
                <c:pt idx="17">
                  <c:v>11.632962847078664</c:v>
                </c:pt>
                <c:pt idx="18">
                  <c:v>10.378625178573007</c:v>
                </c:pt>
                <c:pt idx="19">
                  <c:v>9.2310830379311444</c:v>
                </c:pt>
                <c:pt idx="20">
                  <c:v>8.1858268150268643</c:v>
                </c:pt>
                <c:pt idx="21">
                  <c:v>7.2376988711080346</c:v>
                </c:pt>
                <c:pt idx="22">
                  <c:v>6.381094154104435</c:v>
                </c:pt>
                <c:pt idx="23">
                  <c:v>5.6101311167465262</c:v>
                </c:pt>
                <c:pt idx="24">
                  <c:v>4.9187955096093399</c:v>
                </c:pt>
                <c:pt idx="25">
                  <c:v>4.3010595743813465</c:v>
                </c:pt>
                <c:pt idx="26">
                  <c:v>3.7509791122174319</c:v>
                </c:pt>
                <c:pt idx="27">
                  <c:v>3.2627708351819971</c:v>
                </c:pt>
                <c:pt idx="28">
                  <c:v>2.8308723206342146</c:v>
                </c:pt>
                <c:pt idx="29">
                  <c:v>2.3989738060864321</c:v>
                </c:pt>
                <c:pt idx="30">
                  <c:v>1.9670752915386496</c:v>
                </c:pt>
                <c:pt idx="31">
                  <c:v>1.5351767769908671</c:v>
                </c:pt>
                <c:pt idx="32">
                  <c:v>1.1032782624430846</c:v>
                </c:pt>
                <c:pt idx="33">
                  <c:v>0.67137974789530208</c:v>
                </c:pt>
                <c:pt idx="34">
                  <c:v>0.23948123334751958</c:v>
                </c:pt>
                <c:pt idx="35">
                  <c:v>-0.19241728120026291</c:v>
                </c:pt>
                <c:pt idx="36">
                  <c:v>-0.62431579574804541</c:v>
                </c:pt>
                <c:pt idx="37">
                  <c:v>-1.0562143102958279</c:v>
                </c:pt>
                <c:pt idx="38">
                  <c:v>-1.4881128248436104</c:v>
                </c:pt>
                <c:pt idx="39">
                  <c:v>-1.9200113393913929</c:v>
                </c:pt>
                <c:pt idx="40">
                  <c:v>-2.3519098539391754</c:v>
                </c:pt>
                <c:pt idx="41">
                  <c:v>-2.7838083684869579</c:v>
                </c:pt>
                <c:pt idx="42">
                  <c:v>-3.2157068830347404</c:v>
                </c:pt>
                <c:pt idx="43">
                  <c:v>-3.6476053975825229</c:v>
                </c:pt>
                <c:pt idx="44">
                  <c:v>-4.0795039121303054</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ser>
          <c:idx val="6"/>
          <c:order val="6"/>
          <c:tx>
            <c:strRef>
              <c:f>wp!$W$2</c:f>
              <c:strCache>
                <c:ptCount val="1"/>
                <c:pt idx="0">
                  <c:v>RM-6-abs</c:v>
                </c:pt>
              </c:strCache>
            </c:strRef>
          </c:tx>
          <c:spPr>
            <a:ln w="31750">
              <a:solidFill>
                <a:sysClr val="windowText" lastClr="000000">
                  <a:lumMod val="50000"/>
                  <a:lumOff val="50000"/>
                </a:sysClr>
              </a:solidFill>
            </a:ln>
          </c:spPr>
          <c:marker>
            <c:symbol val="none"/>
          </c:marker>
          <c:val>
            <c:numRef>
              <c:f>graphs!$BZ$9:$BZ$90</c:f>
              <c:numCache>
                <c:formatCode>#,##0.00</c:formatCode>
                <c:ptCount val="82"/>
                <c:pt idx="0">
                  <c:v>42.311683327829648</c:v>
                </c:pt>
                <c:pt idx="1">
                  <c:v>40.782331457979197</c:v>
                </c:pt>
                <c:pt idx="2">
                  <c:v>39.252979588128746</c:v>
                </c:pt>
                <c:pt idx="3">
                  <c:v>37.723627718278294</c:v>
                </c:pt>
                <c:pt idx="4">
                  <c:v>36.194275848427843</c:v>
                </c:pt>
                <c:pt idx="5">
                  <c:v>34.664923978577391</c:v>
                </c:pt>
                <c:pt idx="6">
                  <c:v>33.13557210872694</c:v>
                </c:pt>
                <c:pt idx="7">
                  <c:v>31.606220238876492</c:v>
                </c:pt>
                <c:pt idx="8">
                  <c:v>30.076868369026045</c:v>
                </c:pt>
                <c:pt idx="9">
                  <c:v>28.547516499175597</c:v>
                </c:pt>
                <c:pt idx="10">
                  <c:v>27.018164629325149</c:v>
                </c:pt>
                <c:pt idx="11">
                  <c:v>25.488812759474701</c:v>
                </c:pt>
                <c:pt idx="12">
                  <c:v>23.959460889624253</c:v>
                </c:pt>
                <c:pt idx="13">
                  <c:v>22.430109019773806</c:v>
                </c:pt>
                <c:pt idx="14">
                  <c:v>20.900757149923358</c:v>
                </c:pt>
                <c:pt idx="15">
                  <c:v>19.37140528007291</c:v>
                </c:pt>
                <c:pt idx="16">
                  <c:v>17.842053410222462</c:v>
                </c:pt>
                <c:pt idx="17">
                  <c:v>16.312701540372014</c:v>
                </c:pt>
                <c:pt idx="18">
                  <c:v>14.783349670521565</c:v>
                </c:pt>
                <c:pt idx="19">
                  <c:v>13.253997800671115</c:v>
                </c:pt>
                <c:pt idx="20">
                  <c:v>11.724645930820666</c:v>
                </c:pt>
                <c:pt idx="21">
                  <c:v>10.195294060970216</c:v>
                </c:pt>
                <c:pt idx="22">
                  <c:v>8.6659421911197665</c:v>
                </c:pt>
                <c:pt idx="23">
                  <c:v>7.1365903212693178</c:v>
                </c:pt>
                <c:pt idx="24">
                  <c:v>5.6072384514188691</c:v>
                </c:pt>
                <c:pt idx="25">
                  <c:v>4.0778865815684204</c:v>
                </c:pt>
                <c:pt idx="26">
                  <c:v>2.5485347117179717</c:v>
                </c:pt>
                <c:pt idx="27">
                  <c:v>1.0191828418675228</c:v>
                </c:pt>
                <c:pt idx="28">
                  <c:v>-0.51016902798292607</c:v>
                </c:pt>
                <c:pt idx="29">
                  <c:v>-2.0395208978333752</c:v>
                </c:pt>
                <c:pt idx="30">
                  <c:v>-3.5688727676838239</c:v>
                </c:pt>
                <c:pt idx="31">
                  <c:v>-4.3499999999999996</c:v>
                </c:pt>
                <c:pt idx="32">
                  <c:v>-4.3499999999999996</c:v>
                </c:pt>
                <c:pt idx="33">
                  <c:v>-4.3499999999999996</c:v>
                </c:pt>
                <c:pt idx="34">
                  <c:v>-4.3499999999999996</c:v>
                </c:pt>
                <c:pt idx="35">
                  <c:v>-4.3499999999999996</c:v>
                </c:pt>
                <c:pt idx="36">
                  <c:v>-4.3499999999999996</c:v>
                </c:pt>
                <c:pt idx="37">
                  <c:v>-4.3499999999999996</c:v>
                </c:pt>
                <c:pt idx="38">
                  <c:v>-4.3499999999999996</c:v>
                </c:pt>
                <c:pt idx="39">
                  <c:v>-4.3499999999999996</c:v>
                </c:pt>
                <c:pt idx="40">
                  <c:v>-4.3499999999999996</c:v>
                </c:pt>
                <c:pt idx="41">
                  <c:v>-4.3499999999999996</c:v>
                </c:pt>
                <c:pt idx="42">
                  <c:v>-4.3499999999999996</c:v>
                </c:pt>
                <c:pt idx="43">
                  <c:v>-4.3499999999999996</c:v>
                </c:pt>
                <c:pt idx="44">
                  <c:v>-4.3499999999999996</c:v>
                </c:pt>
                <c:pt idx="45">
                  <c:v>-4.3499999999999996</c:v>
                </c:pt>
                <c:pt idx="46">
                  <c:v>-4.3499999999999996</c:v>
                </c:pt>
                <c:pt idx="47">
                  <c:v>-4.3499999999999996</c:v>
                </c:pt>
                <c:pt idx="48">
                  <c:v>-4.3499999999999996</c:v>
                </c:pt>
                <c:pt idx="49">
                  <c:v>-4.3499999999999996</c:v>
                </c:pt>
                <c:pt idx="50">
                  <c:v>-4.3499999999999996</c:v>
                </c:pt>
                <c:pt idx="51">
                  <c:v>-4.3499999999999996</c:v>
                </c:pt>
                <c:pt idx="52">
                  <c:v>-4.3499999999999996</c:v>
                </c:pt>
                <c:pt idx="53">
                  <c:v>-4.3499999999999996</c:v>
                </c:pt>
                <c:pt idx="54">
                  <c:v>-4.3499999999999996</c:v>
                </c:pt>
                <c:pt idx="55">
                  <c:v>-4.3499999999999996</c:v>
                </c:pt>
                <c:pt idx="56">
                  <c:v>-4.3499999999999996</c:v>
                </c:pt>
                <c:pt idx="57">
                  <c:v>-4.3499999999999996</c:v>
                </c:pt>
                <c:pt idx="58">
                  <c:v>-4.3499999999999996</c:v>
                </c:pt>
                <c:pt idx="59">
                  <c:v>-4.3499999999999996</c:v>
                </c:pt>
                <c:pt idx="60">
                  <c:v>-4.3499999999999996</c:v>
                </c:pt>
                <c:pt idx="61">
                  <c:v>-4.3499999999999996</c:v>
                </c:pt>
                <c:pt idx="62">
                  <c:v>-4.3499999999999996</c:v>
                </c:pt>
                <c:pt idx="63">
                  <c:v>-4.3499999999999996</c:v>
                </c:pt>
                <c:pt idx="64">
                  <c:v>-4.3499999999999996</c:v>
                </c:pt>
                <c:pt idx="65">
                  <c:v>-4.3499999999999996</c:v>
                </c:pt>
                <c:pt idx="66">
                  <c:v>-4.3499999999999996</c:v>
                </c:pt>
                <c:pt idx="67">
                  <c:v>-4.3499999999999996</c:v>
                </c:pt>
                <c:pt idx="68">
                  <c:v>-4.3499999999999996</c:v>
                </c:pt>
                <c:pt idx="69">
                  <c:v>-4.3499999999999996</c:v>
                </c:pt>
                <c:pt idx="70">
                  <c:v>-4.3499999999999996</c:v>
                </c:pt>
                <c:pt idx="71">
                  <c:v>-4.3499999999999996</c:v>
                </c:pt>
                <c:pt idx="72">
                  <c:v>-4.3499999999999996</c:v>
                </c:pt>
                <c:pt idx="73">
                  <c:v>-4.3499999999999996</c:v>
                </c:pt>
                <c:pt idx="74">
                  <c:v>-4.3499999999999996</c:v>
                </c:pt>
                <c:pt idx="75">
                  <c:v>-4.3499999999999996</c:v>
                </c:pt>
                <c:pt idx="76">
                  <c:v>-4.3499999999999996</c:v>
                </c:pt>
                <c:pt idx="77">
                  <c:v>-4.3499999999999996</c:v>
                </c:pt>
                <c:pt idx="78">
                  <c:v>-4.3499999999999996</c:v>
                </c:pt>
                <c:pt idx="79">
                  <c:v>-4.3499999999999996</c:v>
                </c:pt>
                <c:pt idx="80">
                  <c:v>-4.3499999999999996</c:v>
                </c:pt>
                <c:pt idx="81">
                  <c:v>-4.3499999999999996</c:v>
                </c:pt>
              </c:numCache>
            </c:numRef>
          </c:val>
          <c:smooth val="0"/>
        </c:ser>
        <c:dLbls>
          <c:showLegendKey val="0"/>
          <c:showVal val="0"/>
          <c:showCatName val="0"/>
          <c:showSerName val="0"/>
          <c:showPercent val="0"/>
          <c:showBubbleSize val="0"/>
        </c:dLbls>
        <c:smooth val="0"/>
        <c:axId val="521924480"/>
        <c:axId val="521925264"/>
        <c:extLst xmlns:c16r2="http://schemas.microsoft.com/office/drawing/2015/06/chart">
          <c:ext xmlns:c15="http://schemas.microsoft.com/office/drawing/2012/chart" uri="{02D57815-91ED-43cb-92C2-25804820EDAC}">
            <c15:filteredLineSeries>
              <c15:ser>
                <c:idx val="4"/>
                <c:order val="4"/>
                <c:tx>
                  <c:strRef>
                    <c:extLst xmlns:c16r2="http://schemas.microsoft.com/office/drawing/2015/06/chart">
                      <c:ext uri="{02D57815-91ED-43cb-92C2-25804820EDAC}">
                        <c15:formulaRef>
                          <c15:sqref>graphs!$CA$8</c15:sqref>
                        </c15:formulaRef>
                      </c:ext>
                    </c:extLst>
                    <c:strCache>
                      <c:ptCount val="1"/>
                      <c:pt idx="0">
                        <c:v>SPM-R</c:v>
                      </c:pt>
                    </c:strCache>
                  </c:strRef>
                </c:tx>
                <c:spPr>
                  <a:ln w="34925">
                    <a:solidFill>
                      <a:srgbClr val="F79646"/>
                    </a:solidFill>
                  </a:ln>
                </c:spPr>
                <c:marker>
                  <c:symbol val="none"/>
                </c:marker>
                <c:cat>
                  <c:numRef>
                    <c:extLst xmlns:c16r2="http://schemas.microsoft.com/office/drawing/2015/06/chart">
                      <c:ext uri="{02D57815-91ED-43cb-92C2-25804820EDAC}">
                        <c15:formulaRef>
                          <c15:sqref>wp!$Q$2:$Q$83</c15:sqref>
                        </c15:formulaRef>
                      </c:ext>
                    </c:extLst>
                    <c:numCache>
                      <c:formatCode>General</c:formatCode>
                      <c:ptCount val="82"/>
                      <c:pt idx="0">
                        <c:v>2019</c:v>
                      </c:pt>
                      <c:pt idx="11">
                        <c:v>2030</c:v>
                      </c:pt>
                      <c:pt idx="21">
                        <c:v>2040</c:v>
                      </c:pt>
                      <c:pt idx="31">
                        <c:v>2050</c:v>
                      </c:pt>
                      <c:pt idx="41">
                        <c:v>2060</c:v>
                      </c:pt>
                      <c:pt idx="51">
                        <c:v>2070</c:v>
                      </c:pt>
                      <c:pt idx="61">
                        <c:v>2080</c:v>
                      </c:pt>
                      <c:pt idx="71">
                        <c:v>2090</c:v>
                      </c:pt>
                      <c:pt idx="81">
                        <c:v>2100</c:v>
                      </c:pt>
                    </c:numCache>
                  </c:numRef>
                </c:cat>
                <c:val>
                  <c:numRef>
                    <c:extLst xmlns:c16r2="http://schemas.microsoft.com/office/drawing/2015/06/chart">
                      <c:ext uri="{02D57815-91ED-43cb-92C2-25804820EDAC}">
                        <c15:formulaRef>
                          <c15:sqref>graphs!$CA$9:$CA$90</c15:sqref>
                        </c15:formulaRef>
                      </c:ext>
                    </c:extLst>
                    <c:numCache>
                      <c:formatCode>#,##0.00</c:formatCode>
                      <c:ptCount val="82"/>
                      <c:pt idx="0">
                        <c:v>42.311683327829648</c:v>
                      </c:pt>
                      <c:pt idx="1">
                        <c:v>41.834339829518569</c:v>
                      </c:pt>
                      <c:pt idx="2">
                        <c:v>39.733240975044623</c:v>
                      </c:pt>
                      <c:pt idx="3">
                        <c:v>36.522204869624375</c:v>
                      </c:pt>
                      <c:pt idx="4">
                        <c:v>32.793427399481033</c:v>
                      </c:pt>
                      <c:pt idx="5">
                        <c:v>28.931788391085348</c:v>
                      </c:pt>
                      <c:pt idx="6">
                        <c:v>25.177512457858086</c:v>
                      </c:pt>
                      <c:pt idx="7">
                        <c:v>21.671270172514866</c:v>
                      </c:pt>
                      <c:pt idx="8">
                        <c:v>18.486418119923655</c:v>
                      </c:pt>
                      <c:pt idx="9">
                        <c:v>15.651857785996114</c:v>
                      </c:pt>
                      <c:pt idx="10">
                        <c:v>13.168083660743605</c:v>
                      </c:pt>
                      <c:pt idx="11">
                        <c:v>11.018313333856071</c:v>
                      </c:pt>
                      <c:pt idx="12">
                        <c:v>9.1760886496662266</c:v>
                      </c:pt>
                      <c:pt idx="13">
                        <c:v>7.6103634168143444</c:v>
                      </c:pt>
                      <c:pt idx="14">
                        <c:v>6.2888168284638262</c:v>
                      </c:pt>
                      <c:pt idx="15">
                        <c:v>5.1799279200617256</c:v>
                      </c:pt>
                      <c:pt idx="16">
                        <c:v>4.2541965278203868</c:v>
                      </c:pt>
                      <c:pt idx="17">
                        <c:v>3.4847864207506483</c:v>
                      </c:pt>
                      <c:pt idx="18">
                        <c:v>2.8477861737325547</c:v>
                      </c:pt>
                      <c:pt idx="19">
                        <c:v>2.3222251737788593</c:v>
                      </c:pt>
                      <c:pt idx="20">
                        <c:v>1.8899401284246782</c:v>
                      </c:pt>
                      <c:pt idx="21">
                        <c:v>1.5353572783066616</c:v>
                      </c:pt>
                      <c:pt idx="22">
                        <c:v>1.2452340190892004</c:v>
                      </c:pt>
                      <c:pt idx="23">
                        <c:v>1.0083884535049643</c:v>
                      </c:pt>
                      <c:pt idx="24">
                        <c:v>0.81543478321211005</c:v>
                      </c:pt>
                      <c:pt idx="25">
                        <c:v>0.65853513342908965</c:v>
                      </c:pt>
                      <c:pt idx="26">
                        <c:v>0.53117344366821539</c:v>
                      </c:pt>
                      <c:pt idx="27">
                        <c:v>0.42795377134786117</c:v>
                      </c:pt>
                      <c:pt idx="28">
                        <c:v>0.3444232447171347</c:v>
                      </c:pt>
                      <c:pt idx="29">
                        <c:v>0.27691860830715598</c:v>
                      </c:pt>
                      <c:pt idx="30">
                        <c:v>0.22243457015738544</c:v>
                      </c:pt>
                      <c:pt idx="31">
                        <c:v>0.17851180150263735</c:v>
                      </c:pt>
                      <c:pt idx="32">
                        <c:v>0.14314232650366598</c:v>
                      </c:pt>
                      <c:pt idx="33">
                        <c:v>0.11469008108803347</c:v>
                      </c:pt>
                      <c:pt idx="34">
                        <c:v>9.1824553318918978E-2</c:v>
                      </c:pt>
                      <c:pt idx="35">
                        <c:v>7.3465600361367511E-2</c:v>
                      </c:pt>
                      <c:pt idx="36">
                        <c:v>5.8737740815139106E-2</c:v>
                      </c:pt>
                      <c:pt idx="37">
                        <c:v>4.6932427746303962E-2</c:v>
                      </c:pt>
                      <c:pt idx="38">
                        <c:v>3.7477005992540335E-2</c:v>
                      </c:pt>
                      <c:pt idx="39">
                        <c:v>2.9909240852516977E-2</c:v>
                      </c:pt>
                      <c:pt idx="40">
                        <c:v>2.3856470934856572E-2</c:v>
                      </c:pt>
                      <c:pt idx="41">
                        <c:v>1.9018584686248563E-2</c:v>
                      </c:pt>
                      <c:pt idx="42">
                        <c:v>1.5154148224542634E-2</c:v>
                      </c:pt>
                      <c:pt idx="43">
                        <c:v>1.2069122650795593E-2</c:v>
                      </c:pt>
                      <c:pt idx="44">
                        <c:v>9.6077035150404153E-3</c:v>
                      </c:pt>
                      <c:pt idx="45">
                        <c:v>7.6448952630430445E-3</c:v>
                      </c:pt>
                      <c:pt idx="46">
                        <c:v>6.0805010261560204E-3</c:v>
                      </c:pt>
                      <c:pt idx="47">
                        <c:v>4.8342646991232363E-3</c:v>
                      </c:pt>
                      <c:pt idx="48">
                        <c:v>3.8419494262553113E-3</c:v>
                      </c:pt>
                      <c:pt idx="49">
                        <c:v>3.0521757811871712E-3</c:v>
                      </c:pt>
                      <c:pt idx="50">
                        <c:v>2.4238753176652125E-3</c:v>
                      </c:pt>
                      <c:pt idx="51">
                        <c:v>1.9242418703228478E-3</c:v>
                      </c:pt>
                      <c:pt idx="52">
                        <c:v>1.5270849293665132E-3</c:v>
                      </c:pt>
                      <c:pt idx="53">
                        <c:v>1.211507400511235E-3</c:v>
                      </c:pt>
                      <c:pt idx="54">
                        <c:v>9.6084476937006134E-4</c:v>
                      </c:pt>
                      <c:pt idx="55">
                        <c:v>7.61814689302157E-4</c:v>
                      </c:pt>
                      <c:pt idx="56">
                        <c:v>6.0383578242502933E-4</c:v>
                      </c:pt>
                      <c:pt idx="57">
                        <c:v>4.784823845500471E-4</c:v>
                      </c:pt>
                      <c:pt idx="58">
                        <c:v>3.7904840791133545E-4</c:v>
                      </c:pt>
                      <c:pt idx="59">
                        <c:v>3.0019871513347349E-4</c:v>
                      </c:pt>
                      <c:pt idx="60">
                        <c:v>2.3769062016652581E-4</c:v>
                      </c:pt>
                      <c:pt idx="61">
                        <c:v>1.8815154288200672E-4</c:v>
                      </c:pt>
                      <c:pt idx="62">
                        <c:v>1.4890159613068659E-4</c:v>
                      </c:pt>
                      <c:pt idx="63">
                        <c:v>1.1781210199380822E-4</c:v>
                      </c:pt>
                      <c:pt idx="64">
                        <c:v>9.3192819451234812E-5</c:v>
                      </c:pt>
                      <c:pt idx="65">
                        <c:v>7.3702101592273744E-5</c:v>
                      </c:pt>
                      <c:pt idx="66">
                        <c:v>5.8275354149733865E-5</c:v>
                      </c:pt>
                      <c:pt idx="67">
                        <c:v>4.6068093190151281E-5</c:v>
                      </c:pt>
                      <c:pt idx="68">
                        <c:v>3.6410642515178335E-5</c:v>
                      </c:pt>
                      <c:pt idx="69">
                        <c:v>2.8772106537307176E-5</c:v>
                      </c:pt>
                      <c:pt idx="70">
                        <c:v>2.2731731023758545E-5</c:v>
                      </c:pt>
                      <c:pt idx="71">
                        <c:v>1.7956145504705306E-5</c:v>
                      </c:pt>
                      <c:pt idx="72">
                        <c:v>1.4181286134081569E-5</c:v>
                      </c:pt>
                      <c:pt idx="73">
                        <c:v>1.1198041523564572E-5</c:v>
                      </c:pt>
                      <c:pt idx="74">
                        <c:v>8.8408587273567027E-6</c:v>
                      </c:pt>
                      <c:pt idx="75">
                        <c:v>6.9787019274989334E-6</c:v>
                      </c:pt>
                      <c:pt idx="76">
                        <c:v>5.5078803155863027E-6</c:v>
                      </c:pt>
                      <c:pt idx="77">
                        <c:v>4.3463604906361032E-6</c:v>
                      </c:pt>
                      <c:pt idx="78">
                        <c:v>3.4292574462414513E-6</c:v>
                      </c:pt>
                      <c:pt idx="79">
                        <c:v>2.7052609487227185E-6</c:v>
                      </c:pt>
                      <c:pt idx="80">
                        <c:v>2.1338040491711256E-6</c:v>
                      </c:pt>
                      <c:pt idx="81">
                        <c:v>1.6828202150896504E-6</c:v>
                      </c:pt>
                    </c:numCache>
                  </c:numRef>
                </c:val>
                <c:smooth val="0"/>
              </c15:ser>
            </c15:filteredLineSeries>
          </c:ext>
        </c:extLst>
      </c:lineChart>
      <c:catAx>
        <c:axId val="52192448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de-DE"/>
          </a:p>
        </c:txPr>
        <c:crossAx val="521925264"/>
        <c:crosses val="autoZero"/>
        <c:auto val="1"/>
        <c:lblAlgn val="ctr"/>
        <c:lblOffset val="100"/>
        <c:noMultiLvlLbl val="0"/>
      </c:catAx>
      <c:valAx>
        <c:axId val="521925264"/>
        <c:scaling>
          <c:orientation val="minMax"/>
          <c:min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Mrd. t CO</a:t>
                </a:r>
                <a:r>
                  <a:rPr lang="de-DE" baseline="-25000"/>
                  <a:t>2</a:t>
                </a:r>
                <a:endParaRPr lang="de-DE"/>
              </a:p>
            </c:rich>
          </c:tx>
          <c:layout>
            <c:manualLayout>
              <c:xMode val="edge"/>
              <c:yMode val="edge"/>
              <c:x val="1.2124658539381997E-2"/>
              <c:y val="0.47459542585340558"/>
            </c:manualLayout>
          </c:layout>
          <c:overlay val="0"/>
          <c:spPr>
            <a:noFill/>
            <a:ln>
              <a:noFill/>
            </a:ln>
            <a:effectLst/>
          </c:sp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1924480"/>
        <c:crosses val="autoZero"/>
        <c:crossBetween val="midCat"/>
      </c:valAx>
      <c:spPr>
        <a:noFill/>
        <a:ln>
          <a:noFill/>
        </a:ln>
        <a:effectLst/>
      </c:spPr>
    </c:plotArea>
    <c:legend>
      <c:legendPos val="tr"/>
      <c:legendEntry>
        <c:idx val="4"/>
        <c:txPr>
          <a:bodyPr rot="0" spcFirstLastPara="1" vertOverflow="ellipsis" vert="horz" wrap="square" anchor="ctr" anchorCtr="1"/>
          <a:lstStyle/>
          <a:p>
            <a:pPr>
              <a:defRPr lang="de-DE" sz="1400" b="0" i="0" u="none" strike="noStrike" kern="1200" baseline="0">
                <a:solidFill>
                  <a:schemeClr val="tx1"/>
                </a:solidFill>
                <a:latin typeface="+mn-lt"/>
                <a:ea typeface="+mn-ea"/>
                <a:cs typeface="+mn-cs"/>
              </a:defRPr>
            </a:pPr>
            <a:endParaRPr lang="de-DE"/>
          </a:p>
        </c:txPr>
      </c:legendEntry>
      <c:layout>
        <c:manualLayout>
          <c:xMode val="edge"/>
          <c:yMode val="edge"/>
          <c:x val="0.69944385209364568"/>
          <c:y val="0.13805585526497696"/>
          <c:w val="0.24222812587487566"/>
          <c:h val="0.51923757887379085"/>
        </c:manualLayout>
      </c:layout>
      <c:overlay val="1"/>
      <c:spPr>
        <a:noFill/>
        <a:ln>
          <a:noFill/>
        </a:ln>
        <a:effectLst/>
      </c:spPr>
      <c:txPr>
        <a:bodyPr rot="0" spcFirstLastPara="1" vertOverflow="ellipsis" vert="horz" wrap="square" anchor="ctr" anchorCtr="1"/>
        <a:lstStyle/>
        <a:p>
          <a:pPr>
            <a:defRPr lang="de-DE" sz="14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Overshoot in Mrd. 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tx>
            <c:strRef>
              <c:f>wp!$S$3</c:f>
              <c:strCache>
                <c:ptCount val="1"/>
                <c:pt idx="0">
                  <c:v>Overshoot</c:v>
                </c:pt>
              </c:strCache>
            </c:strRef>
          </c:tx>
          <c:spPr>
            <a:solidFill>
              <a:schemeClr val="accent1"/>
            </a:solidFill>
            <a:ln>
              <a:noFill/>
            </a:ln>
            <a:effectLst/>
          </c:spPr>
          <c:invertIfNegative val="0"/>
          <c:dLbls>
            <c:dLbl>
              <c:idx val="1"/>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wp!$T$2:$Y$2</c:f>
              <c:strCache>
                <c:ptCount val="6"/>
                <c:pt idx="0">
                  <c:v>RM-1-const</c:v>
                </c:pt>
                <c:pt idx="1">
                  <c:v>RM-5-rad</c:v>
                </c:pt>
                <c:pt idx="2">
                  <c:v>RM-3-lin</c:v>
                </c:pt>
                <c:pt idx="3">
                  <c:v>RM-6-abs</c:v>
                </c:pt>
                <c:pt idx="4">
                  <c:v>RM-4-quad</c:v>
                </c:pt>
                <c:pt idx="5">
                  <c:v>RM-2-exp</c:v>
                </c:pt>
              </c:strCache>
            </c:strRef>
          </c:cat>
          <c:val>
            <c:numRef>
              <c:f>wp!$T$3:$Y$3</c:f>
              <c:numCache>
                <c:formatCode>#,##0</c:formatCode>
                <c:ptCount val="6"/>
                <c:pt idx="0">
                  <c:v>142.75575901885998</c:v>
                </c:pt>
                <c:pt idx="1">
                  <c:v>183.03514003758721</c:v>
                </c:pt>
                <c:pt idx="2">
                  <c:v>206.36126585877378</c:v>
                </c:pt>
                <c:pt idx="3">
                  <c:v>227.96856269349993</c:v>
                </c:pt>
                <c:pt idx="4">
                  <c:v>230.46271593687152</c:v>
                </c:pt>
                <c:pt idx="5">
                  <c:v>234.77034012312299</c:v>
                </c:pt>
              </c:numCache>
            </c:numRef>
          </c:val>
        </c:ser>
        <c:dLbls>
          <c:showLegendKey val="0"/>
          <c:showVal val="0"/>
          <c:showCatName val="0"/>
          <c:showSerName val="0"/>
          <c:showPercent val="0"/>
          <c:showBubbleSize val="0"/>
        </c:dLbls>
        <c:gapWidth val="219"/>
        <c:overlap val="-27"/>
        <c:axId val="521921344"/>
        <c:axId val="521921736"/>
      </c:barChart>
      <c:catAx>
        <c:axId val="52192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521921736"/>
        <c:crosses val="autoZero"/>
        <c:auto val="1"/>
        <c:lblAlgn val="ctr"/>
        <c:lblOffset val="100"/>
        <c:noMultiLvlLbl val="0"/>
      </c:catAx>
      <c:valAx>
        <c:axId val="5219217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1921344"/>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de-DE" sz="1400" b="1" i="0" u="none" strike="noStrike" baseline="0">
                <a:solidFill>
                  <a:sysClr val="windowText" lastClr="000000"/>
                </a:solidFill>
                <a:effectLst/>
              </a:rPr>
              <a:t>Reduktion gegenüber dem Bezgsjahr </a:t>
            </a:r>
            <a:r>
              <a:rPr lang="de-DE" b="1">
                <a:solidFill>
                  <a:sysClr val="windowText" lastClr="000000"/>
                </a:solidFill>
              </a:rPr>
              <a:t>2010</a:t>
            </a:r>
          </a:p>
        </c:rich>
      </c:tx>
      <c:overlay val="0"/>
      <c:spPr>
        <a:noFill/>
        <a:ln>
          <a:noFill/>
        </a:ln>
        <a:effectLst/>
      </c:spPr>
    </c:title>
    <c:autoTitleDeleted val="0"/>
    <c:plotArea>
      <c:layout/>
      <c:barChart>
        <c:barDir val="col"/>
        <c:grouping val="clustered"/>
        <c:varyColors val="0"/>
        <c:ser>
          <c:idx val="0"/>
          <c:order val="0"/>
          <c:tx>
            <c:strRef>
              <c:f>graphs!$CC$101</c:f>
              <c:strCache>
                <c:ptCount val="1"/>
                <c:pt idx="0">
                  <c:v>2030</c:v>
                </c:pt>
              </c:strCache>
            </c:strRef>
          </c:tx>
          <c:spPr>
            <a:solidFill>
              <a:schemeClr val="accent1"/>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graphs!$CD$100:$CJ$100</c15:sqref>
                  </c15:fullRef>
                </c:ext>
              </c:extLst>
              <c:f>graphs!$CD$100:$CI$100</c:f>
              <c:strCache>
                <c:ptCount val="6"/>
                <c:pt idx="0">
                  <c:v>RM-1 const</c:v>
                </c:pt>
                <c:pt idx="1">
                  <c:v>RM-2 exp</c:v>
                </c:pt>
                <c:pt idx="2">
                  <c:v>RM-3 lin</c:v>
                </c:pt>
                <c:pt idx="3">
                  <c:v>RM-4 quadr</c:v>
                </c:pt>
                <c:pt idx="4">
                  <c:v>RM-5 rad</c:v>
                </c:pt>
                <c:pt idx="5">
                  <c:v>RM-6 abs</c:v>
                </c:pt>
              </c:strCache>
            </c:strRef>
          </c:cat>
          <c:val>
            <c:numRef>
              <c:extLst>
                <c:ext xmlns:c15="http://schemas.microsoft.com/office/drawing/2012/chart" uri="{02D57815-91ED-43cb-92C2-25804820EDAC}">
                  <c15:fullRef>
                    <c15:sqref>graphs!$CD$101:$CJ$101</c15:sqref>
                  </c15:fullRef>
                </c:ext>
              </c:extLst>
              <c:f>graphs!$CD$101:$CI$101</c:f>
              <c:numCache>
                <c:formatCode>0%</c:formatCode>
                <c:ptCount val="6"/>
                <c:pt idx="0">
                  <c:v>-0.54518600961554986</c:v>
                </c:pt>
                <c:pt idx="1">
                  <c:v>-0.24875355585808656</c:v>
                </c:pt>
                <c:pt idx="2">
                  <c:v>-0.36008049637205741</c:v>
                </c:pt>
                <c:pt idx="3">
                  <c:v>-0.24987697642033591</c:v>
                </c:pt>
                <c:pt idx="4">
                  <c:v>-0.43737434412975951</c:v>
                </c:pt>
                <c:pt idx="5">
                  <c:v>-0.33318177639753876</c:v>
                </c:pt>
              </c:numCache>
            </c:numRef>
          </c:val>
          <c:extLst xmlns:c16r2="http://schemas.microsoft.com/office/drawing/2015/06/chart">
            <c:ext xmlns:c16="http://schemas.microsoft.com/office/drawing/2014/chart" uri="{C3380CC4-5D6E-409C-BE32-E72D297353CC}">
              <c16:uniqueId val="{00000000-F7E1-4557-9F2A-734E7EDAA09E}"/>
            </c:ext>
          </c:extLst>
        </c:ser>
        <c:ser>
          <c:idx val="1"/>
          <c:order val="1"/>
          <c:tx>
            <c:strRef>
              <c:f>graphs!$CC$102</c:f>
              <c:strCache>
                <c:ptCount val="1"/>
                <c:pt idx="0">
                  <c:v>2050</c:v>
                </c:pt>
              </c:strCache>
            </c:strRef>
          </c:tx>
          <c:spPr>
            <a:solidFill>
              <a:schemeClr val="accent2"/>
            </a:solidFill>
            <a:ln>
              <a:noFill/>
            </a:ln>
            <a:effectLst/>
          </c:spPr>
          <c:invertIfNegative val="0"/>
          <c:dLbls>
            <c:dLbl>
              <c:idx val="4"/>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FF0000"/>
                      </a:solidFill>
                      <a:latin typeface="+mn-lt"/>
                      <a:ea typeface="+mn-ea"/>
                      <a:cs typeface="+mn-cs"/>
                    </a:defRPr>
                  </a:pPr>
                  <a:endParaRPr lang="de-DE"/>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graphs!$CD$100:$CJ$100</c15:sqref>
                  </c15:fullRef>
                </c:ext>
              </c:extLst>
              <c:f>graphs!$CD$100:$CI$100</c:f>
              <c:strCache>
                <c:ptCount val="6"/>
                <c:pt idx="0">
                  <c:v>RM-1 const</c:v>
                </c:pt>
                <c:pt idx="1">
                  <c:v>RM-2 exp</c:v>
                </c:pt>
                <c:pt idx="2">
                  <c:v>RM-3 lin</c:v>
                </c:pt>
                <c:pt idx="3">
                  <c:v>RM-4 quadr</c:v>
                </c:pt>
                <c:pt idx="4">
                  <c:v>RM-5 rad</c:v>
                </c:pt>
                <c:pt idx="5">
                  <c:v>RM-6 abs</c:v>
                </c:pt>
              </c:strCache>
            </c:strRef>
          </c:cat>
          <c:val>
            <c:numRef>
              <c:extLst>
                <c:ext xmlns:c15="http://schemas.microsoft.com/office/drawing/2012/chart" uri="{02D57815-91ED-43cb-92C2-25804820EDAC}">
                  <c15:fullRef>
                    <c15:sqref>graphs!$CD$102:$CJ$102</c15:sqref>
                  </c15:fullRef>
                </c:ext>
              </c:extLst>
              <c:f>graphs!$CD$102:$CI$102</c:f>
              <c:numCache>
                <c:formatCode>0%</c:formatCode>
                <c:ptCount val="6"/>
                <c:pt idx="0">
                  <c:v>-0.91037950495624631</c:v>
                </c:pt>
                <c:pt idx="1">
                  <c:v>-1.113801270386455</c:v>
                </c:pt>
                <c:pt idx="2">
                  <c:v>-1.0061590474327231</c:v>
                </c:pt>
                <c:pt idx="3">
                  <c:v>-1.1115996552687</c:v>
                </c:pt>
                <c:pt idx="4">
                  <c:v>-0.959837915519691</c:v>
                </c:pt>
                <c:pt idx="5">
                  <c:v>-1.113801270386455</c:v>
                </c:pt>
              </c:numCache>
            </c:numRef>
          </c:val>
          <c:extLst xmlns:c16r2="http://schemas.microsoft.com/office/drawing/2015/06/chart">
            <c:ext xmlns:c16="http://schemas.microsoft.com/office/drawing/2014/chart" uri="{C3380CC4-5D6E-409C-BE32-E72D297353CC}">
              <c16:uniqueId val="{00000001-F7E1-4557-9F2A-734E7EDAA09E}"/>
            </c:ext>
          </c:extLst>
        </c:ser>
        <c:dLbls>
          <c:showLegendKey val="0"/>
          <c:showVal val="0"/>
          <c:showCatName val="0"/>
          <c:showSerName val="0"/>
          <c:showPercent val="0"/>
          <c:showBubbleSize val="0"/>
        </c:dLbls>
        <c:gapWidth val="219"/>
        <c:overlap val="-27"/>
        <c:axId val="521926048"/>
        <c:axId val="521922128"/>
      </c:barChart>
      <c:catAx>
        <c:axId val="521926048"/>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de-DE"/>
          </a:p>
        </c:txPr>
        <c:crossAx val="521922128"/>
        <c:crosses val="autoZero"/>
        <c:auto val="1"/>
        <c:lblAlgn val="ctr"/>
        <c:lblOffset val="100"/>
        <c:noMultiLvlLbl val="0"/>
      </c:catAx>
      <c:valAx>
        <c:axId val="521922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21926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image" Target="../media/image10.png"/><Relationship Id="rId5" Type="http://schemas.openxmlformats.org/officeDocument/2006/relationships/chart" Target="../charts/chart15.xml"/><Relationship Id="rId4"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4"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0</xdr:col>
      <xdr:colOff>147954</xdr:colOff>
      <xdr:row>1</xdr:row>
      <xdr:rowOff>14603</xdr:rowOff>
    </xdr:from>
    <xdr:to>
      <xdr:col>16</xdr:col>
      <xdr:colOff>233795</xdr:colOff>
      <xdr:row>10</xdr:row>
      <xdr:rowOff>118242</xdr:rowOff>
    </xdr:to>
    <xdr:sp macro="" textlink="">
      <xdr:nvSpPr>
        <xdr:cNvPr id="8" name="Textfeld 1"/>
        <xdr:cNvSpPr txBox="1">
          <a:spLocks noChangeArrowheads="1"/>
        </xdr:cNvSpPr>
      </xdr:nvSpPr>
      <xdr:spPr bwMode="auto">
        <a:xfrm>
          <a:off x="147954" y="118512"/>
          <a:ext cx="10026477" cy="1818139"/>
        </a:xfrm>
        <a:prstGeom prst="rect">
          <a:avLst/>
        </a:prstGeom>
        <a:solidFill>
          <a:srgbClr val="FFFFFF"/>
        </a:solidFill>
        <a:ln w="9525">
          <a:solidFill>
            <a:srgbClr val="BCBCBC"/>
          </a:solidFill>
          <a:miter lim="800000"/>
          <a:headEnd/>
          <a:tailEnd/>
        </a:ln>
      </xdr:spPr>
      <xdr:txBody>
        <a:bodyPr vertOverflow="clip" wrap="square" lIns="108000" tIns="108000" rIns="108000" bIns="108000" anchor="t" upright="1"/>
        <a:lstStyle/>
        <a:p>
          <a:r>
            <a:rPr lang="en-GB" sz="1200" b="1">
              <a:effectLst/>
              <a:latin typeface="Times New Roman" panose="02020603050405020304" pitchFamily="18" charset="0"/>
              <a:ea typeface="+mn-ea"/>
              <a:cs typeface="Times New Roman" panose="02020603050405020304" pitchFamily="18" charset="0"/>
            </a:rPr>
            <a:t>Why deal with emission pathways?</a:t>
          </a:r>
          <a:endParaRPr lang="de-DE" sz="1200">
            <a:effectLst/>
            <a:latin typeface="Times New Roman" panose="02020603050405020304" pitchFamily="18" charset="0"/>
            <a:ea typeface="+mn-ea"/>
            <a:cs typeface="Times New Roman" panose="02020603050405020304" pitchFamily="18" charset="0"/>
          </a:endParaRPr>
        </a:p>
        <a:p>
          <a:r>
            <a:rPr lang="en-GB" sz="1200">
              <a:effectLst/>
              <a:latin typeface="Times New Roman" panose="02020603050405020304" pitchFamily="18" charset="0"/>
              <a:ea typeface="+mn-ea"/>
              <a:cs typeface="Times New Roman" panose="02020603050405020304" pitchFamily="18" charset="0"/>
            </a:rPr>
            <a:t> </a:t>
          </a:r>
          <a:endParaRPr lang="de-DE" sz="1200">
            <a:effectLst/>
            <a:latin typeface="Times New Roman" panose="02020603050405020304" pitchFamily="18" charset="0"/>
            <a:ea typeface="+mn-ea"/>
            <a:cs typeface="Times New Roman" panose="02020603050405020304" pitchFamily="18" charset="0"/>
          </a:endParaRPr>
        </a:p>
        <a:p>
          <a:r>
            <a:rPr lang="de-DE" sz="1200"/>
            <a:t>The tool provides seven types of scenarios that can be used to calculate global emission paths that meet a given 2020 - 2100 CO2 budget.</a:t>
          </a:r>
        </a:p>
        <a:p>
          <a:endParaRPr lang="en-GB" sz="1200">
            <a:effectLst/>
            <a:latin typeface="+mn-lt"/>
            <a:ea typeface="+mn-ea"/>
            <a:cs typeface="+mn-cs"/>
          </a:endParaRPr>
        </a:p>
        <a:p>
          <a:r>
            <a:rPr lang="de-DE" sz="1200">
              <a:effectLst/>
              <a:latin typeface="+mn-lt"/>
              <a:ea typeface="+mn-ea"/>
              <a:cs typeface="+mn-cs"/>
            </a:rPr>
            <a:t>One thing must be clear to us: the budgets published by the IPCC reflect our current knowledge. Not more but also not less. This knowledge will change - to our good or to our bad. But today, based on what we know today, we have to decide politically which budget we want to meet by the end of this century. New scientific findings may necessitate adjustments. Ignoring the current state of knowledge is irresponsible.</a:t>
          </a:r>
        </a:p>
      </xdr:txBody>
    </xdr:sp>
    <xdr:clientData/>
  </xdr:twoCellAnchor>
  <xdr:twoCellAnchor editAs="oneCell">
    <xdr:from>
      <xdr:col>25</xdr:col>
      <xdr:colOff>0</xdr:colOff>
      <xdr:row>1</xdr:row>
      <xdr:rowOff>0</xdr:rowOff>
    </xdr:from>
    <xdr:to>
      <xdr:col>31</xdr:col>
      <xdr:colOff>549100</xdr:colOff>
      <xdr:row>21</xdr:row>
      <xdr:rowOff>67366</xdr:rowOff>
    </xdr:to>
    <xdr:pic>
      <xdr:nvPicPr>
        <xdr:cNvPr id="3" name="Grafik 2"/>
        <xdr:cNvPicPr>
          <a:picLocks noChangeAspect="1"/>
        </xdr:cNvPicPr>
      </xdr:nvPicPr>
      <xdr:blipFill>
        <a:blip xmlns:r="http://schemas.openxmlformats.org/officeDocument/2006/relationships" r:embed="rId1"/>
        <a:stretch>
          <a:fillRect/>
        </a:stretch>
      </xdr:blipFill>
      <xdr:spPr>
        <a:xfrm>
          <a:off x="17335500" y="175260"/>
          <a:ext cx="5303980" cy="3572566"/>
        </a:xfrm>
        <a:prstGeom prst="rect">
          <a:avLst/>
        </a:prstGeom>
      </xdr:spPr>
    </xdr:pic>
    <xdr:clientData/>
  </xdr:twoCellAnchor>
  <xdr:twoCellAnchor>
    <xdr:from>
      <xdr:col>0</xdr:col>
      <xdr:colOff>170661</xdr:colOff>
      <xdr:row>11</xdr:row>
      <xdr:rowOff>88221</xdr:rowOff>
    </xdr:from>
    <xdr:to>
      <xdr:col>16</xdr:col>
      <xdr:colOff>242454</xdr:colOff>
      <xdr:row>37</xdr:row>
      <xdr:rowOff>25977</xdr:rowOff>
    </xdr:to>
    <xdr:sp macro="" textlink="">
      <xdr:nvSpPr>
        <xdr:cNvPr id="7" name="Textfeld 6"/>
        <xdr:cNvSpPr txBox="1"/>
      </xdr:nvSpPr>
      <xdr:spPr>
        <a:xfrm>
          <a:off x="170661" y="2097130"/>
          <a:ext cx="10012429" cy="48907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dk1"/>
              </a:solidFill>
              <a:effectLst/>
              <a:latin typeface="Times New Roman" panose="02020603050405020304" pitchFamily="18" charset="0"/>
              <a:ea typeface="+mn-ea"/>
              <a:cs typeface="Times New Roman" panose="02020603050405020304" pitchFamily="18" charset="0"/>
            </a:rPr>
            <a:t>Brief instructions on how to use the tool</a:t>
          </a:r>
          <a:endParaRPr lang="de-DE" sz="1200">
            <a:solidFill>
              <a:schemeClr val="dk1"/>
            </a:solidFill>
            <a:effectLst/>
            <a:latin typeface="Times New Roman" panose="02020603050405020304" pitchFamily="18" charset="0"/>
            <a:ea typeface="+mn-ea"/>
            <a:cs typeface="Times New Roman" panose="02020603050405020304" pitchFamily="18" charset="0"/>
          </a:endParaRPr>
        </a:p>
        <a:p>
          <a:r>
            <a:rPr lang="en-GB" sz="1200">
              <a:solidFill>
                <a:schemeClr val="dk1"/>
              </a:solidFill>
              <a:effectLst/>
              <a:latin typeface="Times New Roman" panose="02020603050405020304" pitchFamily="18" charset="0"/>
              <a:ea typeface="+mn-ea"/>
              <a:cs typeface="Times New Roman" panose="02020603050405020304" pitchFamily="18" charset="0"/>
            </a:rPr>
            <a:t>  </a:t>
          </a:r>
          <a:endParaRPr lang="de-DE" sz="1200">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In </a:t>
          </a:r>
          <a:r>
            <a:rPr kumimoji="0" lang="en-GB" sz="1200" b="1"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sheet “base data”</a:t>
          </a: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you can set the basic conditions such as the budget which is to be met and a minimum value for the emissions. </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For deriving </a:t>
          </a:r>
          <a:r>
            <a:rPr kumimoji="0" lang="en-GB" sz="1200" b="1"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global pathways </a:t>
          </a: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the tool offers six scenario types (Regensburg Model scenario types) which differ in particular in terms of different assumptions on the trajectory of annual global reduction rates and the Smooth Pathway Formula from Raupach et al.:</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1: constant annual reduction rate</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2: exponentially increasing reduction rates</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3: linear increase of the reduction rates</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4: quadratic formula for the reduction rates</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5: radical formula for the reduction rates</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RM 6: constant annual reduction amount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scenario SPM-R: Smooth Pathway Formula from Raupach et al.</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a:t>
          </a:r>
          <a:endPar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When modifying input data (which the cells shaded in yellow are designated for), you must execute the macro in sheet “</a:t>
          </a:r>
          <a:r>
            <a:rPr kumimoji="0" lang="en-GB" sz="1200" b="1"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goal seek</a:t>
          </a: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to adjust the free parameters in the scenarios RM 1 - 6 such as to meet the budget 2020 - 2100 which is set out in sheet “base data”,</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In sheet "</a:t>
          </a:r>
          <a:r>
            <a:rPr kumimoji="0" lang="en-GB" sz="1200" b="1"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graphs</a:t>
          </a:r>
          <a:r>
            <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you can see the results and important properties of the global pathways.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In the sheet </a:t>
          </a:r>
          <a:r>
            <a:rPr kumimoji="0" lang="de-DE" sz="1200" b="1"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'IPCC SR15 graphs</a:t>
          </a:r>
          <a:r>
            <a:rPr kumimoji="0" lang="de-DE" sz="1200" b="0" i="0" u="none" strike="noStrike" kern="0" cap="none" spc="0" normalizeH="0" baseline="0" noProof="0">
              <a:ln>
                <a:noFill/>
              </a:ln>
              <a:solidFill>
                <a:prstClr val="black"/>
              </a:solidFill>
              <a:effectLst/>
              <a:uLnTx/>
              <a:uFillTx/>
              <a:latin typeface="Times New Roman" panose="02020603050405020304" pitchFamily="18" charset="0"/>
              <a:ea typeface="+mn-ea"/>
              <a:cs typeface="Times New Roman" panose="02020603050405020304" pitchFamily="18" charset="0"/>
            </a:rPr>
            <a:t>' you can compare the scenario types of the Regensburg Model directly with the illustrative models of the IPCC SR15. Please note that the RM scenario types and the SR15 scenarios represent different approaches. We would like to draw particular attention to the differences between the annual reduction rates.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xdr:row>
      <xdr:rowOff>47625</xdr:rowOff>
    </xdr:from>
    <xdr:to>
      <xdr:col>37</xdr:col>
      <xdr:colOff>390525</xdr:colOff>
      <xdr:row>24</xdr:row>
      <xdr:rowOff>175441</xdr:rowOff>
    </xdr:to>
    <xdr:pic>
      <xdr:nvPicPr>
        <xdr:cNvPr id="13" name="Grafik 12"/>
        <xdr:cNvPicPr>
          <a:picLocks noChangeAspect="1"/>
        </xdr:cNvPicPr>
      </xdr:nvPicPr>
      <xdr:blipFill>
        <a:blip xmlns:r="http://schemas.openxmlformats.org/officeDocument/2006/relationships" r:embed="rId1"/>
        <a:stretch>
          <a:fillRect/>
        </a:stretch>
      </xdr:blipFill>
      <xdr:spPr>
        <a:xfrm>
          <a:off x="18087975" y="733425"/>
          <a:ext cx="8686800" cy="4499791"/>
        </a:xfrm>
        <a:prstGeom prst="rect">
          <a:avLst/>
        </a:prstGeom>
        <a:ln>
          <a:solidFill>
            <a:schemeClr val="accent1"/>
          </a:solidFill>
        </a:ln>
      </xdr:spPr>
    </xdr:pic>
    <xdr:clientData/>
  </xdr:twoCellAnchor>
  <xdr:twoCellAnchor>
    <xdr:from>
      <xdr:col>5</xdr:col>
      <xdr:colOff>123825</xdr:colOff>
      <xdr:row>8</xdr:row>
      <xdr:rowOff>123825</xdr:rowOff>
    </xdr:from>
    <xdr:to>
      <xdr:col>13</xdr:col>
      <xdr:colOff>619125</xdr:colOff>
      <xdr:row>10</xdr:row>
      <xdr:rowOff>9525</xdr:rowOff>
    </xdr:to>
    <xdr:sp macro="" textlink="">
      <xdr:nvSpPr>
        <xdr:cNvPr id="2" name="Textfeld 1"/>
        <xdr:cNvSpPr txBox="1"/>
      </xdr:nvSpPr>
      <xdr:spPr>
        <a:xfrm>
          <a:off x="4619625" y="1504950"/>
          <a:ext cx="4448175"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It is ultimately a political decision which CO2 budget we want to meet by the end of this century, taking into account the current scientific knowledge.</a:t>
          </a:r>
        </a:p>
      </xdr:txBody>
    </xdr:sp>
    <xdr:clientData/>
  </xdr:twoCellAnchor>
  <xdr:twoCellAnchor editAs="oneCell">
    <xdr:from>
      <xdr:col>15</xdr:col>
      <xdr:colOff>0</xdr:colOff>
      <xdr:row>2</xdr:row>
      <xdr:rowOff>0</xdr:rowOff>
    </xdr:from>
    <xdr:to>
      <xdr:col>24</xdr:col>
      <xdr:colOff>439198</xdr:colOff>
      <xdr:row>27</xdr:row>
      <xdr:rowOff>48381</xdr:rowOff>
    </xdr:to>
    <xdr:pic>
      <xdr:nvPicPr>
        <xdr:cNvPr id="3" name="Grafik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410700" y="295275"/>
          <a:ext cx="7506748" cy="5420481"/>
        </a:xfrm>
        <a:prstGeom prst="rect">
          <a:avLst/>
        </a:prstGeom>
      </xdr:spPr>
    </xdr:pic>
    <xdr:clientData/>
  </xdr:twoCellAnchor>
  <xdr:twoCellAnchor editAs="oneCell">
    <xdr:from>
      <xdr:col>26</xdr:col>
      <xdr:colOff>85725</xdr:colOff>
      <xdr:row>25</xdr:row>
      <xdr:rowOff>152400</xdr:rowOff>
    </xdr:from>
    <xdr:to>
      <xdr:col>37</xdr:col>
      <xdr:colOff>627534</xdr:colOff>
      <xdr:row>36</xdr:row>
      <xdr:rowOff>152120</xdr:rowOff>
    </xdr:to>
    <xdr:pic>
      <xdr:nvPicPr>
        <xdr:cNvPr id="5" name="Grafik 4"/>
        <xdr:cNvPicPr>
          <a:picLocks noChangeAspect="1"/>
        </xdr:cNvPicPr>
      </xdr:nvPicPr>
      <xdr:blipFill>
        <a:blip xmlns:r="http://schemas.openxmlformats.org/officeDocument/2006/relationships" r:embed="rId3"/>
        <a:stretch>
          <a:fillRect/>
        </a:stretch>
      </xdr:blipFill>
      <xdr:spPr>
        <a:xfrm>
          <a:off x="18087975" y="5391150"/>
          <a:ext cx="8923809" cy="2238095"/>
        </a:xfrm>
        <a:prstGeom prst="rect">
          <a:avLst/>
        </a:prstGeom>
        <a:ln>
          <a:solidFill>
            <a:schemeClr val="tx1">
              <a:lumMod val="50000"/>
              <a:lumOff val="50000"/>
            </a:schemeClr>
          </a:solidFill>
        </a:ln>
      </xdr:spPr>
    </xdr:pic>
    <xdr:clientData/>
  </xdr:twoCellAnchor>
  <xdr:twoCellAnchor>
    <xdr:from>
      <xdr:col>0</xdr:col>
      <xdr:colOff>152399</xdr:colOff>
      <xdr:row>32</xdr:row>
      <xdr:rowOff>95249</xdr:rowOff>
    </xdr:from>
    <xdr:to>
      <xdr:col>18</xdr:col>
      <xdr:colOff>761999</xdr:colOff>
      <xdr:row>52</xdr:row>
      <xdr:rowOff>66675</xdr:rowOff>
    </xdr:to>
    <xdr:sp macro="" textlink="">
      <xdr:nvSpPr>
        <xdr:cNvPr id="6" name="Textfeld 5"/>
        <xdr:cNvSpPr txBox="1"/>
      </xdr:nvSpPr>
      <xdr:spPr>
        <a:xfrm>
          <a:off x="152399" y="6838949"/>
          <a:ext cx="11782425" cy="3371851"/>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FF0000"/>
              </a:solidFill>
              <a:effectLst/>
              <a:latin typeface="+mn-lt"/>
              <a:ea typeface="+mn-ea"/>
              <a:cs typeface="+mn-cs"/>
            </a:rPr>
            <a:t>Important notes on negative emissions</a:t>
          </a:r>
        </a:p>
        <a:p>
          <a:endParaRPr lang="de-DE" sz="1400" b="1">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Since we as humanity have not acted sufficiently, compliance with the 1.5°C limit is only possible with global negative emissions. However, these global negative emissions mean that the remaining budget is temporarily exceeded. The higher the volume overshoot and the longer it lasts, the higher the likelihood that </a:t>
          </a:r>
          <a:r>
            <a:rPr lang="en-GB" sz="1400" b="1">
              <a:solidFill>
                <a:sysClr val="windowText" lastClr="000000"/>
              </a:solidFill>
              <a:effectLst/>
              <a:latin typeface="+mn-lt"/>
              <a:ea typeface="+mn-ea"/>
              <a:cs typeface="+mn-cs"/>
            </a:rPr>
            <a:t>tipping points</a:t>
          </a:r>
          <a:r>
            <a:rPr lang="en-GB" sz="1400">
              <a:solidFill>
                <a:sysClr val="windowText" lastClr="000000"/>
              </a:solidFill>
              <a:effectLst/>
              <a:latin typeface="+mn-lt"/>
              <a:ea typeface="+mn-ea"/>
              <a:cs typeface="+mn-cs"/>
            </a:rPr>
            <a:t> in the climate system will be exceeded. In the case of </a:t>
          </a:r>
          <a:r>
            <a:rPr lang="en-GB" sz="1400" b="0">
              <a:solidFill>
                <a:sysClr val="windowText" lastClr="000000"/>
              </a:solidFill>
              <a:effectLst/>
              <a:latin typeface="+mn-lt"/>
              <a:ea typeface="+mn-ea"/>
              <a:cs typeface="+mn-cs"/>
            </a:rPr>
            <a:t>tipping points</a:t>
          </a:r>
          <a:r>
            <a:rPr lang="en-GB" sz="1400">
              <a:solidFill>
                <a:sysClr val="windowText" lastClr="000000"/>
              </a:solidFill>
              <a:effectLst/>
              <a:latin typeface="+mn-lt"/>
              <a:ea typeface="+mn-ea"/>
              <a:cs typeface="+mn-cs"/>
            </a:rPr>
            <a:t> with positive feedback effects, it may be that global warming cannot be limited for example to 1.5°C despite sufficient </a:t>
          </a:r>
          <a:r>
            <a:rPr kumimoji="0" lang="de-DE" sz="1400" b="0" i="0" u="none" strike="noStrike" kern="0" cap="none" spc="0" normalizeH="0" baseline="0" noProof="0">
              <a:ln>
                <a:noFill/>
              </a:ln>
              <a:solidFill>
                <a:prstClr val="black"/>
              </a:solidFill>
              <a:effectLst/>
              <a:uLnTx/>
              <a:uFillTx/>
              <a:latin typeface="+mn-lt"/>
              <a:ea typeface="+mn-ea"/>
              <a:cs typeface="+mn-cs"/>
            </a:rPr>
            <a:t>mathematically </a:t>
          </a:r>
          <a:r>
            <a:rPr lang="en-GB" sz="1400">
              <a:solidFill>
                <a:sysClr val="windowText" lastClr="000000"/>
              </a:solidFill>
              <a:effectLst/>
              <a:latin typeface="+mn-lt"/>
              <a:ea typeface="+mn-ea"/>
              <a:cs typeface="+mn-cs"/>
            </a:rPr>
            <a:t>global negative emissions to meet the remaining budget.</a:t>
          </a:r>
        </a:p>
        <a:p>
          <a:endParaRPr lang="de-DE" sz="1400">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The later we reduce our CO2 emissions, the more we rely on global negative emissions and the higher the overshoot will be with its risks. In addition, the potential and costs of negative emissions are still relatively unclear today.</a:t>
          </a:r>
        </a:p>
        <a:p>
          <a:endParaRPr lang="en-GB" sz="14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400" b="0" i="0" u="none" strike="noStrike" kern="0" cap="none" spc="0" normalizeH="0" baseline="0" noProof="0">
              <a:ln>
                <a:noFill/>
              </a:ln>
              <a:solidFill>
                <a:sysClr val="windowText" lastClr="000000"/>
              </a:solidFill>
              <a:effectLst/>
              <a:uLnTx/>
              <a:uFillTx/>
              <a:latin typeface="+mn-lt"/>
              <a:ea typeface="+mn-ea"/>
              <a:cs typeface="+mn-cs"/>
            </a:rPr>
            <a:t>Although a scenario will meet the given CO2 budget of 2018 - 2100, the </a:t>
          </a:r>
          <a:r>
            <a:rPr kumimoji="0" lang="en-GB" sz="1400" b="1" i="0" u="sng" strike="noStrike" kern="0" cap="none" spc="0" normalizeH="0" baseline="0" noProof="0">
              <a:ln>
                <a:noFill/>
              </a:ln>
              <a:solidFill>
                <a:sysClr val="windowText" lastClr="000000"/>
              </a:solidFill>
              <a:effectLst/>
              <a:uLnTx/>
              <a:uFillTx/>
              <a:latin typeface="+mn-lt"/>
              <a:ea typeface="+mn-ea"/>
              <a:cs typeface="+mn-cs"/>
            </a:rPr>
            <a:t>overshoot</a:t>
          </a:r>
          <a:r>
            <a:rPr kumimoji="0" lang="en-GB" sz="1400" b="0" i="0" u="none" strike="noStrike" kern="0" cap="none" spc="0" normalizeH="0" baseline="0" noProof="0">
              <a:ln>
                <a:noFill/>
              </a:ln>
              <a:solidFill>
                <a:sysClr val="windowText" lastClr="000000"/>
              </a:solidFill>
              <a:effectLst/>
              <a:uLnTx/>
              <a:uFillTx/>
              <a:latin typeface="+mn-lt"/>
              <a:ea typeface="+mn-ea"/>
              <a:cs typeface="+mn-cs"/>
            </a:rPr>
            <a:t> may be </a:t>
          </a:r>
          <a:r>
            <a:rPr kumimoji="0" lang="en-GB" sz="1400" b="1" i="0" u="sng" strike="noStrike" kern="0" cap="none" spc="0" normalizeH="0" baseline="0" noProof="0">
              <a:ln>
                <a:noFill/>
              </a:ln>
              <a:solidFill>
                <a:sysClr val="windowText" lastClr="000000"/>
              </a:solidFill>
              <a:effectLst/>
              <a:uLnTx/>
              <a:uFillTx/>
              <a:latin typeface="+mn-lt"/>
              <a:ea typeface="+mn-ea"/>
              <a:cs typeface="+mn-cs"/>
            </a:rPr>
            <a:t>too high</a:t>
          </a:r>
          <a:r>
            <a:rPr kumimoji="0" lang="en-GB" sz="1400" b="0" i="0" u="none" strike="noStrike" kern="0" cap="none" spc="0" normalizeH="0" baseline="0" noProof="0">
              <a:ln>
                <a:noFill/>
              </a:ln>
              <a:solidFill>
                <a:sysClr val="windowText" lastClr="000000"/>
              </a:solidFill>
              <a:effectLst/>
              <a:uLnTx/>
              <a:uFillTx/>
              <a:latin typeface="+mn-lt"/>
              <a:ea typeface="+mn-ea"/>
              <a:cs typeface="+mn-cs"/>
            </a:rPr>
            <a:t> in terms to tipping points in the climate system, if you have given a relatively high potential for global negative emissions. The overshoot of the individual scenarios is shown in the sheets.</a:t>
          </a:r>
          <a:endParaRPr kumimoji="0" lang="de-DE" sz="1400" b="0" i="0" u="none" strike="noStrike" kern="0" cap="none" spc="0" normalizeH="0" baseline="0" noProof="0">
            <a:ln>
              <a:noFill/>
            </a:ln>
            <a:solidFill>
              <a:sysClr val="windowText" lastClr="000000"/>
            </a:solidFill>
            <a:effectLst/>
            <a:uLnTx/>
            <a:uFillTx/>
            <a:latin typeface="+mn-lt"/>
            <a:ea typeface="+mn-ea"/>
            <a:cs typeface="+mn-cs"/>
          </a:endParaRPr>
        </a:p>
        <a:p>
          <a:endParaRPr lang="de-DE" sz="1400">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With the scenario type RM-5-rad, the global paths outlined by the IPCC (see C.1 Summary for Policymakers, Special Report 2018) can best be mapped.</a:t>
          </a:r>
        </a:p>
        <a:p>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216504</xdr:colOff>
      <xdr:row>6</xdr:row>
      <xdr:rowOff>0</xdr:rowOff>
    </xdr:from>
    <xdr:to>
      <xdr:col>7</xdr:col>
      <xdr:colOff>719665</xdr:colOff>
      <xdr:row>34</xdr:row>
      <xdr:rowOff>125790</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185058</xdr:colOff>
      <xdr:row>5</xdr:row>
      <xdr:rowOff>201990</xdr:rowOff>
    </xdr:from>
    <xdr:to>
      <xdr:col>18</xdr:col>
      <xdr:colOff>197455</xdr:colOff>
      <xdr:row>34</xdr:row>
      <xdr:rowOff>108857</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238654</xdr:colOff>
      <xdr:row>36</xdr:row>
      <xdr:rowOff>25400</xdr:rowOff>
    </xdr:from>
    <xdr:to>
      <xdr:col>7</xdr:col>
      <xdr:colOff>609258</xdr:colOff>
      <xdr:row>56</xdr:row>
      <xdr:rowOff>65314</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685687</xdr:colOff>
      <xdr:row>35</xdr:row>
      <xdr:rowOff>178593</xdr:rowOff>
    </xdr:from>
    <xdr:to>
      <xdr:col>14</xdr:col>
      <xdr:colOff>714375</xdr:colOff>
      <xdr:row>56</xdr:row>
      <xdr:rowOff>67355</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370113</xdr:colOff>
      <xdr:row>6</xdr:row>
      <xdr:rowOff>10885</xdr:rowOff>
    </xdr:from>
    <xdr:to>
      <xdr:col>38</xdr:col>
      <xdr:colOff>370114</xdr:colOff>
      <xdr:row>34</xdr:row>
      <xdr:rowOff>87085</xdr:rowOff>
    </xdr:to>
    <xdr:graphicFrame macro="">
      <xdr:nvGraphicFramePr>
        <xdr:cNvPr id="4" name="Diagram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35719</xdr:colOff>
      <xdr:row>35</xdr:row>
      <xdr:rowOff>187438</xdr:rowOff>
    </xdr:from>
    <xdr:to>
      <xdr:col>24</xdr:col>
      <xdr:colOff>238124</xdr:colOff>
      <xdr:row>56</xdr:row>
      <xdr:rowOff>23813</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40</xdr:col>
      <xdr:colOff>0</xdr:colOff>
      <xdr:row>6</xdr:row>
      <xdr:rowOff>0</xdr:rowOff>
    </xdr:from>
    <xdr:to>
      <xdr:col>60</xdr:col>
      <xdr:colOff>42183</xdr:colOff>
      <xdr:row>41</xdr:row>
      <xdr:rowOff>81644</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285749</xdr:colOff>
      <xdr:row>57</xdr:row>
      <xdr:rowOff>15478</xdr:rowOff>
    </xdr:from>
    <xdr:to>
      <xdr:col>8</xdr:col>
      <xdr:colOff>440530</xdr:colOff>
      <xdr:row>76</xdr:row>
      <xdr:rowOff>107156</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904874</xdr:colOff>
      <xdr:row>57</xdr:row>
      <xdr:rowOff>0</xdr:rowOff>
    </xdr:from>
    <xdr:to>
      <xdr:col>24</xdr:col>
      <xdr:colOff>166687</xdr:colOff>
      <xdr:row>76</xdr:row>
      <xdr:rowOff>154781</xdr:rowOff>
    </xdr:to>
    <xdr:sp macro="" textlink="">
      <xdr:nvSpPr>
        <xdr:cNvPr id="13" name="Textfeld 12"/>
        <xdr:cNvSpPr txBox="1"/>
      </xdr:nvSpPr>
      <xdr:spPr>
        <a:xfrm>
          <a:off x="7965280" y="10870406"/>
          <a:ext cx="10251282" cy="3774281"/>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FF0000"/>
              </a:solidFill>
              <a:effectLst/>
              <a:latin typeface="+mn-lt"/>
              <a:ea typeface="+mn-ea"/>
              <a:cs typeface="+mn-cs"/>
            </a:rPr>
            <a:t>Important notes on negative emissions</a:t>
          </a:r>
        </a:p>
        <a:p>
          <a:endParaRPr lang="de-DE" sz="1400" b="1">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Since we as humanity have not acted sufficiently, compliance with the 1.5°C limit is only possible with global negative emissions (net negative emissions). However, these global negative emissions mean that the remaining budget is temporarily exceeded. The higher the volume overshoot and the longer it lasts, the higher the likelihood that </a:t>
          </a:r>
          <a:r>
            <a:rPr lang="en-GB" sz="1400" b="1">
              <a:solidFill>
                <a:sysClr val="windowText" lastClr="000000"/>
              </a:solidFill>
              <a:effectLst/>
              <a:latin typeface="+mn-lt"/>
              <a:ea typeface="+mn-ea"/>
              <a:cs typeface="+mn-cs"/>
            </a:rPr>
            <a:t>tipping points</a:t>
          </a:r>
          <a:r>
            <a:rPr lang="en-GB" sz="1400">
              <a:solidFill>
                <a:sysClr val="windowText" lastClr="000000"/>
              </a:solidFill>
              <a:effectLst/>
              <a:latin typeface="+mn-lt"/>
              <a:ea typeface="+mn-ea"/>
              <a:cs typeface="+mn-cs"/>
            </a:rPr>
            <a:t> in the climate system will be exceeded. In the case of </a:t>
          </a:r>
          <a:r>
            <a:rPr lang="en-GB" sz="1400" b="0">
              <a:solidFill>
                <a:sysClr val="windowText" lastClr="000000"/>
              </a:solidFill>
              <a:effectLst/>
              <a:latin typeface="+mn-lt"/>
              <a:ea typeface="+mn-ea"/>
              <a:cs typeface="+mn-cs"/>
            </a:rPr>
            <a:t>tipping points</a:t>
          </a:r>
          <a:r>
            <a:rPr lang="en-GB" sz="1400">
              <a:solidFill>
                <a:sysClr val="windowText" lastClr="000000"/>
              </a:solidFill>
              <a:effectLst/>
              <a:latin typeface="+mn-lt"/>
              <a:ea typeface="+mn-ea"/>
              <a:cs typeface="+mn-cs"/>
            </a:rPr>
            <a:t> with positive feedback effects, it may be that global warming cannot be limited for example to 1.5°C despite sufficient </a:t>
          </a:r>
          <a:r>
            <a:rPr kumimoji="0" lang="de-DE" sz="1400" b="0" i="0" u="none" strike="noStrike" kern="0" cap="none" spc="0" normalizeH="0" baseline="0" noProof="0">
              <a:ln>
                <a:noFill/>
              </a:ln>
              <a:solidFill>
                <a:prstClr val="black"/>
              </a:solidFill>
              <a:effectLst/>
              <a:uLnTx/>
              <a:uFillTx/>
              <a:latin typeface="+mn-lt"/>
              <a:ea typeface="+mn-ea"/>
              <a:cs typeface="+mn-cs"/>
            </a:rPr>
            <a:t>mathematically </a:t>
          </a:r>
          <a:r>
            <a:rPr lang="en-GB" sz="1400">
              <a:solidFill>
                <a:sysClr val="windowText" lastClr="000000"/>
              </a:solidFill>
              <a:effectLst/>
              <a:latin typeface="+mn-lt"/>
              <a:ea typeface="+mn-ea"/>
              <a:cs typeface="+mn-cs"/>
            </a:rPr>
            <a:t>global negative emissions to meet the remaining budget.</a:t>
          </a:r>
        </a:p>
        <a:p>
          <a:endParaRPr lang="de-DE" sz="1400">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The later we reduce our CO2 emissions, the more we rely on global negative emissions and the higher the overshoot will be with its risks. In addition, the potential and costs of negative emissions are still relatively unclear today.</a:t>
          </a:r>
        </a:p>
        <a:p>
          <a:endParaRPr lang="en-GB" sz="14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400" b="0" i="0" u="none" strike="noStrike" kern="0" cap="none" spc="0" normalizeH="0" baseline="0" noProof="0">
              <a:ln>
                <a:noFill/>
              </a:ln>
              <a:solidFill>
                <a:sysClr val="windowText" lastClr="000000"/>
              </a:solidFill>
              <a:effectLst/>
              <a:uLnTx/>
              <a:uFillTx/>
              <a:latin typeface="+mn-lt"/>
              <a:ea typeface="+mn-ea"/>
              <a:cs typeface="+mn-cs"/>
            </a:rPr>
            <a:t>Although a scenario will meet the given CO2 budget of 2018 - 2100, the </a:t>
          </a:r>
          <a:r>
            <a:rPr kumimoji="0" lang="en-GB" sz="1400" b="1" i="0" u="sng" strike="noStrike" kern="0" cap="none" spc="0" normalizeH="0" baseline="0" noProof="0">
              <a:ln>
                <a:noFill/>
              </a:ln>
              <a:solidFill>
                <a:sysClr val="windowText" lastClr="000000"/>
              </a:solidFill>
              <a:effectLst/>
              <a:uLnTx/>
              <a:uFillTx/>
              <a:latin typeface="+mn-lt"/>
              <a:ea typeface="+mn-ea"/>
              <a:cs typeface="+mn-cs"/>
            </a:rPr>
            <a:t>overshoot</a:t>
          </a:r>
          <a:r>
            <a:rPr kumimoji="0" lang="en-GB" sz="1400" b="0" i="0" u="none" strike="noStrike" kern="0" cap="none" spc="0" normalizeH="0" baseline="0" noProof="0">
              <a:ln>
                <a:noFill/>
              </a:ln>
              <a:solidFill>
                <a:sysClr val="windowText" lastClr="000000"/>
              </a:solidFill>
              <a:effectLst/>
              <a:uLnTx/>
              <a:uFillTx/>
              <a:latin typeface="+mn-lt"/>
              <a:ea typeface="+mn-ea"/>
              <a:cs typeface="+mn-cs"/>
            </a:rPr>
            <a:t> may be </a:t>
          </a:r>
          <a:r>
            <a:rPr kumimoji="0" lang="en-GB" sz="1400" b="1" i="0" u="sng" strike="noStrike" kern="0" cap="none" spc="0" normalizeH="0" baseline="0" noProof="0">
              <a:ln>
                <a:noFill/>
              </a:ln>
              <a:solidFill>
                <a:sysClr val="windowText" lastClr="000000"/>
              </a:solidFill>
              <a:effectLst/>
              <a:uLnTx/>
              <a:uFillTx/>
              <a:latin typeface="+mn-lt"/>
              <a:ea typeface="+mn-ea"/>
              <a:cs typeface="+mn-cs"/>
            </a:rPr>
            <a:t>too high</a:t>
          </a:r>
          <a:r>
            <a:rPr kumimoji="0" lang="en-GB" sz="1400" b="0" i="0" u="none" strike="noStrike" kern="0" cap="none" spc="0" normalizeH="0" baseline="0" noProof="0">
              <a:ln>
                <a:noFill/>
              </a:ln>
              <a:solidFill>
                <a:sysClr val="windowText" lastClr="000000"/>
              </a:solidFill>
              <a:effectLst/>
              <a:uLnTx/>
              <a:uFillTx/>
              <a:latin typeface="+mn-lt"/>
              <a:ea typeface="+mn-ea"/>
              <a:cs typeface="+mn-cs"/>
            </a:rPr>
            <a:t> in terms to tipping points in the climate system.</a:t>
          </a:r>
          <a:endParaRPr kumimoji="0" lang="de-DE" sz="1400" b="0" i="0" u="none" strike="noStrike" kern="0" cap="none" spc="0" normalizeH="0" baseline="0" noProof="0">
            <a:ln>
              <a:noFill/>
            </a:ln>
            <a:solidFill>
              <a:sysClr val="windowText" lastClr="000000"/>
            </a:solidFill>
            <a:effectLst/>
            <a:uLnTx/>
            <a:uFillTx/>
            <a:latin typeface="+mn-lt"/>
            <a:ea typeface="+mn-ea"/>
            <a:cs typeface="+mn-cs"/>
          </a:endParaRPr>
        </a:p>
        <a:p>
          <a:endParaRPr lang="de-DE" sz="1400">
            <a:solidFill>
              <a:sysClr val="windowText" lastClr="000000"/>
            </a:solidFill>
            <a:effectLst/>
            <a:latin typeface="+mn-lt"/>
            <a:ea typeface="+mn-ea"/>
            <a:cs typeface="+mn-cs"/>
          </a:endParaRPr>
        </a:p>
        <a:p>
          <a:r>
            <a:rPr lang="en-GB" sz="1400">
              <a:solidFill>
                <a:sysClr val="windowText" lastClr="000000"/>
              </a:solidFill>
              <a:effectLst/>
              <a:latin typeface="+mn-lt"/>
              <a:ea typeface="+mn-ea"/>
              <a:cs typeface="+mn-cs"/>
            </a:rPr>
            <a:t>With the scenario type </a:t>
          </a:r>
          <a:r>
            <a:rPr lang="en-GB" sz="1400" b="1">
              <a:solidFill>
                <a:srgbClr val="FF0000"/>
              </a:solidFill>
              <a:effectLst/>
              <a:latin typeface="+mn-lt"/>
              <a:ea typeface="+mn-ea"/>
              <a:cs typeface="+mn-cs"/>
            </a:rPr>
            <a:t>RM-5-rad</a:t>
          </a:r>
          <a:r>
            <a:rPr lang="en-GB" sz="1400">
              <a:solidFill>
                <a:sysClr val="windowText" lastClr="000000"/>
              </a:solidFill>
              <a:effectLst/>
              <a:latin typeface="+mn-lt"/>
              <a:ea typeface="+mn-ea"/>
              <a:cs typeface="+mn-cs"/>
            </a:rPr>
            <a:t>, the global paths outlined by the IPCC (see C.1 Summary for Policymakers, Special Report 2018) can best be mapped.</a:t>
          </a:r>
        </a:p>
        <a:p>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171450</xdr:colOff>
          <xdr:row>4</xdr:row>
          <xdr:rowOff>38100</xdr:rowOff>
        </xdr:from>
        <xdr:to>
          <xdr:col>15</xdr:col>
          <xdr:colOff>76200</xdr:colOff>
          <xdr:row>7</xdr:row>
          <xdr:rowOff>209550</xdr:rowOff>
        </xdr:to>
        <xdr:sp macro="" textlink="">
          <xdr:nvSpPr>
            <xdr:cNvPr id="2559576" name="Button 600" hidden="1">
              <a:extLst>
                <a:ext uri="{63B3BB69-23CF-44E3-9099-C40C66FF867C}">
                  <a14:compatExt spid="_x0000_s25595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sng" strike="noStrike" baseline="0">
                  <a:solidFill>
                    <a:srgbClr val="000000"/>
                  </a:solidFill>
                  <a:latin typeface="Times New Roman"/>
                  <a:cs typeface="Times New Roman"/>
                </a:rPr>
                <a:t>start macro</a:t>
              </a:r>
            </a:p>
            <a:p>
              <a:pPr algn="ctr" rtl="0">
                <a:defRPr sz="1000"/>
              </a:pPr>
              <a:r>
                <a:rPr lang="de-DE" sz="1100" b="1" i="0" u="none" strike="noStrike" baseline="0">
                  <a:solidFill>
                    <a:srgbClr val="000000"/>
                  </a:solidFill>
                  <a:latin typeface="Times New Roman"/>
                  <a:cs typeface="Times New Roman"/>
                </a:rPr>
                <a:t>Goal Seek</a:t>
              </a:r>
              <a:r>
                <a:rPr lang="de-DE" sz="1100" b="0" i="0" u="none" strike="noStrike" baseline="0">
                  <a:solidFill>
                    <a:srgbClr val="000000"/>
                  </a:solidFill>
                  <a:latin typeface="Times New Roman"/>
                  <a:cs typeface="Times New Roman"/>
                </a:rPr>
                <a:t> (or ctrl + b):</a:t>
              </a:r>
              <a:endParaRPr lang="de-DE" sz="1100" b="1" i="0" u="none" strike="noStrike" baseline="0">
                <a:solidFill>
                  <a:srgbClr val="000000"/>
                </a:solidFill>
                <a:latin typeface="Times New Roman"/>
                <a:cs typeface="Times New Roman"/>
              </a:endParaRPr>
            </a:p>
            <a:p>
              <a:pPr algn="ctr" rtl="0">
                <a:defRPr sz="1000"/>
              </a:pPr>
              <a:r>
                <a:rPr lang="de-DE" sz="900" b="0" i="0" u="none" strike="noStrike" baseline="0">
                  <a:solidFill>
                    <a:srgbClr val="000000"/>
                  </a:solidFill>
                  <a:latin typeface="Times New Roman"/>
                  <a:cs typeface="Times New Roman"/>
                </a:rPr>
                <a:t>Determination of the free parameter of scenarios 1 - 6,</a:t>
              </a:r>
            </a:p>
            <a:p>
              <a:pPr algn="ctr" rtl="0">
                <a:defRPr sz="1000"/>
              </a:pPr>
              <a:r>
                <a:rPr lang="de-DE" sz="900" b="0" i="0" u="none" strike="noStrike" baseline="0">
                  <a:solidFill>
                    <a:srgbClr val="000000"/>
                  </a:solidFill>
                  <a:latin typeface="Times New Roman"/>
                  <a:cs typeface="Times New Roman"/>
                </a:rPr>
                <a:t>so that the budget is adhered to.</a:t>
              </a:r>
            </a:p>
          </xdr:txBody>
        </xdr:sp>
        <xdr:clientData fPrintsWithSheet="0"/>
      </xdr:twoCellAnchor>
    </mc:Choice>
    <mc:Fallback/>
  </mc:AlternateContent>
  <xdr:twoCellAnchor>
    <xdr:from>
      <xdr:col>9</xdr:col>
      <xdr:colOff>76201</xdr:colOff>
      <xdr:row>9</xdr:row>
      <xdr:rowOff>47625</xdr:rowOff>
    </xdr:from>
    <xdr:to>
      <xdr:col>15</xdr:col>
      <xdr:colOff>257176</xdr:colOff>
      <xdr:row>24</xdr:row>
      <xdr:rowOff>76200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85725</xdr:colOff>
      <xdr:row>24</xdr:row>
      <xdr:rowOff>114300</xdr:rowOff>
    </xdr:from>
    <xdr:to>
      <xdr:col>15</xdr:col>
      <xdr:colOff>295275</xdr:colOff>
      <xdr:row>39</xdr:row>
      <xdr:rowOff>95250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209550</xdr:colOff>
      <xdr:row>31</xdr:row>
      <xdr:rowOff>76200</xdr:rowOff>
    </xdr:from>
    <xdr:to>
      <xdr:col>7</xdr:col>
      <xdr:colOff>655780</xdr:colOff>
      <xdr:row>63</xdr:row>
      <xdr:rowOff>156357</xdr:rowOff>
    </xdr:to>
    <xdr:pic>
      <xdr:nvPicPr>
        <xdr:cNvPr id="4" name="Grafik 3"/>
        <xdr:cNvPicPr>
          <a:picLocks noChangeAspect="1"/>
        </xdr:cNvPicPr>
      </xdr:nvPicPr>
      <xdr:blipFill>
        <a:blip xmlns:r="http://schemas.openxmlformats.org/officeDocument/2006/relationships" r:embed="rId3"/>
        <a:stretch>
          <a:fillRect/>
        </a:stretch>
      </xdr:blipFill>
      <xdr:spPr>
        <a:xfrm>
          <a:off x="2790825" y="5934075"/>
          <a:ext cx="5303980" cy="60904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0</xdr:colOff>
      <xdr:row>99</xdr:row>
      <xdr:rowOff>0</xdr:rowOff>
    </xdr:from>
    <xdr:to>
      <xdr:col>16</xdr:col>
      <xdr:colOff>426720</xdr:colOff>
      <xdr:row>110</xdr:row>
      <xdr:rowOff>22860</xdr:rowOff>
    </xdr:to>
    <xdr:pic>
      <xdr:nvPicPr>
        <xdr:cNvPr id="12" name="Grafik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20840" y="17388840"/>
          <a:ext cx="3505200" cy="18821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57</xdr:col>
      <xdr:colOff>60960</xdr:colOff>
      <xdr:row>100</xdr:row>
      <xdr:rowOff>114300</xdr:rowOff>
    </xdr:from>
    <xdr:to>
      <xdr:col>63</xdr:col>
      <xdr:colOff>966687</xdr:colOff>
      <xdr:row>119</xdr:row>
      <xdr:rowOff>108481</xdr:rowOff>
    </xdr:to>
    <xdr:pic>
      <xdr:nvPicPr>
        <xdr:cNvPr id="2" name="Grafik 1"/>
        <xdr:cNvPicPr>
          <a:picLocks noChangeAspect="1"/>
        </xdr:cNvPicPr>
      </xdr:nvPicPr>
      <xdr:blipFill>
        <a:blip xmlns:r="http://schemas.openxmlformats.org/officeDocument/2006/relationships" r:embed="rId2"/>
        <a:stretch>
          <a:fillRect/>
        </a:stretch>
      </xdr:blipFill>
      <xdr:spPr>
        <a:xfrm>
          <a:off x="25222200" y="17983200"/>
          <a:ext cx="5432007" cy="3194581"/>
        </a:xfrm>
        <a:prstGeom prst="rect">
          <a:avLst/>
        </a:prstGeom>
      </xdr:spPr>
    </xdr:pic>
    <xdr:clientData/>
  </xdr:twoCellAnchor>
  <xdr:twoCellAnchor>
    <xdr:from>
      <xdr:col>57</xdr:col>
      <xdr:colOff>161925</xdr:colOff>
      <xdr:row>120</xdr:row>
      <xdr:rowOff>152399</xdr:rowOff>
    </xdr:from>
    <xdr:to>
      <xdr:col>63</xdr:col>
      <xdr:colOff>1009650</xdr:colOff>
      <xdr:row>124</xdr:row>
      <xdr:rowOff>38100</xdr:rowOff>
    </xdr:to>
    <mc:AlternateContent xmlns:mc="http://schemas.openxmlformats.org/markup-compatibility/2006" xmlns:a14="http://schemas.microsoft.com/office/drawing/2010/main">
      <mc:Choice Requires="a14">
        <xdr:sp macro="" textlink="">
          <xdr:nvSpPr>
            <xdr:cNvPr id="3" name="Textfeld 2"/>
            <xdr:cNvSpPr txBox="1"/>
          </xdr:nvSpPr>
          <xdr:spPr>
            <a:xfrm>
              <a:off x="24603075" y="20840699"/>
              <a:ext cx="5238750" cy="5334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b="1" i="1"/>
                <a:t>i</a:t>
              </a:r>
              <a:r>
                <a:rPr lang="de-DE" sz="1100" b="1"/>
                <a:t> stands for the world in this case</a:t>
              </a:r>
            </a:p>
            <a:p>
              <a:pPr marL="0" marR="0" lvl="0" indent="0" algn="ctr"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p>
                    <m:sSupPr>
                      <m:ctrlPr>
                        <a:rPr lang="de-DE" sz="1100" b="1" i="1">
                          <a:solidFill>
                            <a:schemeClr val="dk1"/>
                          </a:solidFill>
                          <a:effectLst/>
                          <a:latin typeface="Cambria Math" panose="02040503050406030204" pitchFamily="18" charset="0"/>
                          <a:ea typeface="+mn-ea"/>
                          <a:cs typeface="+mn-cs"/>
                        </a:rPr>
                      </m:ctrlPr>
                    </m:sSupPr>
                    <m:e>
                      <m:r>
                        <a:rPr lang="en-GB" sz="1100" b="1" i="1">
                          <a:solidFill>
                            <a:schemeClr val="dk1"/>
                          </a:solidFill>
                          <a:effectLst/>
                          <a:latin typeface="Cambria Math" panose="02040503050406030204" pitchFamily="18" charset="0"/>
                          <a:ea typeface="+mn-ea"/>
                          <a:cs typeface="+mn-cs"/>
                        </a:rPr>
                        <m:t>𝑹𝑩</m:t>
                      </m:r>
                    </m:e>
                    <m:sup>
                      <m:r>
                        <a:rPr lang="en-GB" sz="1100" b="1" i="1">
                          <a:solidFill>
                            <a:schemeClr val="dk1"/>
                          </a:solidFill>
                          <a:effectLst/>
                          <a:latin typeface="Cambria Math" panose="02040503050406030204" pitchFamily="18" charset="0"/>
                          <a:ea typeface="+mn-ea"/>
                          <a:cs typeface="+mn-cs"/>
                        </a:rPr>
                        <m:t>𝒊</m:t>
                      </m:r>
                    </m:sup>
                  </m:sSup>
                  <m:r>
                    <a:rPr lang="de-DE" sz="1100" b="1" i="0">
                      <a:solidFill>
                        <a:schemeClr val="dk1"/>
                      </a:solidFill>
                      <a:effectLst/>
                      <a:latin typeface="Cambria Math" panose="02040503050406030204" pitchFamily="18" charset="0"/>
                      <a:ea typeface="+mn-ea"/>
                      <a:cs typeface="+mn-cs"/>
                    </a:rPr>
                    <m:t>: </m:t>
                  </m:r>
                </m:oMath>
              </a14:m>
              <a:r>
                <a:rPr lang="en-GB" sz="1100" b="1">
                  <a:solidFill>
                    <a:schemeClr val="dk1"/>
                  </a:solidFill>
                  <a:effectLst/>
                  <a:latin typeface="+mn-lt"/>
                  <a:ea typeface="+mn-ea"/>
                  <a:cs typeface="+mn-cs"/>
                </a:rPr>
                <a:t>remaining global budget</a:t>
              </a:r>
              <a:endParaRPr lang="de-DE" sz="1100" b="1">
                <a:solidFill>
                  <a:schemeClr val="dk1"/>
                </a:solidFill>
                <a:effectLst/>
                <a:latin typeface="+mn-lt"/>
                <a:ea typeface="+mn-ea"/>
                <a:cs typeface="+mn-cs"/>
              </a:endParaRPr>
            </a:p>
            <a:p>
              <a:pPr algn="ctr"/>
              <a:endParaRPr lang="de-DE" sz="1100" b="1"/>
            </a:p>
          </xdr:txBody>
        </xdr:sp>
      </mc:Choice>
      <mc:Fallback xmlns="">
        <xdr:sp macro="" textlink="">
          <xdr:nvSpPr>
            <xdr:cNvPr id="3" name="Textfeld 2"/>
            <xdr:cNvSpPr txBox="1"/>
          </xdr:nvSpPr>
          <xdr:spPr>
            <a:xfrm>
              <a:off x="24603075" y="20840699"/>
              <a:ext cx="5238750" cy="5334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b="1" i="1"/>
                <a:t>i</a:t>
              </a:r>
              <a:r>
                <a:rPr lang="de-DE" sz="1100" b="1"/>
                <a:t> stands for the world in this case</a:t>
              </a:r>
            </a:p>
            <a:p>
              <a:pPr marL="0" marR="0" lvl="0" indent="0" algn="ctr" defTabSz="914400" eaLnBrk="1" fontAlgn="auto" latinLnBrk="0" hangingPunct="1">
                <a:lnSpc>
                  <a:spcPct val="100000"/>
                </a:lnSpc>
                <a:spcBef>
                  <a:spcPts val="0"/>
                </a:spcBef>
                <a:spcAft>
                  <a:spcPts val="0"/>
                </a:spcAft>
                <a:buClrTx/>
                <a:buSzTx/>
                <a:buFontTx/>
                <a:buNone/>
                <a:tabLst/>
                <a:defRPr/>
              </a:pPr>
              <a:r>
                <a:rPr lang="de-DE" sz="1100" b="1" i="0">
                  <a:solidFill>
                    <a:schemeClr val="dk1"/>
                  </a:solidFill>
                  <a:effectLst/>
                  <a:latin typeface="+mn-lt"/>
                  <a:ea typeface="+mn-ea"/>
                  <a:cs typeface="+mn-cs"/>
                </a:rPr>
                <a:t>〖</a:t>
              </a:r>
              <a:r>
                <a:rPr lang="en-GB" sz="1100" b="1" i="0">
                  <a:solidFill>
                    <a:schemeClr val="dk1"/>
                  </a:solidFill>
                  <a:effectLst/>
                  <a:latin typeface="+mn-lt"/>
                  <a:ea typeface="+mn-ea"/>
                  <a:cs typeface="+mn-cs"/>
                </a:rPr>
                <a:t>𝑹𝑩</a:t>
              </a:r>
              <a:r>
                <a:rPr lang="de-DE" sz="1100" b="1" i="0">
                  <a:solidFill>
                    <a:schemeClr val="dk1"/>
                  </a:solidFill>
                  <a:effectLst/>
                  <a:latin typeface="+mn-lt"/>
                  <a:ea typeface="+mn-ea"/>
                  <a:cs typeface="+mn-cs"/>
                </a:rPr>
                <a:t>〗^</a:t>
              </a:r>
              <a:r>
                <a:rPr lang="en-GB" sz="1100" b="1" i="0">
                  <a:solidFill>
                    <a:schemeClr val="dk1"/>
                  </a:solidFill>
                  <a:effectLst/>
                  <a:latin typeface="+mn-lt"/>
                  <a:ea typeface="+mn-ea"/>
                  <a:cs typeface="+mn-cs"/>
                </a:rPr>
                <a:t>𝒊</a:t>
              </a:r>
              <a:r>
                <a:rPr lang="de-DE" sz="1100" b="1" i="0">
                  <a:solidFill>
                    <a:schemeClr val="dk1"/>
                  </a:solidFill>
                  <a:effectLst/>
                  <a:latin typeface="Cambria Math" panose="02040503050406030204" pitchFamily="18" charset="0"/>
                  <a:ea typeface="+mn-ea"/>
                  <a:cs typeface="+mn-cs"/>
                </a:rPr>
                <a:t>: </a:t>
              </a:r>
              <a:r>
                <a:rPr lang="en-GB" sz="1100" b="1">
                  <a:solidFill>
                    <a:schemeClr val="dk1"/>
                  </a:solidFill>
                  <a:effectLst/>
                  <a:latin typeface="+mn-lt"/>
                  <a:ea typeface="+mn-ea"/>
                  <a:cs typeface="+mn-cs"/>
                </a:rPr>
                <a:t>remaining global budget</a:t>
              </a:r>
              <a:endParaRPr lang="de-DE" sz="1100" b="1">
                <a:solidFill>
                  <a:schemeClr val="dk1"/>
                </a:solidFill>
                <a:effectLst/>
                <a:latin typeface="+mn-lt"/>
                <a:ea typeface="+mn-ea"/>
                <a:cs typeface="+mn-cs"/>
              </a:endParaRPr>
            </a:p>
            <a:p>
              <a:pPr algn="ctr"/>
              <a:endParaRPr lang="de-DE" sz="1100" b="1"/>
            </a:p>
          </xdr:txBody>
        </xdr:sp>
      </mc:Fallback>
    </mc:AlternateContent>
    <xdr:clientData/>
  </xdr:twoCellAnchor>
  <xdr:twoCellAnchor editAs="oneCell">
    <xdr:from>
      <xdr:col>60</xdr:col>
      <xdr:colOff>342900</xdr:colOff>
      <xdr:row>114</xdr:row>
      <xdr:rowOff>68580</xdr:rowOff>
    </xdr:from>
    <xdr:to>
      <xdr:col>63</xdr:col>
      <xdr:colOff>183686</xdr:colOff>
      <xdr:row>119</xdr:row>
      <xdr:rowOff>76200</xdr:rowOff>
    </xdr:to>
    <xdr:pic>
      <xdr:nvPicPr>
        <xdr:cNvPr id="6" name="Grafik 5"/>
        <xdr:cNvPicPr>
          <a:picLocks noChangeAspect="1"/>
        </xdr:cNvPicPr>
      </xdr:nvPicPr>
      <xdr:blipFill>
        <a:blip xmlns:r="http://schemas.openxmlformats.org/officeDocument/2006/relationships" r:embed="rId3"/>
        <a:stretch>
          <a:fillRect/>
        </a:stretch>
      </xdr:blipFill>
      <xdr:spPr>
        <a:xfrm>
          <a:off x="27782520" y="20322540"/>
          <a:ext cx="2187746" cy="845820"/>
        </a:xfrm>
        <a:prstGeom prst="rect">
          <a:avLst/>
        </a:prstGeom>
      </xdr:spPr>
    </xdr:pic>
    <xdr:clientData/>
  </xdr:twoCellAnchor>
  <xdr:twoCellAnchor editAs="oneCell">
    <xdr:from>
      <xdr:col>48</xdr:col>
      <xdr:colOff>600075</xdr:colOff>
      <xdr:row>100</xdr:row>
      <xdr:rowOff>0</xdr:rowOff>
    </xdr:from>
    <xdr:to>
      <xdr:col>53</xdr:col>
      <xdr:colOff>561505</xdr:colOff>
      <xdr:row>101</xdr:row>
      <xdr:rowOff>69743</xdr:rowOff>
    </xdr:to>
    <xdr:pic>
      <xdr:nvPicPr>
        <xdr:cNvPr id="5" name="Grafik 4"/>
        <xdr:cNvPicPr>
          <a:picLocks noChangeAspect="1"/>
        </xdr:cNvPicPr>
      </xdr:nvPicPr>
      <xdr:blipFill>
        <a:blip xmlns:r="http://schemas.openxmlformats.org/officeDocument/2006/relationships" r:embed="rId4"/>
        <a:stretch>
          <a:fillRect/>
        </a:stretch>
      </xdr:blipFill>
      <xdr:spPr>
        <a:xfrm>
          <a:off x="31213425" y="17602200"/>
          <a:ext cx="3371380" cy="231668"/>
        </a:xfrm>
        <a:prstGeom prst="rect">
          <a:avLst/>
        </a:prstGeom>
      </xdr:spPr>
    </xdr:pic>
    <xdr:clientData/>
  </xdr:twoCellAnchor>
  <xdr:twoCellAnchor editAs="oneCell">
    <xdr:from>
      <xdr:col>21</xdr:col>
      <xdr:colOff>9525</xdr:colOff>
      <xdr:row>103</xdr:row>
      <xdr:rowOff>85725</xdr:rowOff>
    </xdr:from>
    <xdr:to>
      <xdr:col>28</xdr:col>
      <xdr:colOff>417655</xdr:colOff>
      <xdr:row>141</xdr:row>
      <xdr:rowOff>23007</xdr:rowOff>
    </xdr:to>
    <xdr:pic>
      <xdr:nvPicPr>
        <xdr:cNvPr id="7" name="Grafik 6"/>
        <xdr:cNvPicPr>
          <a:picLocks noChangeAspect="1"/>
        </xdr:cNvPicPr>
      </xdr:nvPicPr>
      <xdr:blipFill>
        <a:blip xmlns:r="http://schemas.openxmlformats.org/officeDocument/2006/relationships" r:embed="rId5"/>
        <a:stretch>
          <a:fillRect/>
        </a:stretch>
      </xdr:blipFill>
      <xdr:spPr>
        <a:xfrm>
          <a:off x="12430125" y="18192750"/>
          <a:ext cx="5303980" cy="60904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216504</xdr:colOff>
      <xdr:row>7</xdr:row>
      <xdr:rowOff>0</xdr:rowOff>
    </xdr:from>
    <xdr:to>
      <xdr:col>7</xdr:col>
      <xdr:colOff>719665</xdr:colOff>
      <xdr:row>35</xdr:row>
      <xdr:rowOff>125790</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798891</xdr:colOff>
      <xdr:row>7</xdr:row>
      <xdr:rowOff>1964</xdr:rowOff>
    </xdr:from>
    <xdr:to>
      <xdr:col>16</xdr:col>
      <xdr:colOff>1509788</xdr:colOff>
      <xdr:row>35</xdr:row>
      <xdr:rowOff>108856</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179641</xdr:colOff>
      <xdr:row>37</xdr:row>
      <xdr:rowOff>148719</xdr:rowOff>
    </xdr:from>
    <xdr:to>
      <xdr:col>7</xdr:col>
      <xdr:colOff>549728</xdr:colOff>
      <xdr:row>57</xdr:row>
      <xdr:rowOff>188633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852202</xdr:colOff>
      <xdr:row>37</xdr:row>
      <xdr:rowOff>146602</xdr:rowOff>
    </xdr:from>
    <xdr:to>
      <xdr:col>14</xdr:col>
      <xdr:colOff>473727</xdr:colOff>
      <xdr:row>57</xdr:row>
      <xdr:rowOff>156278</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554017</xdr:colOff>
      <xdr:row>37</xdr:row>
      <xdr:rowOff>149074</xdr:rowOff>
    </xdr:from>
    <xdr:to>
      <xdr:col>21</xdr:col>
      <xdr:colOff>297714</xdr:colOff>
      <xdr:row>57</xdr:row>
      <xdr:rowOff>148167</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1619250</xdr:colOff>
      <xdr:row>6</xdr:row>
      <xdr:rowOff>179916</xdr:rowOff>
    </xdr:from>
    <xdr:to>
      <xdr:col>26</xdr:col>
      <xdr:colOff>338666</xdr:colOff>
      <xdr:row>35</xdr:row>
      <xdr:rowOff>104740</xdr:rowOff>
    </xdr:to>
    <xdr:pic>
      <xdr:nvPicPr>
        <xdr:cNvPr id="10" name="Grafik 9"/>
        <xdr:cNvPicPr>
          <a:picLocks noChangeAspect="1"/>
        </xdr:cNvPicPr>
      </xdr:nvPicPr>
      <xdr:blipFill>
        <a:blip xmlns:r="http://schemas.openxmlformats.org/officeDocument/2006/relationships" r:embed="rId6"/>
        <a:stretch>
          <a:fillRect/>
        </a:stretch>
      </xdr:blipFill>
      <xdr:spPr>
        <a:xfrm>
          <a:off x="15303500" y="1312333"/>
          <a:ext cx="5344583" cy="54281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20</xdr:col>
      <xdr:colOff>152400</xdr:colOff>
      <xdr:row>42</xdr:row>
      <xdr:rowOff>97831</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0" y="400050"/>
          <a:ext cx="7772400" cy="7898806"/>
        </a:xfrm>
        <a:prstGeom prst="rect">
          <a:avLst/>
        </a:prstGeom>
        <a:ln>
          <a:solidFill>
            <a:schemeClr val="tx1">
              <a:lumMod val="50000"/>
              <a:lumOff val="50000"/>
            </a:schemeClr>
          </a:solidFill>
        </a:ln>
      </xdr:spPr>
    </xdr:pic>
    <xdr:clientData/>
  </xdr:twoCellAnchor>
</xdr:wsDr>
</file>

<file path=xl/drawings/drawing8.xml><?xml version="1.0" encoding="utf-8"?>
<xdr:wsDr xmlns:xdr="http://schemas.openxmlformats.org/drawingml/2006/spreadsheetDrawing" xmlns:a="http://schemas.openxmlformats.org/drawingml/2006/main">
  <xdr:oneCellAnchor>
    <xdr:from>
      <xdr:col>8</xdr:col>
      <xdr:colOff>358775</xdr:colOff>
      <xdr:row>0</xdr:row>
      <xdr:rowOff>150813</xdr:rowOff>
    </xdr:from>
    <xdr:ext cx="2145737" cy="286590"/>
    <mc:AlternateContent xmlns:mc="http://schemas.openxmlformats.org/markup-compatibility/2006" xmlns:a14="http://schemas.microsoft.com/office/drawing/2010/main">
      <mc:Choice Requires="a14">
        <xdr:sp macro="" textlink="">
          <xdr:nvSpPr>
            <xdr:cNvPr id="14" name="Textfeld 13"/>
            <xdr:cNvSpPr txBox="1"/>
          </xdr:nvSpPr>
          <xdr:spPr>
            <a:xfrm>
              <a:off x="4906963" y="150813"/>
              <a:ext cx="2145737" cy="286590"/>
            </a:xfrm>
            <a:prstGeom prst="rect">
              <a:avLst/>
            </a:prstGeom>
            <a:solidFill>
              <a:schemeClr val="bg1"/>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center"/>
                  </m:oMathParaPr>
                  <m:oMath xmlns:m="http://schemas.openxmlformats.org/officeDocument/2006/math">
                    <m:sSub>
                      <m:sSubPr>
                        <m:ctrlPr>
                          <a:rPr lang="de-DE" sz="1200" b="0" i="1">
                            <a:latin typeface="Cambria Math" panose="02040503050406030204" pitchFamily="18" charset="0"/>
                          </a:rPr>
                        </m:ctrlPr>
                      </m:sSubPr>
                      <m:e>
                        <m:r>
                          <a:rPr lang="de-DE" sz="1200" b="0" i="1">
                            <a:latin typeface="Cambria Math" panose="02040503050406030204" pitchFamily="18" charset="0"/>
                          </a:rPr>
                          <m:t>𝑅𝑅</m:t>
                        </m:r>
                      </m:e>
                      <m:sub>
                        <m:r>
                          <a:rPr lang="de-DE" sz="1200" b="0" i="1">
                            <a:latin typeface="Cambria Math" panose="02040503050406030204" pitchFamily="18" charset="0"/>
                          </a:rPr>
                          <m:t>𝑡</m:t>
                        </m:r>
                      </m:sub>
                    </m:sSub>
                    <m:r>
                      <a:rPr lang="de-DE" sz="1200" b="0" i="1">
                        <a:latin typeface="Cambria Math" panose="02040503050406030204" pitchFamily="18" charset="0"/>
                      </a:rPr>
                      <m:t>=</m:t>
                    </m:r>
                    <m:sSup>
                      <m:sSupPr>
                        <m:ctrlPr>
                          <a:rPr lang="de-DE" sz="1200" b="0" i="1">
                            <a:latin typeface="Cambria Math" panose="02040503050406030204" pitchFamily="18" charset="0"/>
                          </a:rPr>
                        </m:ctrlPr>
                      </m:sSupPr>
                      <m:e>
                        <m:r>
                          <a:rPr lang="de-DE" sz="1200" b="0" i="1">
                            <a:latin typeface="Cambria Math" panose="02040503050406030204" pitchFamily="18" charset="0"/>
                          </a:rPr>
                          <m:t>𝑎</m:t>
                        </m:r>
                        <m:r>
                          <a:rPr lang="de-DE" sz="1200" b="0" i="1">
                            <a:latin typeface="Cambria Math"/>
                          </a:rPr>
                          <m:t>∗</m:t>
                        </m:r>
                        <m:r>
                          <a:rPr lang="de-DE" sz="1200" b="0" i="1">
                            <a:latin typeface="Cambria Math" panose="02040503050406030204" pitchFamily="18" charset="0"/>
                          </a:rPr>
                          <m:t>(</m:t>
                        </m:r>
                        <m:r>
                          <a:rPr lang="de-DE" sz="1200" b="0" i="1">
                            <a:latin typeface="Cambria Math" panose="02040503050406030204" pitchFamily="18" charset="0"/>
                          </a:rPr>
                          <m:t>𝑡</m:t>
                        </m:r>
                        <m:r>
                          <a:rPr lang="de-DE" sz="1200" b="0" i="1">
                            <a:latin typeface="Cambria Math" panose="02040503050406030204" pitchFamily="18" charset="0"/>
                          </a:rPr>
                          <m:t>−2020)</m:t>
                        </m:r>
                      </m:e>
                      <m:sup>
                        <m:r>
                          <a:rPr lang="de-DE" sz="1200" b="0" i="1">
                            <a:latin typeface="Cambria Math" panose="02040503050406030204" pitchFamily="18" charset="0"/>
                          </a:rPr>
                          <m:t>2</m:t>
                        </m:r>
                      </m:sup>
                    </m:sSup>
                    <m:r>
                      <a:rPr lang="de-DE" sz="1200" b="0" i="1">
                        <a:latin typeface="Cambria Math"/>
                      </a:rPr>
                      <m:t>+</m:t>
                    </m:r>
                    <m:sSub>
                      <m:sSubPr>
                        <m:ctrlPr>
                          <a:rPr lang="de-DE" sz="1200" b="0" i="1">
                            <a:latin typeface="Cambria Math" panose="02040503050406030204" pitchFamily="18" charset="0"/>
                          </a:rPr>
                        </m:ctrlPr>
                      </m:sSubPr>
                      <m:e>
                        <m:r>
                          <a:rPr lang="de-DE" sz="1200" b="0" i="1">
                            <a:latin typeface="Cambria Math" panose="02040503050406030204" pitchFamily="18" charset="0"/>
                          </a:rPr>
                          <m:t>𝑅𝑅</m:t>
                        </m:r>
                      </m:e>
                      <m:sub>
                        <m:r>
                          <a:rPr lang="de-DE" sz="1200" b="0" i="1">
                            <a:latin typeface="Cambria Math" panose="02040503050406030204" pitchFamily="18" charset="0"/>
                          </a:rPr>
                          <m:t>20</m:t>
                        </m:r>
                      </m:sub>
                    </m:sSub>
                  </m:oMath>
                </m:oMathPara>
              </a14:m>
              <a:endParaRPr lang="de-DE" sz="1100"/>
            </a:p>
          </xdr:txBody>
        </xdr:sp>
      </mc:Choice>
      <mc:Fallback xmlns="">
        <xdr:sp macro="" textlink="">
          <xdr:nvSpPr>
            <xdr:cNvPr id="14" name="Textfeld 13"/>
            <xdr:cNvSpPr txBox="1"/>
          </xdr:nvSpPr>
          <xdr:spPr>
            <a:xfrm>
              <a:off x="4906963" y="150813"/>
              <a:ext cx="2145737" cy="286590"/>
            </a:xfrm>
            <a:prstGeom prst="rect">
              <a:avLst/>
            </a:prstGeom>
            <a:solidFill>
              <a:schemeClr val="bg1"/>
            </a:solidFill>
            <a:ln>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de-DE" sz="1200" b="0" i="0">
                  <a:latin typeface="Cambria Math" panose="02040503050406030204" pitchFamily="18" charset="0"/>
                </a:rPr>
                <a:t>〖𝑅𝑅〗_𝑡=〖𝑎</a:t>
              </a:r>
              <a:r>
                <a:rPr lang="de-DE" sz="1200" b="0" i="0">
                  <a:latin typeface="Cambria Math"/>
                </a:rPr>
                <a:t>∗</a:t>
              </a:r>
              <a:r>
                <a:rPr lang="de-DE" sz="1200" b="0" i="0">
                  <a:latin typeface="Cambria Math" panose="02040503050406030204" pitchFamily="18" charset="0"/>
                </a:rPr>
                <a:t>(𝑡−2020)〗^2</a:t>
              </a:r>
              <a:r>
                <a:rPr lang="de-DE" sz="1200" b="0" i="0">
                  <a:latin typeface="Cambria Math"/>
                </a:rPr>
                <a:t>+</a:t>
              </a:r>
              <a:r>
                <a:rPr lang="de-DE" sz="1200" b="0" i="0">
                  <a:latin typeface="Cambria Math" panose="02040503050406030204" pitchFamily="18" charset="0"/>
                </a:rPr>
                <a:t>〖𝑅𝑅〗_20</a:t>
              </a:r>
              <a:endParaRPr lang="de-DE" sz="1100"/>
            </a:p>
          </xdr:txBody>
        </xdr:sp>
      </mc:Fallback>
    </mc:AlternateContent>
    <xdr:clientData/>
  </xdr:oneCellAnchor>
  <xdr:twoCellAnchor>
    <xdr:from>
      <xdr:col>0</xdr:col>
      <xdr:colOff>0</xdr:colOff>
      <xdr:row>7</xdr:row>
      <xdr:rowOff>136526</xdr:rowOff>
    </xdr:from>
    <xdr:to>
      <xdr:col>9</xdr:col>
      <xdr:colOff>33337</xdr:colOff>
      <xdr:row>23</xdr:row>
      <xdr:rowOff>80963</xdr:rowOff>
    </xdr:to>
    <mc:AlternateContent xmlns:mc="http://schemas.openxmlformats.org/markup-compatibility/2006" xmlns:a14="http://schemas.microsoft.com/office/drawing/2010/main">
      <mc:Choice Requires="a14">
        <xdr:sp macro="" textlink="">
          <xdr:nvSpPr>
            <xdr:cNvPr id="3" name="Textfeld 2"/>
            <xdr:cNvSpPr txBox="1"/>
          </xdr:nvSpPr>
          <xdr:spPr>
            <a:xfrm>
              <a:off x="0" y="1470026"/>
              <a:ext cx="5331618" cy="29924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spcAft>
                  <a:spcPts val="600"/>
                </a:spcAft>
              </a:pPr>
              <a14:m>
                <m:oMathPara xmlns:m="http://schemas.openxmlformats.org/officeDocument/2006/math">
                  <m:oMathParaPr>
                    <m:jc m:val="centerGroup"/>
                  </m:oMathParaPr>
                  <m:oMath xmlns:m="http://schemas.openxmlformats.org/officeDocument/2006/math">
                    <m:sSubSup>
                      <m:sSubSupPr>
                        <m:ctrlPr>
                          <a:rPr lang="de-DE" sz="1100" i="1">
                            <a:effectLst/>
                            <a:latin typeface="Cambria Math" panose="02040503050406030204" pitchFamily="18" charset="0"/>
                            <a:ea typeface="Times New Roman" panose="02020603050405020304" pitchFamily="18" charset="0"/>
                          </a:rPr>
                        </m:ctrlPr>
                      </m:sSubSupPr>
                      <m:e>
                        <m:r>
                          <a:rPr lang="en-GB" sz="1100" i="1">
                            <a:effectLst/>
                            <a:latin typeface="Cambria Math" panose="02040503050406030204" pitchFamily="18" charset="0"/>
                            <a:ea typeface="Times New Roman" panose="02020603050405020304" pitchFamily="18" charset="0"/>
                          </a:rPr>
                          <m:t>𝐸</m:t>
                        </m:r>
                      </m:e>
                      <m:sub>
                        <m:r>
                          <a:rPr lang="en-GB" sz="1100" i="1">
                            <a:effectLst/>
                            <a:latin typeface="Cambria Math" panose="02040503050406030204" pitchFamily="18" charset="0"/>
                            <a:ea typeface="Times New Roman" panose="02020603050405020304" pitchFamily="18" charset="0"/>
                          </a:rPr>
                          <m:t>𝑡</m:t>
                        </m:r>
                      </m:sub>
                      <m:sup>
                        <m:r>
                          <a:rPr lang="en-GB" sz="1100" i="1">
                            <a:effectLst/>
                            <a:latin typeface="Cambria Math" panose="02040503050406030204" pitchFamily="18" charset="0"/>
                            <a:ea typeface="Times New Roman" panose="02020603050405020304" pitchFamily="18" charset="0"/>
                          </a:rPr>
                          <m:t>𝑖</m:t>
                        </m:r>
                      </m:sup>
                    </m:sSubSup>
                    <m:r>
                      <a:rPr lang="en-GB" sz="1100" i="1">
                        <a:effectLst/>
                        <a:latin typeface="Cambria Math" panose="02040503050406030204" pitchFamily="18" charset="0"/>
                        <a:ea typeface="Times New Roman" panose="02020603050405020304" pitchFamily="18" charset="0"/>
                      </a:rPr>
                      <m:t>=</m:t>
                    </m:r>
                    <m:nary>
                      <m:naryPr>
                        <m:limLoc m:val="subSup"/>
                        <m:ctrlPr>
                          <a:rPr lang="de-DE" sz="1100" i="1">
                            <a:effectLst/>
                            <a:latin typeface="Cambria Math" panose="02040503050406030204" pitchFamily="18" charset="0"/>
                            <a:ea typeface="Times New Roman" panose="02020603050405020304" pitchFamily="18" charset="0"/>
                          </a:rPr>
                        </m:ctrlPr>
                      </m:naryPr>
                      <m:sub>
                        <m:r>
                          <a:rPr lang="en-GB" sz="1100" i="1">
                            <a:effectLst/>
                            <a:latin typeface="Cambria Math" panose="02040503050406030204" pitchFamily="18" charset="0"/>
                            <a:ea typeface="Times New Roman" panose="02020603050405020304" pitchFamily="18" charset="0"/>
                          </a:rPr>
                          <m:t>𝑡</m:t>
                        </m:r>
                      </m:sub>
                      <m:sup>
                        <m:r>
                          <a:rPr lang="en-GB" sz="1100" i="1">
                            <a:effectLst/>
                            <a:latin typeface="Cambria Math" panose="02040503050406030204" pitchFamily="18" charset="0"/>
                            <a:ea typeface="Times New Roman" panose="02020603050405020304" pitchFamily="18" charset="0"/>
                          </a:rPr>
                          <m:t>𝑡</m:t>
                        </m:r>
                        <m:r>
                          <a:rPr lang="en-GB" sz="1100" i="1">
                            <a:effectLst/>
                            <a:latin typeface="Cambria Math" panose="02040503050406030204" pitchFamily="18" charset="0"/>
                            <a:ea typeface="Times New Roman" panose="02020603050405020304" pitchFamily="18" charset="0"/>
                          </a:rPr>
                          <m:t>+1</m:t>
                        </m:r>
                      </m:sup>
                      <m:e>
                        <m:sSup>
                          <m:sSupPr>
                            <m:ctrlPr>
                              <a:rPr lang="de-DE" sz="1100" i="1">
                                <a:effectLst/>
                                <a:latin typeface="Cambria Math" panose="02040503050406030204" pitchFamily="18" charset="0"/>
                                <a:ea typeface="Times New Roman" panose="02020603050405020304" pitchFamily="18" charset="0"/>
                              </a:rPr>
                            </m:ctrlPr>
                          </m:sSupPr>
                          <m:e>
                            <m:acc>
                              <m:accPr>
                                <m:chr m:val="̇"/>
                                <m:ctrlPr>
                                  <a:rPr lang="de-DE" sz="1100" i="1">
                                    <a:effectLst/>
                                    <a:latin typeface="Cambria Math" panose="02040503050406030204" pitchFamily="18" charset="0"/>
                                    <a:ea typeface="Times New Roman" panose="02020603050405020304" pitchFamily="18" charset="0"/>
                                  </a:rPr>
                                </m:ctrlPr>
                              </m:accPr>
                              <m:e>
                                <m:r>
                                  <a:rPr lang="en-GB" sz="1100" i="1">
                                    <a:effectLst/>
                                    <a:latin typeface="Cambria Math" panose="02040503050406030204" pitchFamily="18" charset="0"/>
                                    <a:ea typeface="Times New Roman" panose="02020603050405020304" pitchFamily="18" charset="0"/>
                                  </a:rPr>
                                  <m:t>𝐸</m:t>
                                </m:r>
                              </m:e>
                            </m:acc>
                          </m:e>
                          <m:sup>
                            <m:r>
                              <a:rPr lang="en-GB" sz="1100" i="1">
                                <a:effectLst/>
                                <a:latin typeface="Cambria Math" panose="02040503050406030204" pitchFamily="18" charset="0"/>
                                <a:ea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𝑧</m:t>
                        </m:r>
                        <m:r>
                          <a:rPr lang="en-GB" sz="1100" i="1">
                            <a:effectLst/>
                            <a:latin typeface="Cambria Math" panose="02040503050406030204" pitchFamily="18" charset="0"/>
                            <a:ea typeface="Times New Roman" panose="02020603050405020304" pitchFamily="18" charset="0"/>
                          </a:rPr>
                          <m:t>) </m:t>
                        </m:r>
                        <m:r>
                          <a:rPr lang="en-GB" sz="1100" i="1">
                            <a:effectLst/>
                            <a:latin typeface="Cambria Math" panose="02040503050406030204" pitchFamily="18" charset="0"/>
                            <a:ea typeface="Times New Roman" panose="02020603050405020304" pitchFamily="18" charset="0"/>
                          </a:rPr>
                          <m:t>𝑑𝑧</m:t>
                        </m:r>
                      </m:e>
                    </m:nary>
                    <m:r>
                      <a:rPr lang="en-GB" sz="1100" i="1">
                        <a:effectLst/>
                        <a:latin typeface="Cambria Math" panose="02040503050406030204" pitchFamily="18" charset="0"/>
                        <a:ea typeface="Times New Roman" panose="02020603050405020304" pitchFamily="18" charset="0"/>
                      </a:rPr>
                      <m:t>=</m:t>
                    </m:r>
                  </m:oMath>
                </m:oMathPara>
              </a14:m>
              <a:endParaRPr lang="de-DE" sz="1100">
                <a:effectLst/>
                <a:latin typeface="Times New Roman" panose="02020603050405020304" pitchFamily="18" charset="0"/>
                <a:ea typeface="Times New Roman" panose="02020603050405020304" pitchFamily="18" charset="0"/>
              </a:endParaRPr>
            </a:p>
            <a:p>
              <a:pPr>
                <a:lnSpc>
                  <a:spcPct val="150000"/>
                </a:lnSpc>
                <a:spcAft>
                  <a:spcPts val="600"/>
                </a:spcAft>
              </a:pPr>
              <a14:m>
                <m:oMathPara xmlns:m="http://schemas.openxmlformats.org/officeDocument/2006/math">
                  <m:oMathParaPr>
                    <m:jc m:val="centerGroup"/>
                  </m:oMathParaPr>
                  <m:oMath xmlns:m="http://schemas.openxmlformats.org/officeDocument/2006/math">
                    <m:r>
                      <a:rPr lang="en-GB" sz="1100" i="1">
                        <a:effectLst/>
                        <a:latin typeface="Cambria Math" panose="02040503050406030204" pitchFamily="18" charset="0"/>
                        <a:ea typeface="Times New Roman" panose="02020603050405020304" pitchFamily="18" charset="0"/>
                      </a:rPr>
                      <m:t>−</m:t>
                    </m:r>
                    <m:sSubSup>
                      <m:sSubSupPr>
                        <m:ctrlPr>
                          <a:rPr lang="de-DE" sz="1100" i="1">
                            <a:effectLst/>
                            <a:latin typeface="Cambria Math" panose="02040503050406030204" pitchFamily="18" charset="0"/>
                            <a:ea typeface="Times New Roman" panose="02020603050405020304" pitchFamily="18" charset="0"/>
                          </a:rPr>
                        </m:ctrlPr>
                      </m:sSubSupPr>
                      <m:e>
                        <m:acc>
                          <m:accPr>
                            <m:chr m:val="̇"/>
                            <m:ctrlPr>
                              <a:rPr lang="de-DE" sz="1100" i="1">
                                <a:effectLst/>
                                <a:latin typeface="Cambria Math" panose="02040503050406030204" pitchFamily="18" charset="0"/>
                                <a:ea typeface="Times New Roman" panose="02020603050405020304" pitchFamily="18" charset="0"/>
                              </a:rPr>
                            </m:ctrlPr>
                          </m:accPr>
                          <m:e>
                            <m:r>
                              <a:rPr lang="en-GB" sz="1100" i="1">
                                <a:effectLst/>
                                <a:latin typeface="Cambria Math" panose="02040503050406030204" pitchFamily="18" charset="0"/>
                                <a:ea typeface="Times New Roman" panose="02020603050405020304" pitchFamily="18" charset="0"/>
                              </a:rPr>
                              <m:t>𝐸</m:t>
                            </m:r>
                          </m:e>
                        </m:acc>
                      </m:e>
                      <m:sub>
                        <m:r>
                          <a:rPr lang="en-GB" sz="1100" i="1">
                            <a:effectLst/>
                            <a:latin typeface="Cambria Math" panose="02040503050406030204" pitchFamily="18" charset="0"/>
                            <a:ea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rPr>
                          <m:t>+1</m:t>
                        </m:r>
                      </m:sub>
                      <m:sup>
                        <m:r>
                          <a:rPr lang="en-GB" sz="1100" i="1">
                            <a:effectLst/>
                            <a:latin typeface="Cambria Math" panose="02040503050406030204" pitchFamily="18" charset="0"/>
                            <a:ea typeface="Times New Roman" panose="02020603050405020304" pitchFamily="18" charset="0"/>
                          </a:rPr>
                          <m:t>𝑖</m:t>
                        </m:r>
                      </m:sup>
                    </m:sSubSup>
                    <m:f>
                      <m:fPr>
                        <m:ctrlPr>
                          <a:rPr lang="de-DE" sz="1100" i="1">
                            <a:effectLst/>
                            <a:latin typeface="Cambria Math" panose="02040503050406030204" pitchFamily="18" charset="0"/>
                            <a:ea typeface="Times New Roman" panose="02020603050405020304" pitchFamily="18" charset="0"/>
                          </a:rPr>
                        </m:ctrlPr>
                      </m:fPr>
                      <m:num>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𝑒</m:t>
                            </m:r>
                          </m:e>
                          <m:sup>
                            <m:r>
                              <a:rPr lang="en-GB" sz="1100" i="1">
                                <a:effectLst/>
                                <a:latin typeface="Cambria Math" panose="02040503050406030204" pitchFamily="18" charset="0"/>
                                <a:ea typeface="Times New Roman" panose="02020603050405020304" pitchFamily="18" charset="0"/>
                              </a:rPr>
                              <m:t>−</m:t>
                            </m:r>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𝑡</m:t>
                            </m:r>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rPr>
                              <m:t>)</m:t>
                            </m:r>
                          </m:sup>
                        </m:sSup>
                      </m:num>
                      <m:den>
                        <m:sSup>
                          <m:sSupPr>
                            <m:ctrlPr>
                              <a:rPr lang="de-DE" sz="1100" i="1">
                                <a:effectLst/>
                                <a:latin typeface="Cambria Math" panose="02040503050406030204" pitchFamily="18" charset="0"/>
                                <a:ea typeface="Times New Roman" panose="02020603050405020304" pitchFamily="18" charset="0"/>
                              </a:rPr>
                            </m:ctrlPr>
                          </m:sSupPr>
                          <m:e>
                            <m:d>
                              <m:dPr>
                                <m:ctrlPr>
                                  <a:rPr lang="de-DE" sz="1100" i="1">
                                    <a:effectLst/>
                                    <a:latin typeface="Cambria Math" panose="02040503050406030204" pitchFamily="18" charset="0"/>
                                    <a:ea typeface="Times New Roman" panose="02020603050405020304" pitchFamily="18" charset="0"/>
                                  </a:rPr>
                                </m:ctrlPr>
                              </m:dPr>
                              <m:e>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rPr>
                                      <m:t>𝑖</m:t>
                                    </m:r>
                                  </m:sup>
                                </m:sSup>
                              </m:e>
                            </m:d>
                          </m:e>
                          <m:sup>
                            <m:r>
                              <a:rPr lang="en-GB" sz="1100" i="1">
                                <a:effectLst/>
                                <a:latin typeface="Cambria Math" panose="02040503050406030204" pitchFamily="18" charset="0"/>
                                <a:ea typeface="Times New Roman" panose="02020603050405020304" pitchFamily="18" charset="0"/>
                              </a:rPr>
                              <m:t>2</m:t>
                            </m:r>
                          </m:sup>
                        </m:sSup>
                      </m:den>
                    </m:f>
                    <m:d>
                      <m:dPr>
                        <m:begChr m:val="["/>
                        <m:endChr m:val="]"/>
                        <m:ctrlPr>
                          <a:rPr lang="de-DE" sz="1100" i="1">
                            <a:effectLst/>
                            <a:latin typeface="Cambria Math" panose="02040503050406030204" pitchFamily="18" charset="0"/>
                            <a:ea typeface="Times New Roman" panose="02020603050405020304" pitchFamily="18" charset="0"/>
                          </a:rPr>
                        </m:ctrlPr>
                      </m:dPr>
                      <m:e>
                        <m:d>
                          <m:dPr>
                            <m:ctrlPr>
                              <a:rPr lang="de-DE" sz="1100" i="1">
                                <a:effectLst/>
                                <a:latin typeface="Cambria Math" panose="02040503050406030204" pitchFamily="18" charset="0"/>
                                <a:ea typeface="Times New Roman" panose="02020603050405020304" pitchFamily="18" charset="0"/>
                              </a:rPr>
                            </m:ctrlPr>
                          </m:dPr>
                          <m:e>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𝑟</m:t>
                                </m:r>
                              </m:e>
                              <m:sup>
                                <m:r>
                                  <a:rPr lang="en-GB" sz="1100" i="1">
                                    <a:effectLst/>
                                    <a:latin typeface="Cambria Math" panose="02040503050406030204" pitchFamily="18" charset="0"/>
                                    <a:ea typeface="Times New Roman" panose="02020603050405020304" pitchFamily="18" charset="0"/>
                                  </a:rPr>
                                  <m:t>𝑖</m:t>
                                </m:r>
                              </m:sup>
                            </m:sSup>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rPr>
                              <m:t>+</m:t>
                            </m:r>
                            <m:sSup>
                              <m:sSupPr>
                                <m:ctrlPr>
                                  <a:rPr lang="de-DE" sz="1100" i="1">
                                    <a:effectLst/>
                                    <a:latin typeface="Cambria Math" panose="02040503050406030204" pitchFamily="18" charset="0"/>
                                    <a:ea typeface="Times New Roman" panose="02020603050405020304" pitchFamily="18" charset="0"/>
                                  </a:rPr>
                                </m:ctrlPr>
                              </m:sSupPr>
                              <m:e>
                                <m:d>
                                  <m:dPr>
                                    <m:ctrlPr>
                                      <a:rPr lang="de-DE" sz="1100" i="1">
                                        <a:effectLst/>
                                        <a:latin typeface="Cambria Math" panose="02040503050406030204" pitchFamily="18" charset="0"/>
                                        <a:ea typeface="Times New Roman" panose="02020603050405020304" pitchFamily="18" charset="0"/>
                                      </a:rPr>
                                    </m:ctrlPr>
                                  </m:dPr>
                                  <m:e>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rPr>
                                          <m:t>𝑖</m:t>
                                        </m:r>
                                      </m:sup>
                                    </m:sSup>
                                  </m:e>
                                </m:d>
                              </m:e>
                              <m:sup>
                                <m:r>
                                  <a:rPr lang="en-GB" sz="1100" i="1">
                                    <a:effectLst/>
                                    <a:latin typeface="Cambria Math" panose="02040503050406030204" pitchFamily="18" charset="0"/>
                                    <a:ea typeface="Times New Roman" panose="02020603050405020304" pitchFamily="18" charset="0"/>
                                  </a:rPr>
                                  <m:t>2</m:t>
                                </m:r>
                              </m:sup>
                            </m:sSup>
                          </m:e>
                        </m:d>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𝑡</m:t>
                        </m:r>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rPr>
                          <m:t>)+2</m:t>
                        </m:r>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rPr>
                              <m:t>𝑖</m:t>
                            </m:r>
                          </m:sup>
                        </m:sSup>
                        <m:sSup>
                          <m:sSupPr>
                            <m:ctrlPr>
                              <a:rPr lang="de-DE" sz="1100" i="1">
                                <a:effectLst/>
                                <a:latin typeface="Cambria Math" panose="02040503050406030204" pitchFamily="18" charset="0"/>
                                <a:ea typeface="Times New Roman" panose="02020603050405020304" pitchFamily="18" charset="0"/>
                              </a:rPr>
                            </m:ctrlPr>
                          </m:sSupPr>
                          <m:e>
                            <m:r>
                              <a:rPr lang="en-GB" sz="1100" i="1">
                                <a:effectLst/>
                                <a:latin typeface="Cambria Math" panose="02040503050406030204" pitchFamily="18" charset="0"/>
                                <a:ea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rPr>
                              <m:t>𝑟</m:t>
                            </m:r>
                          </m:e>
                          <m:sup>
                            <m:r>
                              <a:rPr lang="en-GB" sz="1100" i="1">
                                <a:effectLst/>
                                <a:latin typeface="Cambria Math" panose="02040503050406030204" pitchFamily="18" charset="0"/>
                                <a:ea typeface="Times New Roman" panose="02020603050405020304" pitchFamily="18" charset="0"/>
                              </a:rPr>
                              <m:t>𝑖</m:t>
                            </m:r>
                          </m:sup>
                        </m:sSup>
                      </m:e>
                    </m:d>
                  </m:oMath>
                </m:oMathPara>
              </a14:m>
              <a:endParaRPr lang="de-DE" sz="1100">
                <a:effectLst/>
                <a:latin typeface="Times New Roman" panose="02020603050405020304" pitchFamily="18" charset="0"/>
                <a:ea typeface="Times New Roman" panose="02020603050405020304" pitchFamily="18" charset="0"/>
              </a:endParaRPr>
            </a:p>
            <a:p>
              <a:pPr/>
              <a14:m>
                <m:oMathPara xmlns:m="http://schemas.openxmlformats.org/officeDocument/2006/math">
                  <m:oMathParaPr>
                    <m:jc m:val="centerGroup"/>
                  </m:oMathParaPr>
                  <m:oMath xmlns:m="http://schemas.openxmlformats.org/officeDocument/2006/math">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sSubSup>
                      <m:sSubSupPr>
                        <m:ctrlPr>
                          <a:rPr lang="de-DE" i="1">
                            <a:effectLst/>
                            <a:latin typeface="Cambria Math" panose="02040503050406030204" pitchFamily="18" charset="0"/>
                          </a:rPr>
                        </m:ctrlPr>
                      </m:sSubSupPr>
                      <m:e>
                        <m:acc>
                          <m:accPr>
                            <m:chr m:val="̇"/>
                            <m:ctrlPr>
                              <a:rPr lang="de-DE" i="1">
                                <a:effectLst/>
                                <a:latin typeface="Cambria Math" panose="02040503050406030204" pitchFamily="18" charset="0"/>
                              </a:rPr>
                            </m:ctrlPr>
                          </m:acc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𝐸</m:t>
                            </m:r>
                          </m:e>
                        </m:acc>
                      </m:e>
                      <m:sub>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+1</m:t>
                        </m:r>
                      </m:sub>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bSup>
                    <m:f>
                      <m:fPr>
                        <m:ctrlPr>
                          <a:rPr lang="de-DE" i="1">
                            <a:effectLst/>
                            <a:latin typeface="Cambria Math" panose="02040503050406030204" pitchFamily="18" charset="0"/>
                          </a:rPr>
                        </m:ctrlPr>
                      </m:fPr>
                      <m:num>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𝑒</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𝑡</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−1)</m:t>
                            </m:r>
                          </m:sup>
                        </m:sSup>
                      </m:num>
                      <m:den>
                        <m:sSup>
                          <m:sSupPr>
                            <m:ctrlPr>
                              <a:rPr lang="de-DE" i="1">
                                <a:effectLst/>
                                <a:latin typeface="Cambria Math" panose="02040503050406030204" pitchFamily="18" charset="0"/>
                              </a:rPr>
                            </m:ctrlPr>
                          </m:sSupPr>
                          <m:e>
                            <m:d>
                              <m:dPr>
                                <m:ctrlPr>
                                  <a:rPr lang="de-DE" i="1">
                                    <a:effectLst/>
                                    <a:latin typeface="Cambria Math" panose="02040503050406030204" pitchFamily="18" charset="0"/>
                                  </a:rPr>
                                </m:ctrlPr>
                              </m:dPr>
                              <m:e>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e>
                            </m:d>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2</m:t>
                            </m:r>
                          </m:sup>
                        </m:sSup>
                      </m:den>
                    </m:f>
                    <m:d>
                      <m:dPr>
                        <m:begChr m:val="["/>
                        <m:endChr m:val="]"/>
                        <m:ctrlPr>
                          <a:rPr lang="de-DE" i="1">
                            <a:effectLst/>
                            <a:latin typeface="Cambria Math" panose="02040503050406030204" pitchFamily="18" charset="0"/>
                          </a:rPr>
                        </m:ctrlPr>
                      </m:dPr>
                      <m:e>
                        <m:d>
                          <m:dPr>
                            <m:ctrlPr>
                              <a:rPr lang="de-DE" i="1">
                                <a:effectLst/>
                                <a:latin typeface="Cambria Math" panose="02040503050406030204" pitchFamily="18" charset="0"/>
                              </a:rPr>
                            </m:ctrlPr>
                          </m:dPr>
                          <m:e>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𝑟</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sSup>
                              <m:sSupPr>
                                <m:ctrlPr>
                                  <a:rPr lang="de-DE" i="1">
                                    <a:effectLst/>
                                    <a:latin typeface="Cambria Math" panose="02040503050406030204" pitchFamily="18" charset="0"/>
                                  </a:rPr>
                                </m:ctrlPr>
                              </m:sSupPr>
                              <m:e>
                                <m:d>
                                  <m:dPr>
                                    <m:ctrlPr>
                                      <a:rPr lang="de-DE" i="1">
                                        <a:effectLst/>
                                        <a:latin typeface="Cambria Math" panose="02040503050406030204" pitchFamily="18" charset="0"/>
                                      </a:rPr>
                                    </m:ctrlPr>
                                  </m:dPr>
                                  <m:e>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e>
                                </m:d>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2</m:t>
                                </m:r>
                              </m:sup>
                            </m:sSup>
                          </m:e>
                        </m:d>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𝑡</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𝐵𝑌</m:t>
                        </m:r>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−1)+2</m:t>
                        </m:r>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𝑚</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m:t>
                        </m:r>
                        <m:sSup>
                          <m:sSupPr>
                            <m:ctrlPr>
                              <a:rPr lang="de-DE" i="1">
                                <a:effectLst/>
                                <a:latin typeface="Cambria Math" panose="02040503050406030204" pitchFamily="18" charset="0"/>
                              </a:rPr>
                            </m:ctrlPr>
                          </m:sSupPr>
                          <m:e>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𝑟</m:t>
                            </m:r>
                          </m:e>
                          <m:sup>
                            <m:r>
                              <a:rPr lang="en-GB" sz="1100" i="1">
                                <a:effectLst/>
                                <a:latin typeface="Cambria Math" panose="02040503050406030204" pitchFamily="18" charset="0"/>
                                <a:ea typeface="Times New Roman" panose="02020603050405020304" pitchFamily="18" charset="0"/>
                                <a:cs typeface="Times New Roman" panose="02020603050405020304" pitchFamily="18" charset="0"/>
                              </a:rPr>
                              <m:t>𝑖</m:t>
                            </m:r>
                          </m:sup>
                        </m:sSup>
                      </m:e>
                    </m:d>
                  </m:oMath>
                </m:oMathPara>
              </a14:m>
              <a:endParaRPr lang="de-DE" sz="1100"/>
            </a:p>
          </xdr:txBody>
        </xdr:sp>
      </mc:Choice>
      <mc:Fallback xmlns="">
        <xdr:sp macro="" textlink="">
          <xdr:nvSpPr>
            <xdr:cNvPr id="3" name="Textfeld 2"/>
            <xdr:cNvSpPr txBox="1"/>
          </xdr:nvSpPr>
          <xdr:spPr>
            <a:xfrm>
              <a:off x="0" y="1470026"/>
              <a:ext cx="5331618" cy="29924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spcAft>
                  <a:spcPts val="600"/>
                </a:spcAft>
              </a:pPr>
              <a:r>
                <a:rPr lang="en-GB" sz="1100" i="0">
                  <a:effectLst/>
                  <a:latin typeface="Cambria Math" panose="02040503050406030204" pitchFamily="18" charset="0"/>
                  <a:ea typeface="Times New Roman" panose="02020603050405020304" pitchFamily="18" charset="0"/>
                </a:rPr>
                <a:t>𝐸</a:t>
              </a:r>
              <a:r>
                <a:rPr lang="de-DE" sz="1100" i="0">
                  <a:effectLst/>
                  <a:latin typeface="Cambria Math" panose="02040503050406030204" pitchFamily="18" charset="0"/>
                  <a:ea typeface="Times New Roman" panose="02020603050405020304" pitchFamily="18" charset="0"/>
                </a:rPr>
                <a:t>_</a:t>
              </a:r>
              <a:r>
                <a:rPr lang="en-GB" sz="1100" i="0">
                  <a:effectLst/>
                  <a:latin typeface="Cambria Math" panose="02040503050406030204" pitchFamily="18" charset="0"/>
                  <a:ea typeface="Times New Roman" panose="02020603050405020304" pitchFamily="18" charset="0"/>
                </a:rPr>
                <a:t>𝑡^𝑖=</a:t>
              </a:r>
              <a:r>
                <a:rPr lang="de-DE" sz="1100" i="0">
                  <a:effectLst/>
                  <a:latin typeface="Cambria Math" panose="02040503050406030204" pitchFamily="18" charset="0"/>
                </a:rPr>
                <a:t>∫2</a:t>
              </a:r>
              <a:r>
                <a:rPr lang="en-GB" sz="1100" i="0">
                  <a:effectLst/>
                  <a:latin typeface="Cambria Math" panose="02040503050406030204" pitchFamily="18" charset="0"/>
                </a:rPr>
                <a:t>_</a:t>
              </a:r>
              <a:r>
                <a:rPr lang="en-GB" sz="1100" i="0">
                  <a:effectLst/>
                  <a:latin typeface="Cambria Math" panose="02040503050406030204" pitchFamily="18" charset="0"/>
                  <a:ea typeface="Times New Roman" panose="02020603050405020304" pitchFamily="18" charset="0"/>
                </a:rPr>
                <a:t>𝑡^(𝑡+1)▒〖𝐸</a:t>
              </a:r>
              <a:r>
                <a:rPr lang="de-DE" sz="1100" i="0">
                  <a:effectLst/>
                  <a:latin typeface="Cambria Math" panose="02040503050406030204" pitchFamily="18" charset="0"/>
                  <a:ea typeface="Times New Roman" panose="02020603050405020304" pitchFamily="18" charset="0"/>
                </a:rPr>
                <a:t> ̇^</a:t>
              </a:r>
              <a:r>
                <a:rPr lang="en-GB" sz="1100" i="0">
                  <a:effectLst/>
                  <a:latin typeface="Cambria Math" panose="02040503050406030204" pitchFamily="18" charset="0"/>
                  <a:ea typeface="Times New Roman" panose="02020603050405020304" pitchFamily="18" charset="0"/>
                </a:rPr>
                <a:t>𝑖 (𝑧) 𝑑𝑧〗=</a:t>
              </a:r>
              <a:endParaRPr lang="de-DE" sz="1100">
                <a:effectLst/>
                <a:latin typeface="Times New Roman" panose="02020603050405020304" pitchFamily="18" charset="0"/>
                <a:ea typeface="Times New Roman" panose="02020603050405020304" pitchFamily="18" charset="0"/>
              </a:endParaRPr>
            </a:p>
            <a:p>
              <a:pPr>
                <a:lnSpc>
                  <a:spcPct val="150000"/>
                </a:lnSpc>
                <a:spcAft>
                  <a:spcPts val="600"/>
                </a:spcAft>
              </a:pPr>
              <a:r>
                <a:rPr lang="en-GB" sz="1100" i="0">
                  <a:effectLst/>
                  <a:latin typeface="Cambria Math" panose="02040503050406030204" pitchFamily="18" charset="0"/>
                  <a:ea typeface="Times New Roman" panose="02020603050405020304" pitchFamily="18" charset="0"/>
                </a:rPr>
                <a:t>−𝐸</a:t>
              </a:r>
              <a:r>
                <a:rPr lang="de-DE" sz="1100" i="0">
                  <a:effectLst/>
                  <a:latin typeface="Cambria Math" panose="02040503050406030204" pitchFamily="18" charset="0"/>
                  <a:ea typeface="Times New Roman" panose="02020603050405020304" pitchFamily="18" charset="0"/>
                </a:rPr>
                <a:t> ̇_(</a:t>
              </a:r>
              <a:r>
                <a:rPr lang="en-GB" sz="1100" i="0">
                  <a:effectLst/>
                  <a:latin typeface="Cambria Math" panose="02040503050406030204" pitchFamily="18" charset="0"/>
                  <a:ea typeface="Times New Roman" panose="02020603050405020304" pitchFamily="18" charset="0"/>
                </a:rPr>
                <a:t>𝐵𝑌+1</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rPr>
                <a:t> </a:t>
              </a:r>
              <a:r>
                <a:rPr lang="de-DE" sz="1100" i="0">
                  <a:effectLst/>
                  <a:latin typeface="Cambria Math" panose="02040503050406030204" pitchFamily="18" charset="0"/>
                </a:rPr>
                <a:t> </a:t>
              </a:r>
              <a:r>
                <a:rPr lang="en-GB" sz="1100" i="0">
                  <a:effectLst/>
                  <a:latin typeface="Cambria Math" panose="02040503050406030204" pitchFamily="18" charset="0"/>
                  <a:ea typeface="Times New Roman" panose="02020603050405020304" pitchFamily="18" charset="0"/>
                </a:rPr>
                <a:t>𝑒</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 (𝑡−𝐵𝑌)</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 )</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2 </a:t>
              </a:r>
              <a:r>
                <a:rPr lang="de-DE" sz="1100" i="0">
                  <a:effectLst/>
                  <a:latin typeface="Cambria Math" panose="02040503050406030204" pitchFamily="18" charset="0"/>
                  <a:ea typeface="Times New Roman" panose="02020603050405020304" pitchFamily="18" charset="0"/>
                </a:rPr>
                <a:t> </a:t>
              </a:r>
              <a:r>
                <a:rPr lang="de-DE" sz="1100" i="0">
                  <a:effectLst/>
                  <a:latin typeface="Cambria Math" panose="02040503050406030204" pitchFamily="18" charset="0"/>
                </a:rPr>
                <a:t>[(</a:t>
              </a:r>
              <a:r>
                <a:rPr lang="en-GB" sz="1100" i="0">
                  <a:effectLst/>
                  <a:latin typeface="Cambria Math" panose="02040503050406030204" pitchFamily="18" charset="0"/>
                  <a:ea typeface="Times New Roman" panose="02020603050405020304" pitchFamily="18" charset="0"/>
                </a:rPr>
                <a:t>𝑟</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rPr>
                <a:t> </a:t>
              </a:r>
              <a:r>
                <a:rPr lang="en-GB" sz="1100" i="0">
                  <a:effectLst/>
                  <a:latin typeface="Cambria Math" panose="02040503050406030204" pitchFamily="18" charset="0"/>
                  <a:ea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 )</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2 )(𝑡−𝐵𝑌)+2𝑚</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rPr>
                <a:t> 〖</a:t>
              </a:r>
              <a:r>
                <a:rPr lang="en-GB" sz="1100" i="0">
                  <a:effectLst/>
                  <a:latin typeface="Cambria Math" panose="02040503050406030204" pitchFamily="18" charset="0"/>
                  <a:ea typeface="Times New Roman" panose="02020603050405020304" pitchFamily="18" charset="0"/>
                </a:rPr>
                <a:t>+𝑟</a:t>
              </a:r>
              <a:r>
                <a:rPr lang="de-DE" sz="1100" i="0">
                  <a:effectLst/>
                  <a:latin typeface="Cambria Math" panose="02040503050406030204" pitchFamily="18" charset="0"/>
                  <a:ea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rPr>
                <a:t>𝑖 ]</a:t>
              </a:r>
              <a:endParaRPr lang="de-DE" sz="1100">
                <a:effectLst/>
                <a:latin typeface="Times New Roman" panose="02020603050405020304" pitchFamily="18" charset="0"/>
                <a:ea typeface="Times New Roman" panose="02020603050405020304" pitchFamily="18" charset="0"/>
              </a:endParaRPr>
            </a:p>
            <a:p>
              <a:pP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+𝐸</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 ̇_(</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𝐵𝑌+1</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 </a:t>
              </a:r>
              <a:r>
                <a:rPr lang="de-DE" i="0">
                  <a:effectLst/>
                  <a:latin typeface="Cambria Math" panose="02040503050406030204" pitchFamily="18" charset="0"/>
                </a:rPr>
                <a:t> </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𝑒</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 (𝑡−𝐵𝑌−1)</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 )</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2 </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 </a:t>
              </a:r>
              <a:r>
                <a:rPr lang="de-DE" i="0">
                  <a:effectLst/>
                  <a:latin typeface="Cambria Math" panose="020405030504060302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𝑟</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 </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𝑚</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 )</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2 )(𝑡−𝐵𝑌−1)+2𝑚</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𝑖+𝑟</a:t>
              </a:r>
              <a:r>
                <a:rPr lang="de-DE" sz="1100" i="0">
                  <a:effectLst/>
                  <a:latin typeface="Cambria Math" panose="02040503050406030204" pitchFamily="18" charset="0"/>
                  <a:ea typeface="Times New Roman" panose="02020603050405020304" pitchFamily="18" charset="0"/>
                  <a:cs typeface="Times New Roman" panose="02020603050405020304" pitchFamily="18" charset="0"/>
                </a:rPr>
                <a:t>^</a:t>
              </a:r>
              <a:r>
                <a:rPr lang="en-GB" sz="1100" i="0">
                  <a:effectLst/>
                  <a:latin typeface="Cambria Math" panose="02040503050406030204" pitchFamily="18" charset="0"/>
                  <a:ea typeface="Times New Roman" panose="02020603050405020304" pitchFamily="18" charset="0"/>
                  <a:cs typeface="Times New Roman" panose="02020603050405020304" pitchFamily="18" charset="0"/>
                </a:rPr>
                <a:t>𝑖 ]</a:t>
              </a:r>
              <a:endParaRPr lang="de-DE" sz="1100"/>
            </a:p>
          </xdr:txBody>
        </xdr:sp>
      </mc:Fallback>
    </mc:AlternateContent>
    <xdr:clientData/>
  </xdr:twoCellAnchor>
  <xdr:twoCellAnchor>
    <xdr:from>
      <xdr:col>25</xdr:col>
      <xdr:colOff>0</xdr:colOff>
      <xdr:row>84</xdr:row>
      <xdr:rowOff>0</xdr:rowOff>
    </xdr:from>
    <xdr:to>
      <xdr:col>31</xdr:col>
      <xdr:colOff>464431</xdr:colOff>
      <xdr:row>101</xdr:row>
      <xdr:rowOff>110953</xdr:rowOff>
    </xdr:to>
    <xdr:graphicFrame macro="">
      <xdr:nvGraphicFramePr>
        <xdr:cNvPr id="10" name="Diagramm 9"/>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472676</xdr:colOff>
      <xdr:row>84</xdr:row>
      <xdr:rowOff>0</xdr:rowOff>
    </xdr:from>
    <xdr:to>
      <xdr:col>38</xdr:col>
      <xdr:colOff>258450</xdr:colOff>
      <xdr:row>101</xdr:row>
      <xdr:rowOff>124943</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472676</xdr:colOff>
      <xdr:row>101</xdr:row>
      <xdr:rowOff>129706</xdr:rowOff>
    </xdr:from>
    <xdr:to>
      <xdr:col>38</xdr:col>
      <xdr:colOff>247658</xdr:colOff>
      <xdr:row>121</xdr:row>
      <xdr:rowOff>104775</xdr:rowOff>
    </xdr:to>
    <xdr:graphicFrame macro="">
      <xdr:nvGraphicFramePr>
        <xdr:cNvPr id="4" name="Diagram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101</xdr:row>
      <xdr:rowOff>124943</xdr:rowOff>
    </xdr:from>
    <xdr:to>
      <xdr:col>31</xdr:col>
      <xdr:colOff>464431</xdr:colOff>
      <xdr:row>121</xdr:row>
      <xdr:rowOff>100162</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142876</xdr:colOff>
      <xdr:row>0</xdr:row>
      <xdr:rowOff>154781</xdr:rowOff>
    </xdr:from>
    <xdr:to>
      <xdr:col>13</xdr:col>
      <xdr:colOff>317982</xdr:colOff>
      <xdr:row>38</xdr:row>
      <xdr:rowOff>69056</xdr:rowOff>
    </xdr:to>
    <xdr:grpSp>
      <xdr:nvGrpSpPr>
        <xdr:cNvPr id="12" name="Gruppieren 11"/>
        <xdr:cNvGrpSpPr/>
      </xdr:nvGrpSpPr>
      <xdr:grpSpPr>
        <a:xfrm>
          <a:off x="142876" y="154781"/>
          <a:ext cx="10081106" cy="7153275"/>
          <a:chOff x="3810000" y="16002000"/>
          <a:chExt cx="10081106" cy="7153275"/>
        </a:xfrm>
      </xdr:grpSpPr>
      <xdr:graphicFrame macro="">
        <xdr:nvGraphicFramePr>
          <xdr:cNvPr id="7" name="Diagramm 6"/>
          <xdr:cNvGraphicFramePr>
            <a:graphicFrameLocks noChangeAspect="1"/>
          </xdr:cNvGraphicFramePr>
        </xdr:nvGraphicFramePr>
        <xdr:xfrm>
          <a:off x="3810000" y="16002000"/>
          <a:ext cx="5036431" cy="334945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Diagramm 7"/>
          <xdr:cNvGraphicFramePr>
            <a:graphicFrameLocks/>
          </xdr:cNvGraphicFramePr>
        </xdr:nvGraphicFramePr>
        <xdr:xfrm>
          <a:off x="8854676" y="16002000"/>
          <a:ext cx="5036430" cy="336344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9" name="Diagramm 8"/>
          <xdr:cNvGraphicFramePr>
            <a:graphicFrameLocks/>
          </xdr:cNvGraphicFramePr>
        </xdr:nvGraphicFramePr>
        <xdr:xfrm>
          <a:off x="8854676" y="19370206"/>
          <a:ext cx="5025638" cy="378506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0" name="Diagramm 9"/>
          <xdr:cNvGraphicFramePr>
            <a:graphicFrameLocks/>
          </xdr:cNvGraphicFramePr>
        </xdr:nvGraphicFramePr>
        <xdr:xfrm>
          <a:off x="3810000" y="19365443"/>
          <a:ext cx="5036431" cy="378521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eme/themeOverride1.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hyperlink" Target="mailto:save-the-climate@online.ms" TargetMode="Externa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printerSettings" Target="../printerSettings/printerSettings3.bin"/><Relationship Id="rId4" Type="http://schemas.openxmlformats.org/officeDocument/2006/relationships/hyperlink" Target="http://www.save-the-climate.info/"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hyperlink" Target="http://www.ipcc.ch/report/sr15/"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drawing" Target="../drawings/drawing2.xml"/><Relationship Id="rId4"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omments" Target="../comments2.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hyperlink" Target="http://www.esrl.noaa.gov/gmd/ccgg/trends/global.html"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mailto:save-the-climate@online.ms" TargetMode="Externa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printerSettings" Target="../printerSettings/printerSettings25.bin"/><Relationship Id="rId4" Type="http://schemas.openxmlformats.org/officeDocument/2006/relationships/hyperlink" Target="http://www.save-the-climate.info/"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B1:I23"/>
  <sheetViews>
    <sheetView zoomScale="120" zoomScaleNormal="120" workbookViewId="0">
      <selection activeCell="B2" sqref="B2:F2"/>
    </sheetView>
  </sheetViews>
  <sheetFormatPr baseColWidth="10" defaultRowHeight="15" x14ac:dyDescent="0.25"/>
  <cols>
    <col min="1" max="1" width="2.28515625" customWidth="1"/>
    <col min="2" max="2" width="44.28515625" customWidth="1"/>
    <col min="3" max="3" width="21.5703125" bestFit="1" customWidth="1"/>
    <col min="4" max="4" width="17.7109375" style="29" bestFit="1" customWidth="1"/>
    <col min="5" max="5" width="11.85546875" bestFit="1" customWidth="1"/>
    <col min="6" max="6" width="11.5703125" customWidth="1"/>
    <col min="7" max="7" width="10.140625" customWidth="1"/>
    <col min="8" max="8" width="12.28515625" customWidth="1"/>
  </cols>
  <sheetData>
    <row r="1" spans="2:9" ht="8.4499999999999993" customHeight="1" thickBot="1" x14ac:dyDescent="0.3"/>
    <row r="2" spans="2:9" ht="16.5" thickBot="1" x14ac:dyDescent="0.3">
      <c r="B2" s="826" t="s">
        <v>328</v>
      </c>
      <c r="C2" s="827"/>
      <c r="D2" s="827"/>
      <c r="E2" s="827"/>
      <c r="F2" s="828"/>
      <c r="G2" s="333"/>
      <c r="H2" s="333"/>
      <c r="I2" s="333"/>
    </row>
    <row r="3" spans="2:9" ht="17.25" thickBot="1" x14ac:dyDescent="0.3">
      <c r="B3" s="93"/>
      <c r="C3" s="93"/>
      <c r="D3" s="93"/>
      <c r="E3" s="93"/>
      <c r="F3" s="93"/>
      <c r="G3" s="93"/>
    </row>
    <row r="4" spans="2:9" s="179" customFormat="1" ht="16.899999999999999" customHeight="1" thickBot="1" x14ac:dyDescent="0.3">
      <c r="B4" s="197" t="s">
        <v>292</v>
      </c>
      <c r="C4" s="94"/>
      <c r="E4" s="198" t="s">
        <v>22</v>
      </c>
      <c r="F4" s="198" t="s">
        <v>23</v>
      </c>
      <c r="G4" s="332"/>
    </row>
    <row r="5" spans="2:9" ht="14.85" customHeight="1" thickBot="1" x14ac:dyDescent="0.3">
      <c r="B5" s="94"/>
      <c r="C5" s="94"/>
    </row>
    <row r="6" spans="2:9" ht="14.45" customHeight="1" thickBot="1" x14ac:dyDescent="0.3">
      <c r="B6" s="840" t="s">
        <v>281</v>
      </c>
      <c r="C6" s="841"/>
      <c r="D6" s="196" t="s">
        <v>25</v>
      </c>
      <c r="E6" s="829" t="s">
        <v>27</v>
      </c>
      <c r="F6" s="830"/>
    </row>
    <row r="7" spans="2:9" ht="15.75" thickBot="1" x14ac:dyDescent="0.3">
      <c r="B7" s="838" t="s">
        <v>282</v>
      </c>
      <c r="C7" s="839"/>
      <c r="D7" s="313" t="s">
        <v>26</v>
      </c>
      <c r="E7" s="831"/>
      <c r="F7" s="832"/>
    </row>
    <row r="8" spans="2:9" ht="15.75" thickBot="1" x14ac:dyDescent="0.3">
      <c r="B8" s="64" t="s">
        <v>341</v>
      </c>
      <c r="C8" s="65"/>
      <c r="D8" s="379" t="s">
        <v>279</v>
      </c>
      <c r="E8" s="380"/>
      <c r="F8" s="381"/>
      <c r="G8" s="76"/>
      <c r="H8" s="77"/>
    </row>
    <row r="9" spans="2:9" ht="15.75" thickBot="1" x14ac:dyDescent="0.3">
      <c r="B9" s="186"/>
      <c r="C9" s="186"/>
      <c r="D9" s="308"/>
      <c r="E9" s="309"/>
      <c r="F9" s="309"/>
      <c r="G9" s="16"/>
    </row>
    <row r="10" spans="2:9" ht="14.45" customHeight="1" thickBot="1" x14ac:dyDescent="0.3">
      <c r="B10" s="836" t="s">
        <v>283</v>
      </c>
      <c r="C10" s="837"/>
      <c r="D10" s="833" t="s">
        <v>343</v>
      </c>
      <c r="E10" s="834"/>
      <c r="F10" s="835"/>
      <c r="G10" s="55"/>
    </row>
    <row r="11" spans="2:9" s="133" customFormat="1" x14ac:dyDescent="0.25">
      <c r="B11" s="343"/>
      <c r="C11" s="344"/>
      <c r="D11" s="55"/>
      <c r="E11" s="55"/>
      <c r="F11" s="55"/>
      <c r="G11" s="55"/>
    </row>
    <row r="12" spans="2:9" s="327" customFormat="1" ht="15.75" thickBot="1" x14ac:dyDescent="0.3"/>
    <row r="13" spans="2:9" s="133" customFormat="1" ht="15.75" thickBot="1" x14ac:dyDescent="0.3">
      <c r="B13" s="511" t="s">
        <v>378</v>
      </c>
      <c r="C13" s="845" t="s">
        <v>361</v>
      </c>
      <c r="D13" s="846"/>
      <c r="E13" s="846"/>
      <c r="F13" s="847"/>
      <c r="G13" s="55"/>
    </row>
    <row r="14" spans="2:9" s="186" customFormat="1" ht="7.5" customHeight="1" thickBot="1" x14ac:dyDescent="0.3">
      <c r="D14" s="77"/>
      <c r="E14" s="77"/>
      <c r="F14" s="77"/>
    </row>
    <row r="15" spans="2:9" ht="15.75" thickBot="1" x14ac:dyDescent="0.3">
      <c r="B15" s="394" t="s">
        <v>284</v>
      </c>
      <c r="C15" s="648" t="s">
        <v>360</v>
      </c>
      <c r="D15" s="728" t="s">
        <v>280</v>
      </c>
      <c r="E15" s="842" t="s">
        <v>269</v>
      </c>
      <c r="F15" s="843"/>
    </row>
    <row r="16" spans="2:9" ht="15.75" thickBot="1" x14ac:dyDescent="0.3">
      <c r="D16" s="842" t="s">
        <v>340</v>
      </c>
      <c r="E16" s="844"/>
      <c r="F16" s="843"/>
    </row>
    <row r="17" spans="2:7" s="133" customFormat="1" ht="15.75" thickBot="1" x14ac:dyDescent="0.3">
      <c r="D17" s="781"/>
      <c r="E17" s="781"/>
      <c r="F17" s="209"/>
    </row>
    <row r="18" spans="2:7" ht="15.75" thickBot="1" x14ac:dyDescent="0.3">
      <c r="B18" s="131" t="s">
        <v>73</v>
      </c>
      <c r="C18" s="453" t="s">
        <v>337</v>
      </c>
      <c r="D18" s="335">
        <v>43749</v>
      </c>
      <c r="E18" s="453" t="s">
        <v>386</v>
      </c>
    </row>
    <row r="20" spans="2:7" x14ac:dyDescent="0.25">
      <c r="B20" t="s">
        <v>65</v>
      </c>
      <c r="C20" s="825" t="s">
        <v>76</v>
      </c>
      <c r="D20" s="825"/>
      <c r="F20" s="24"/>
      <c r="G20" s="24"/>
    </row>
    <row r="22" spans="2:7" x14ac:dyDescent="0.25">
      <c r="B22" s="92" t="s">
        <v>342</v>
      </c>
    </row>
    <row r="23" spans="2:7" x14ac:dyDescent="0.25">
      <c r="B23" s="24" t="s">
        <v>64</v>
      </c>
    </row>
  </sheetData>
  <customSheetViews>
    <customSheetView guid="{314CBECC-1AE9-4578-9B87-473AB0B3A698}">
      <selection activeCell="H19" sqref="H19"/>
      <pageMargins left="0.7" right="0.7" top="0.78740157499999996" bottom="0.78740157499999996" header="0.3" footer="0.3"/>
      <pageSetup paperSize="9" orientation="landscape" r:id="rId1"/>
    </customSheetView>
    <customSheetView guid="{7B9C85BD-D1BB-4F3C-98F5-6414F32599ED}">
      <selection activeCell="H19" sqref="H19"/>
      <pageMargins left="0.7" right="0.7" top="0.78740157499999996" bottom="0.78740157499999996" header="0.3" footer="0.3"/>
      <pageSetup paperSize="9" orientation="landscape" r:id="rId2"/>
    </customSheetView>
  </customSheetViews>
  <mergeCells count="10">
    <mergeCell ref="C20:D20"/>
    <mergeCell ref="B2:F2"/>
    <mergeCell ref="E6:F7"/>
    <mergeCell ref="D10:F10"/>
    <mergeCell ref="B10:C10"/>
    <mergeCell ref="B7:C7"/>
    <mergeCell ref="B6:C6"/>
    <mergeCell ref="E15:F15"/>
    <mergeCell ref="D16:F16"/>
    <mergeCell ref="C13:F13"/>
  </mergeCells>
  <phoneticPr fontId="9" type="noConversion"/>
  <hyperlinks>
    <hyperlink ref="F4" location="imprint!A1" display="imprint"/>
    <hyperlink ref="E4" location="summary!A1" display="summary"/>
    <hyperlink ref="D6" location="'base data'!A1" display="base data"/>
    <hyperlink ref="D8" location="graphs!A1" display="graphs"/>
    <hyperlink ref="D7" location="'goal seek'!A1" display="goal seek"/>
    <hyperlink ref="D10" location="'S1'!A1" tooltip="konstanter Reduktionssatz" display="Szenario 1"/>
    <hyperlink ref="C20" r:id="rId3"/>
    <hyperlink ref="D10:E10" location="scenarios_RM!A1" tooltip="konstanter Reduktionssatz" display="scenarios Regensburg Model 1 - 4"/>
    <hyperlink ref="D10:F10" location="scenarios!A1" tooltip="konstanter Reduktionssatz" display="scenarios Regensburg Model 1-6 and Raupach"/>
    <hyperlink ref="C15" location="'IPCC SR15 graphs'!A1" display="IPCC SR15 graphs"/>
    <hyperlink ref="B23" r:id="rId4"/>
    <hyperlink ref="C13:F13" location="GCP!A1" display="Global Carbon Project"/>
  </hyperlinks>
  <pageMargins left="0.7" right="0.7" top="0.78740157499999996" bottom="0.78740157499999996" header="0.3" footer="0.3"/>
  <pageSetup paperSize="9" orientation="landscape"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0" tint="-0.34998626667073579"/>
  </sheetPr>
  <dimension ref="R1:V118"/>
  <sheetViews>
    <sheetView zoomScale="110" zoomScaleNormal="110" zoomScaleSheetLayoutView="100" workbookViewId="0"/>
  </sheetViews>
  <sheetFormatPr baseColWidth="10" defaultRowHeight="15" x14ac:dyDescent="0.25"/>
  <cols>
    <col min="1" max="1" width="23.85546875" customWidth="1"/>
    <col min="2" max="2" width="20.140625" customWidth="1"/>
    <col min="3" max="3" width="6.85546875" bestFit="1" customWidth="1"/>
    <col min="4" max="4" width="8.140625" bestFit="1" customWidth="1"/>
    <col min="5" max="5" width="11.140625" customWidth="1"/>
    <col min="6" max="7" width="5.140625" customWidth="1"/>
    <col min="8" max="8" width="7.140625" customWidth="1"/>
    <col min="9" max="9" width="5.140625" customWidth="1"/>
    <col min="10" max="10" width="7.42578125" customWidth="1"/>
    <col min="11" max="12" width="5" bestFit="1" customWidth="1"/>
    <col min="13" max="13" width="7.140625" bestFit="1" customWidth="1"/>
    <col min="15" max="15" width="8.5703125" customWidth="1"/>
  </cols>
  <sheetData>
    <row r="1" ht="8.25" customHeight="1" x14ac:dyDescent="0.25"/>
    <row r="61" spans="18:22" x14ac:dyDescent="0.25">
      <c r="R61" s="133"/>
      <c r="S61" s="133"/>
      <c r="T61" s="133"/>
      <c r="U61" s="133"/>
      <c r="V61" s="133"/>
    </row>
    <row r="62" spans="18:22" x14ac:dyDescent="0.25">
      <c r="R62" s="133"/>
      <c r="S62" s="133"/>
      <c r="T62" s="133"/>
      <c r="U62" s="133"/>
      <c r="V62" s="133"/>
    </row>
    <row r="78" ht="14.45" customHeight="1" x14ac:dyDescent="0.25"/>
    <row r="92" ht="14.45" customHeight="1" x14ac:dyDescent="0.25"/>
    <row r="98" ht="26.45" customHeight="1" x14ac:dyDescent="0.25"/>
    <row r="102" ht="14.45" customHeight="1" x14ac:dyDescent="0.25"/>
    <row r="118" ht="14.45" customHeight="1" x14ac:dyDescent="0.25"/>
  </sheetData>
  <customSheetViews>
    <customSheetView guid="{314CBECC-1AE9-4578-9B87-473AB0B3A698}">
      <rowBreaks count="1" manualBreakCount="1">
        <brk id="34" max="14" man="1"/>
      </rowBreaks>
      <pageMargins left="0.70866141732283472" right="0.70866141732283472" top="0.78740157480314965" bottom="0.78740157480314965" header="0.31496062992125984" footer="0.31496062992125984"/>
      <printOptions horizontalCentered="1"/>
      <pageSetup paperSize="9" scale="97" fitToHeight="6" orientation="landscape" r:id="rId1"/>
      <headerFooter>
        <oddHeader>&amp;LRegensburger Modell&amp;RS. &amp;P /&amp;N</oddHeader>
        <oddFooter>&amp;LSargl/Wolfsteiner/Wittmann&amp;R&amp;A</oddFooter>
      </headerFooter>
    </customSheetView>
    <customSheetView guid="{7B9C85BD-D1BB-4F3C-98F5-6414F32599ED}">
      <rowBreaks count="1" manualBreakCount="1">
        <brk id="34" max="14" man="1"/>
      </rowBreaks>
      <pageMargins left="0.70866141732283472" right="0.70866141732283472" top="0.78740157480314965" bottom="0.78740157480314965" header="0.31496062992125984" footer="0.31496062992125984"/>
      <printOptions horizontalCentered="1"/>
      <pageSetup paperSize="9" scale="97" fitToHeight="6" orientation="landscape" r:id="rId2"/>
      <headerFooter>
        <oddHeader>&amp;LRegensburger Modell&amp;RS. &amp;P /&amp;N</oddHeader>
        <oddFooter>&amp;LSargl/Wolfsteiner/Wittmann&amp;R&amp;A</oddFooter>
      </headerFooter>
    </customSheetView>
  </customSheetViews>
  <phoneticPr fontId="9" type="noConversion"/>
  <printOptions horizontalCentered="1"/>
  <pageMargins left="0.70866141732283472" right="0.70866141732283472" top="0.78740157480314965" bottom="0.78740157480314965" header="0.31496062992125984" footer="0.31496062992125984"/>
  <pageSetup paperSize="9" scale="97" fitToHeight="6" orientation="landscape" r:id="rId3"/>
  <headerFooter>
    <oddHeader>&amp;LRegensburger Modell&amp;RS. &amp;P /&amp;N</oddHeader>
    <oddFooter>&amp;LSargl/Wolfsteiner/Wittmann&amp;R&amp;A</oddFooter>
  </headerFooter>
  <rowBreaks count="1" manualBreakCount="1">
    <brk id="34" max="14" man="1"/>
  </rowBreak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FFFF00"/>
  </sheetPr>
  <dimension ref="A1:AI53"/>
  <sheetViews>
    <sheetView zoomScaleNormal="100" workbookViewId="0">
      <selection activeCell="B2" sqref="B2"/>
    </sheetView>
  </sheetViews>
  <sheetFormatPr baseColWidth="10" defaultColWidth="11.42578125" defaultRowHeight="12.75" x14ac:dyDescent="0.2"/>
  <cols>
    <col min="1" max="1" width="2.28515625" style="1" customWidth="1"/>
    <col min="2" max="2" width="16.42578125" style="1" customWidth="1"/>
    <col min="3" max="3" width="30.85546875" style="1" customWidth="1"/>
    <col min="4" max="4" width="8.85546875" style="1" customWidth="1"/>
    <col min="5" max="5" width="9" style="1" customWidth="1"/>
    <col min="6" max="6" width="8.7109375" style="1" customWidth="1"/>
    <col min="7" max="7" width="7.42578125" style="1" customWidth="1"/>
    <col min="8" max="8" width="6.5703125" style="1" customWidth="1"/>
    <col min="9" max="9" width="8" style="1" customWidth="1"/>
    <col min="10" max="10" width="9.42578125" style="1" customWidth="1"/>
    <col min="11" max="11" width="6.85546875" style="1" customWidth="1"/>
    <col min="12" max="12" width="7" style="1" bestFit="1" customWidth="1"/>
    <col min="13" max="13" width="5.28515625" style="1" bestFit="1" customWidth="1"/>
    <col min="14" max="14" width="10.85546875" style="1" customWidth="1"/>
    <col min="15" max="15" width="3.28515625" style="1" customWidth="1"/>
    <col min="16" max="16" width="3.85546875" style="1" customWidth="1"/>
    <col min="17" max="19" width="11.42578125" style="1"/>
    <col min="20" max="20" width="10.5703125" style="1" customWidth="1"/>
    <col min="21" max="21" width="23" style="1" customWidth="1"/>
    <col min="22" max="16384" width="11.42578125" style="1"/>
  </cols>
  <sheetData>
    <row r="1" spans="1:35" ht="7.9" customHeight="1" x14ac:dyDescent="0.25">
      <c r="U1" s="158"/>
    </row>
    <row r="2" spans="1:35" ht="15.75" x14ac:dyDescent="0.25">
      <c r="B2" s="39" t="s">
        <v>25</v>
      </c>
      <c r="R2" s="173"/>
      <c r="S2" s="173"/>
      <c r="Z2" s="1" t="s">
        <v>77</v>
      </c>
    </row>
    <row r="3" spans="1:35" ht="16.5" thickBot="1" x14ac:dyDescent="0.3">
      <c r="B3" s="39"/>
      <c r="D3" s="99"/>
      <c r="F3" s="117"/>
      <c r="G3" s="117"/>
      <c r="H3" s="117"/>
      <c r="I3" s="117"/>
      <c r="J3" s="117"/>
      <c r="K3" s="117"/>
      <c r="L3" s="117"/>
      <c r="M3" s="117"/>
      <c r="N3" s="117"/>
      <c r="Z3" s="24" t="s">
        <v>163</v>
      </c>
    </row>
    <row r="4" spans="1:35" ht="14.85" customHeight="1" thickBot="1" x14ac:dyDescent="0.25">
      <c r="B4" s="870" t="s">
        <v>29</v>
      </c>
      <c r="C4" s="871"/>
      <c r="D4" s="872" t="s">
        <v>28</v>
      </c>
      <c r="E4" s="873"/>
      <c r="F4" s="873"/>
      <c r="G4" s="873"/>
      <c r="H4" s="874"/>
      <c r="I4" s="345"/>
      <c r="J4" s="346"/>
      <c r="K4" s="346"/>
      <c r="L4" s="346"/>
      <c r="M4" s="346"/>
      <c r="N4" s="346"/>
      <c r="Z4" s="1" t="s">
        <v>164</v>
      </c>
    </row>
    <row r="5" spans="1:35" x14ac:dyDescent="0.2">
      <c r="Z5" s="1" t="s">
        <v>165</v>
      </c>
    </row>
    <row r="6" spans="1:35" s="49" customFormat="1" ht="15.6" customHeight="1" x14ac:dyDescent="0.2">
      <c r="B6" s="82" t="s">
        <v>289</v>
      </c>
      <c r="C6" s="83"/>
      <c r="D6" s="47"/>
      <c r="E6" s="47"/>
      <c r="F6" s="47"/>
      <c r="G6" s="84"/>
      <c r="H6" s="85"/>
      <c r="I6" s="83"/>
      <c r="J6" s="83"/>
      <c r="K6" s="83"/>
      <c r="L6" s="83"/>
      <c r="M6" s="83"/>
      <c r="N6" s="83"/>
      <c r="V6" s="1"/>
      <c r="W6" s="1"/>
      <c r="X6" s="1"/>
      <c r="Y6" s="1"/>
    </row>
    <row r="7" spans="1:35" ht="13.35" customHeight="1" thickBot="1" x14ac:dyDescent="0.25">
      <c r="B7" s="125"/>
      <c r="C7" s="126"/>
      <c r="D7" s="2"/>
      <c r="E7" s="2"/>
      <c r="F7" s="2"/>
      <c r="H7" s="3"/>
    </row>
    <row r="8" spans="1:35" ht="14.45" customHeight="1" thickBot="1" x14ac:dyDescent="0.25">
      <c r="B8" s="875" t="s">
        <v>12</v>
      </c>
      <c r="C8" s="876"/>
      <c r="D8" s="876"/>
      <c r="E8" s="877"/>
      <c r="S8" s="173"/>
      <c r="T8" s="173"/>
      <c r="U8" s="173"/>
      <c r="V8" s="173"/>
      <c r="W8" s="173"/>
      <c r="X8" s="173"/>
      <c r="Y8" s="173"/>
      <c r="AG8" s="114"/>
    </row>
    <row r="9" spans="1:35" ht="37.5" customHeight="1" thickBot="1" x14ac:dyDescent="0.25">
      <c r="B9" s="878" t="s">
        <v>288</v>
      </c>
      <c r="C9" s="879"/>
      <c r="D9" s="879"/>
      <c r="E9" s="880"/>
      <c r="L9" s="162"/>
      <c r="M9" s="163"/>
      <c r="N9" s="163"/>
      <c r="O9" s="163"/>
      <c r="P9" s="163"/>
      <c r="Q9" s="163"/>
      <c r="R9" s="163"/>
      <c r="S9" s="305"/>
      <c r="T9" s="305"/>
      <c r="U9" s="305"/>
      <c r="V9" s="305"/>
      <c r="W9" s="173"/>
      <c r="X9" s="173"/>
      <c r="Y9" s="173"/>
      <c r="AG9" s="173"/>
    </row>
    <row r="10" spans="1:35" s="49" customFormat="1" ht="27" customHeight="1" thickBot="1" x14ac:dyDescent="0.25">
      <c r="B10" s="866">
        <v>420</v>
      </c>
      <c r="C10" s="867"/>
      <c r="D10" s="868" t="s">
        <v>161</v>
      </c>
      <c r="E10" s="869"/>
      <c r="L10" s="516"/>
      <c r="M10" s="516"/>
      <c r="N10" s="516"/>
      <c r="O10" s="516"/>
      <c r="P10" s="516"/>
      <c r="Q10" s="516"/>
      <c r="R10" s="516"/>
      <c r="S10" s="517"/>
      <c r="T10" s="517"/>
      <c r="U10" s="517"/>
      <c r="V10" s="517"/>
      <c r="W10" s="114"/>
      <c r="X10" s="114"/>
      <c r="Y10" s="114"/>
      <c r="AG10" s="173"/>
    </row>
    <row r="11" spans="1:35" s="327" customFormat="1" ht="17.25" customHeight="1" x14ac:dyDescent="0.25">
      <c r="B11" s="848"/>
      <c r="C11" s="848"/>
      <c r="AG11" s="173"/>
    </row>
    <row r="12" spans="1:35" ht="14.1" customHeight="1" x14ac:dyDescent="0.2">
      <c r="A12" s="49"/>
      <c r="B12" s="172"/>
      <c r="C12" s="172"/>
      <c r="D12" s="172"/>
      <c r="E12" s="172"/>
      <c r="F12" s="103"/>
      <c r="G12" s="103"/>
      <c r="H12" s="514"/>
      <c r="I12" s="153"/>
      <c r="J12" s="154"/>
      <c r="K12" s="155"/>
      <c r="L12" s="515"/>
      <c r="M12" s="515"/>
      <c r="N12" s="514"/>
      <c r="AG12" s="114"/>
    </row>
    <row r="13" spans="1:35" s="49" customFormat="1" ht="15.6" customHeight="1" x14ac:dyDescent="0.25">
      <c r="B13" s="82" t="s">
        <v>83</v>
      </c>
      <c r="C13" s="83"/>
      <c r="D13" s="47"/>
      <c r="E13" s="47"/>
      <c r="F13" s="47"/>
      <c r="G13" s="84"/>
      <c r="H13" s="85"/>
      <c r="I13" s="83"/>
      <c r="J13" s="83"/>
      <c r="K13" s="83"/>
      <c r="L13" s="83"/>
      <c r="M13" s="83"/>
      <c r="N13" s="83"/>
      <c r="V13" s="277"/>
      <c r="W13" s="277"/>
      <c r="X13" s="277"/>
      <c r="Y13" s="1"/>
      <c r="AG13" s="327"/>
    </row>
    <row r="14" spans="1:35" ht="9" customHeight="1" thickBot="1" x14ac:dyDescent="0.25">
      <c r="A14" s="49"/>
      <c r="B14" s="168"/>
      <c r="C14" s="169"/>
      <c r="D14" s="38"/>
      <c r="E14" s="38"/>
      <c r="F14" s="38"/>
      <c r="G14" s="170"/>
      <c r="H14" s="171"/>
      <c r="I14" s="169"/>
      <c r="J14" s="169"/>
      <c r="K14" s="169"/>
      <c r="L14" s="169"/>
      <c r="M14" s="169"/>
      <c r="N14" s="169"/>
      <c r="O14" s="49"/>
      <c r="R14" s="49"/>
      <c r="S14" s="49"/>
      <c r="T14" s="49"/>
      <c r="Z14" s="17"/>
      <c r="AA14" s="17"/>
      <c r="AB14" s="17"/>
      <c r="AC14" s="17"/>
      <c r="AD14" s="17"/>
      <c r="AE14" s="17"/>
      <c r="AF14" s="17"/>
      <c r="AG14" s="173"/>
      <c r="AH14" s="17"/>
      <c r="AI14" s="17"/>
    </row>
    <row r="15" spans="1:35" ht="15.75" thickBot="1" x14ac:dyDescent="0.3">
      <c r="B15" s="105"/>
      <c r="C15" s="103"/>
      <c r="D15" s="849" t="s">
        <v>154</v>
      </c>
      <c r="E15" s="850"/>
      <c r="F15" s="861" t="s">
        <v>155</v>
      </c>
      <c r="G15" s="862"/>
      <c r="H15" s="862"/>
      <c r="I15" s="862"/>
      <c r="J15" s="862"/>
      <c r="K15" s="862"/>
      <c r="L15" s="863"/>
      <c r="M15" s="671"/>
      <c r="N15" s="156"/>
      <c r="U15" s="157"/>
      <c r="Z15" s="17"/>
      <c r="AA15" s="17"/>
      <c r="AB15" s="17"/>
      <c r="AC15" s="17"/>
      <c r="AD15" s="17"/>
      <c r="AE15" s="17"/>
      <c r="AF15" s="17"/>
      <c r="AG15" s="173"/>
      <c r="AH15" s="17"/>
      <c r="AI15" s="17"/>
    </row>
    <row r="16" spans="1:35" ht="15.75" customHeight="1" thickBot="1" x14ac:dyDescent="0.25">
      <c r="B16" s="858" t="s">
        <v>156</v>
      </c>
      <c r="C16" s="859"/>
      <c r="D16" s="672"/>
      <c r="E16" s="504">
        <f>E18/D18-1</f>
        <v>2.5227223755091455E-2</v>
      </c>
      <c r="F16" s="504">
        <f t="shared" ref="F16:L16" si="0">F18/E18-1</f>
        <v>2.5087307596183273E-2</v>
      </c>
      <c r="G16" s="504">
        <f t="shared" si="0"/>
        <v>8.7545560580652992E-3</v>
      </c>
      <c r="H16" s="504">
        <f t="shared" si="0"/>
        <v>1.9255620464847079E-2</v>
      </c>
      <c r="I16" s="504">
        <f t="shared" si="0"/>
        <v>4.2706373657193097E-3</v>
      </c>
      <c r="J16" s="504">
        <f t="shared" si="0"/>
        <v>-1.127326987732169E-2</v>
      </c>
      <c r="K16" s="504">
        <f t="shared" si="0"/>
        <v>4.3952216907769959E-3</v>
      </c>
      <c r="L16" s="798">
        <f t="shared" si="0"/>
        <v>2.2046855629137996E-2</v>
      </c>
      <c r="M16" s="796">
        <v>5.0000000000000001E-3</v>
      </c>
      <c r="N16" s="777"/>
      <c r="Z16" s="17"/>
      <c r="AA16" s="17"/>
      <c r="AB16" s="17"/>
      <c r="AC16" s="17"/>
      <c r="AD16" s="17"/>
      <c r="AE16" s="17"/>
      <c r="AF16" s="17"/>
      <c r="AH16" s="17"/>
      <c r="AI16" s="17"/>
    </row>
    <row r="17" spans="1:35" s="49" customFormat="1" ht="24" x14ac:dyDescent="0.2">
      <c r="A17" s="1"/>
      <c r="B17" s="165"/>
      <c r="C17" s="166" t="s">
        <v>30</v>
      </c>
      <c r="D17" s="124">
        <v>2010</v>
      </c>
      <c r="E17" s="505">
        <f t="shared" ref="E17:M17" si="1">D17+1</f>
        <v>2011</v>
      </c>
      <c r="F17" s="167">
        <f t="shared" si="1"/>
        <v>2012</v>
      </c>
      <c r="G17" s="167">
        <f t="shared" si="1"/>
        <v>2013</v>
      </c>
      <c r="H17" s="167">
        <f t="shared" si="1"/>
        <v>2014</v>
      </c>
      <c r="I17" s="167">
        <f t="shared" si="1"/>
        <v>2015</v>
      </c>
      <c r="J17" s="167">
        <f t="shared" si="1"/>
        <v>2016</v>
      </c>
      <c r="K17" s="167">
        <f t="shared" si="1"/>
        <v>2017</v>
      </c>
      <c r="L17" s="506">
        <f t="shared" si="1"/>
        <v>2018</v>
      </c>
      <c r="M17" s="506">
        <f t="shared" si="1"/>
        <v>2019</v>
      </c>
      <c r="N17" s="104" t="s">
        <v>162</v>
      </c>
      <c r="O17" s="1"/>
      <c r="P17" s="120"/>
      <c r="R17" s="1"/>
      <c r="S17" s="1"/>
      <c r="T17" s="1"/>
      <c r="U17" s="1"/>
      <c r="V17" s="1"/>
      <c r="W17" s="1"/>
      <c r="X17" s="1"/>
      <c r="Y17" s="1"/>
      <c r="Z17" s="17"/>
      <c r="AA17" s="17"/>
      <c r="AB17" s="17"/>
      <c r="AC17" s="17"/>
      <c r="AD17" s="17"/>
      <c r="AE17" s="17"/>
      <c r="AF17" s="17"/>
      <c r="AH17" s="17"/>
      <c r="AI17" s="17"/>
    </row>
    <row r="18" spans="1:35" s="49" customFormat="1" ht="18.600000000000001" customHeight="1" x14ac:dyDescent="0.25">
      <c r="B18" s="176" t="s">
        <v>101</v>
      </c>
      <c r="C18" s="177"/>
      <c r="D18" s="775">
        <f>GCP!N71</f>
        <v>38.224529350401248</v>
      </c>
      <c r="E18" s="776">
        <f>GCP!O71</f>
        <v>39.188828105256881</v>
      </c>
      <c r="F18" s="776">
        <f>GCP!P71</f>
        <v>40.171970290267417</v>
      </c>
      <c r="G18" s="776">
        <f>GCP!Q71</f>
        <v>40.523658056136497</v>
      </c>
      <c r="H18" s="776">
        <f>GCP!R71</f>
        <v>41.303966235512704</v>
      </c>
      <c r="I18" s="776">
        <f>GCP!S71</f>
        <v>41.480360497070492</v>
      </c>
      <c r="J18" s="776">
        <f>GCP!T71</f>
        <v>41.012741198578425</v>
      </c>
      <c r="K18" s="776">
        <f>GCP!U71</f>
        <v>41.193001288292642</v>
      </c>
      <c r="L18" s="799">
        <f>GCP!V71</f>
        <v>42.101177440626522</v>
      </c>
      <c r="M18" s="797">
        <f>L18*(1+$M$16)</f>
        <v>42.311683327829648</v>
      </c>
      <c r="N18" s="178">
        <f>SUM(L18:M18)</f>
        <v>84.41286076845617</v>
      </c>
      <c r="O18" s="178" t="s">
        <v>13</v>
      </c>
      <c r="P18" s="120"/>
      <c r="Q18" s="210"/>
      <c r="U18" s="109"/>
      <c r="V18" s="110"/>
      <c r="W18" s="160"/>
      <c r="X18" s="161"/>
      <c r="Y18" s="112"/>
      <c r="Z18" s="17"/>
      <c r="AA18" s="17"/>
      <c r="AB18" s="17"/>
      <c r="AC18" s="17"/>
      <c r="AD18" s="17"/>
      <c r="AE18" s="17"/>
      <c r="AF18" s="17"/>
      <c r="AH18" s="17"/>
      <c r="AI18" s="17"/>
    </row>
    <row r="19" spans="1:35" s="114" customFormat="1" ht="16.5" thickBot="1" x14ac:dyDescent="0.25">
      <c r="A19" s="49"/>
      <c r="B19" s="792" t="s">
        <v>374</v>
      </c>
      <c r="C19" s="793"/>
      <c r="D19" s="794">
        <f>GCP!N72</f>
        <v>33.151189905178576</v>
      </c>
      <c r="E19" s="160">
        <f>GCP!O72</f>
        <v>34.271539650721024</v>
      </c>
      <c r="F19" s="160">
        <f>GCP!P72</f>
        <v>34.793089678612155</v>
      </c>
      <c r="G19" s="160">
        <f>GCP!Q72</f>
        <v>34.959427243053447</v>
      </c>
      <c r="H19" s="160">
        <f>GCP!R72</f>
        <v>35.224837824575857</v>
      </c>
      <c r="I19" s="160">
        <f>GCP!S72</f>
        <v>35.238640938186251</v>
      </c>
      <c r="J19" s="160">
        <f>GCP!T72</f>
        <v>35.37968381674191</v>
      </c>
      <c r="K19" s="160">
        <f>GCP!U72</f>
        <v>35.810497610445189</v>
      </c>
      <c r="L19" s="795">
        <f>GCP!V72</f>
        <v>36.572754220178361</v>
      </c>
      <c r="M19" s="330"/>
      <c r="N19" s="331" t="s">
        <v>375</v>
      </c>
      <c r="O19" s="120"/>
      <c r="R19" s="49"/>
      <c r="S19" s="1"/>
      <c r="T19" s="49"/>
      <c r="U19" s="109"/>
      <c r="V19" s="110"/>
      <c r="W19" s="160"/>
      <c r="X19" s="161"/>
      <c r="Y19" s="112"/>
      <c r="Z19" s="17"/>
      <c r="AA19" s="17"/>
      <c r="AB19" s="17"/>
      <c r="AC19" s="17"/>
      <c r="AD19" s="17"/>
      <c r="AE19" s="17"/>
      <c r="AF19" s="17"/>
      <c r="AG19" s="164"/>
      <c r="AH19" s="17"/>
      <c r="AI19" s="17"/>
    </row>
    <row r="20" spans="1:35" s="49" customFormat="1" ht="15.6" customHeight="1" thickBot="1" x14ac:dyDescent="0.3">
      <c r="A20" s="114"/>
      <c r="B20" s="800" t="s">
        <v>379</v>
      </c>
      <c r="C20" s="801" t="s">
        <v>380</v>
      </c>
      <c r="D20" s="803">
        <f>D18-D19</f>
        <v>5.0733394452226719</v>
      </c>
      <c r="E20" s="802">
        <f t="shared" ref="E20:L20" si="2">E18-E19</f>
        <v>4.9172884545358571</v>
      </c>
      <c r="F20" s="802">
        <f t="shared" si="2"/>
        <v>5.3788806116552621</v>
      </c>
      <c r="G20" s="802">
        <f t="shared" si="2"/>
        <v>5.56423081308305</v>
      </c>
      <c r="H20" s="802">
        <f t="shared" si="2"/>
        <v>6.0791284109368462</v>
      </c>
      <c r="I20" s="802">
        <f t="shared" si="2"/>
        <v>6.2417195588842418</v>
      </c>
      <c r="J20" s="802">
        <f t="shared" si="2"/>
        <v>5.6330573818365153</v>
      </c>
      <c r="K20" s="802">
        <f t="shared" si="2"/>
        <v>5.3825036778474526</v>
      </c>
      <c r="L20" s="804">
        <f t="shared" si="2"/>
        <v>5.5284232204481611</v>
      </c>
      <c r="M20" s="806"/>
      <c r="N20" s="805" t="s">
        <v>375</v>
      </c>
      <c r="O20" s="114"/>
      <c r="R20" s="114"/>
      <c r="S20" s="114"/>
      <c r="T20" s="114"/>
      <c r="U20" s="114"/>
      <c r="V20" s="110"/>
      <c r="W20" s="111"/>
      <c r="X20" s="111"/>
      <c r="Y20" s="112"/>
    </row>
    <row r="21" spans="1:35" s="114" customFormat="1" ht="15.6" customHeight="1" x14ac:dyDescent="0.2">
      <c r="B21" s="109"/>
      <c r="C21" s="110"/>
      <c r="D21" s="111"/>
      <c r="E21" s="111"/>
      <c r="F21" s="112"/>
      <c r="G21" s="112"/>
      <c r="H21" s="112"/>
      <c r="I21" s="112"/>
      <c r="J21" s="864" t="s">
        <v>383</v>
      </c>
      <c r="K21" s="865"/>
      <c r="L21" s="807">
        <f>L20/L18</f>
        <v>0.13131279352565992</v>
      </c>
      <c r="M21" s="112"/>
      <c r="N21" s="113"/>
      <c r="U21" s="1"/>
      <c r="V21" s="1"/>
      <c r="W21" s="1"/>
      <c r="X21" s="1"/>
      <c r="Y21" s="1"/>
      <c r="AG21" s="1"/>
    </row>
    <row r="22" spans="1:35" ht="15" x14ac:dyDescent="0.2">
      <c r="A22" s="49"/>
      <c r="B22" s="82" t="s">
        <v>290</v>
      </c>
      <c r="C22" s="83"/>
      <c r="D22" s="47"/>
      <c r="E22" s="47"/>
      <c r="F22" s="47"/>
      <c r="G22" s="84"/>
      <c r="H22" s="85"/>
      <c r="I22" s="83"/>
      <c r="J22" s="83"/>
      <c r="K22" s="83"/>
      <c r="L22" s="83"/>
      <c r="M22" s="83"/>
      <c r="N22" s="83"/>
      <c r="O22" s="49"/>
      <c r="R22" s="114"/>
      <c r="S22" s="114"/>
      <c r="T22" s="114"/>
      <c r="U22" s="173"/>
      <c r="V22" s="173"/>
      <c r="W22" s="173"/>
      <c r="X22" s="173"/>
      <c r="Y22" s="173"/>
    </row>
    <row r="23" spans="1:35" ht="15.75" thickBot="1" x14ac:dyDescent="0.25">
      <c r="A23" s="114"/>
      <c r="B23" s="168"/>
      <c r="C23" s="169"/>
      <c r="D23" s="38"/>
      <c r="E23" s="38"/>
      <c r="F23" s="38"/>
      <c r="G23" s="170"/>
      <c r="H23" s="171"/>
      <c r="I23" s="169"/>
      <c r="J23" s="169"/>
      <c r="K23" s="169"/>
      <c r="L23" s="169"/>
      <c r="M23" s="169"/>
      <c r="N23" s="169"/>
      <c r="O23" s="114"/>
      <c r="U23" s="49"/>
      <c r="V23" s="49"/>
      <c r="W23" s="49"/>
      <c r="X23" s="49"/>
      <c r="Y23" s="49"/>
    </row>
    <row r="24" spans="1:35" s="49" customFormat="1" ht="19.5" thickBot="1" x14ac:dyDescent="0.25">
      <c r="A24" s="206"/>
      <c r="B24" s="205" t="s">
        <v>82</v>
      </c>
      <c r="C24" s="50"/>
      <c r="D24" s="50"/>
      <c r="E24" s="50"/>
      <c r="F24" s="860"/>
      <c r="G24" s="860"/>
      <c r="H24" s="860"/>
      <c r="I24" s="860"/>
      <c r="J24" s="860"/>
      <c r="K24" s="342"/>
      <c r="L24" s="106">
        <f>B10-N18</f>
        <v>335.5871392315438</v>
      </c>
      <c r="M24" s="856" t="s">
        <v>169</v>
      </c>
      <c r="N24" s="857"/>
      <c r="O24" s="206"/>
      <c r="R24" s="1"/>
      <c r="S24" s="1"/>
      <c r="T24" s="1"/>
      <c r="AG24" s="110"/>
    </row>
    <row r="25" spans="1:35" ht="15.75" x14ac:dyDescent="0.25">
      <c r="B25" s="40"/>
      <c r="C25" s="41"/>
      <c r="D25" s="41"/>
      <c r="E25" s="41"/>
      <c r="F25" s="46"/>
      <c r="G25" s="46"/>
      <c r="H25" s="46"/>
      <c r="I25" s="46"/>
      <c r="J25" s="46"/>
      <c r="K25" s="42"/>
      <c r="R25" s="49"/>
      <c r="S25" s="49"/>
      <c r="T25" s="49"/>
      <c r="U25" s="48"/>
      <c r="AG25" s="110"/>
    </row>
    <row r="26" spans="1:35" s="206" customFormat="1" ht="15.75" x14ac:dyDescent="0.2">
      <c r="A26" s="49"/>
      <c r="B26" s="86" t="s">
        <v>103</v>
      </c>
      <c r="C26" s="87"/>
      <c r="D26" s="87"/>
      <c r="E26" s="87"/>
      <c r="F26" s="88"/>
      <c r="G26" s="88"/>
      <c r="H26" s="88"/>
      <c r="I26" s="88"/>
      <c r="J26" s="88"/>
      <c r="K26" s="89"/>
      <c r="L26" s="90"/>
      <c r="M26" s="90"/>
      <c r="N26" s="90"/>
      <c r="O26" s="49"/>
      <c r="R26" s="1"/>
      <c r="S26" s="1"/>
      <c r="T26" s="1"/>
      <c r="U26" s="159"/>
      <c r="V26" s="49"/>
      <c r="W26" s="49"/>
      <c r="X26" s="49"/>
      <c r="Y26" s="49"/>
      <c r="AG26" s="114"/>
    </row>
    <row r="27" spans="1:35" ht="16.5" thickBot="1" x14ac:dyDescent="0.3">
      <c r="B27" s="40"/>
      <c r="C27" s="41"/>
      <c r="D27" s="41"/>
      <c r="E27" s="41"/>
      <c r="F27" s="46"/>
      <c r="G27" s="46"/>
      <c r="H27" s="46"/>
      <c r="K27" s="42"/>
      <c r="R27" s="206"/>
      <c r="S27" s="206"/>
      <c r="T27" s="206"/>
      <c r="U27" s="207"/>
      <c r="V27" s="208"/>
      <c r="W27" s="208"/>
      <c r="X27" s="208"/>
      <c r="Y27" s="208"/>
      <c r="AG27" s="49"/>
    </row>
    <row r="28" spans="1:35" s="49" customFormat="1" ht="17.25" thickBot="1" x14ac:dyDescent="0.25">
      <c r="B28" s="851" t="s">
        <v>84</v>
      </c>
      <c r="C28" s="852"/>
      <c r="D28" s="852"/>
      <c r="E28" s="852"/>
      <c r="F28" s="852"/>
      <c r="G28" s="852"/>
      <c r="H28" s="852"/>
      <c r="I28" s="852"/>
      <c r="J28" s="852"/>
      <c r="K28" s="853"/>
      <c r="L28" s="182">
        <f>M18</f>
        <v>42.311683327829648</v>
      </c>
      <c r="M28" s="854"/>
      <c r="N28" s="855"/>
      <c r="R28" s="1"/>
      <c r="S28" s="1"/>
      <c r="T28" s="1"/>
      <c r="AG28" s="114"/>
    </row>
    <row r="29" spans="1:35" ht="16.5" thickBot="1" x14ac:dyDescent="0.3">
      <c r="B29" s="40"/>
      <c r="C29" s="41"/>
      <c r="D29" s="41"/>
      <c r="E29" s="41"/>
      <c r="F29" s="42"/>
      <c r="G29" s="5"/>
      <c r="R29" s="49"/>
      <c r="S29" s="49"/>
      <c r="T29" s="49"/>
    </row>
    <row r="30" spans="1:35" s="49" customFormat="1" ht="18" thickBot="1" x14ac:dyDescent="0.25">
      <c r="A30" s="1"/>
      <c r="B30" s="851" t="s">
        <v>78</v>
      </c>
      <c r="C30" s="852"/>
      <c r="D30" s="852"/>
      <c r="E30" s="852"/>
      <c r="F30" s="852"/>
      <c r="G30" s="852"/>
      <c r="H30" s="852"/>
      <c r="I30" s="852"/>
      <c r="J30" s="852"/>
      <c r="K30" s="852"/>
      <c r="L30" s="852"/>
      <c r="M30" s="853"/>
      <c r="N30" s="227">
        <v>-4.3499999999999996</v>
      </c>
      <c r="R30" s="1"/>
      <c r="S30" s="1"/>
      <c r="T30" s="1"/>
      <c r="AG30" s="1"/>
    </row>
    <row r="31" spans="1:35" ht="16.5" thickBot="1" x14ac:dyDescent="0.25">
      <c r="A31" s="173"/>
      <c r="B31" s="168"/>
      <c r="C31" s="168"/>
      <c r="D31" s="168"/>
      <c r="E31" s="168"/>
      <c r="F31" s="168"/>
      <c r="G31" s="168"/>
      <c r="H31" s="168"/>
      <c r="I31" s="168"/>
      <c r="J31" s="168"/>
      <c r="K31" s="168"/>
      <c r="L31" s="114"/>
      <c r="M31" s="173"/>
      <c r="N31" s="214"/>
      <c r="O31" s="114"/>
      <c r="R31" s="49"/>
      <c r="S31" s="49"/>
      <c r="T31" s="49"/>
      <c r="AG31" s="49"/>
    </row>
    <row r="32" spans="1:35" s="49" customFormat="1" ht="16.5" thickBot="1" x14ac:dyDescent="0.3">
      <c r="A32" s="1"/>
      <c r="B32" s="704" t="s">
        <v>376</v>
      </c>
      <c r="C32" s="705"/>
      <c r="D32" s="705"/>
      <c r="E32" s="705"/>
      <c r="F32" s="706"/>
      <c r="G32" s="707"/>
      <c r="H32" s="708"/>
      <c r="I32" s="708"/>
      <c r="J32" s="708"/>
      <c r="K32" s="708"/>
      <c r="L32" s="708"/>
      <c r="M32" s="708"/>
      <c r="N32" s="808">
        <f>N30/L19</f>
        <v>-0.11894100110185207</v>
      </c>
      <c r="O32" s="1"/>
      <c r="R32" s="1"/>
      <c r="S32" s="1"/>
      <c r="T32" s="1"/>
      <c r="AG32" s="1"/>
    </row>
    <row r="33" spans="1:33" s="114" customFormat="1" ht="15.75" x14ac:dyDescent="0.2">
      <c r="A33" s="1"/>
      <c r="B33" s="44"/>
      <c r="C33" s="43"/>
      <c r="D33" s="224"/>
      <c r="E33" s="45"/>
      <c r="F33" s="220"/>
      <c r="G33" s="225"/>
      <c r="H33" s="225"/>
      <c r="I33" s="225"/>
      <c r="J33" s="225"/>
      <c r="K33" s="225"/>
      <c r="L33" s="225"/>
      <c r="M33" s="1"/>
      <c r="N33" s="1"/>
      <c r="O33" s="1"/>
      <c r="R33" s="49"/>
      <c r="S33" s="49"/>
      <c r="T33" s="49"/>
      <c r="U33" s="1"/>
      <c r="V33" s="1"/>
      <c r="W33" s="1"/>
      <c r="X33" s="1"/>
      <c r="Y33" s="1"/>
      <c r="AG33" s="206"/>
    </row>
    <row r="34" spans="1:33" s="114" customFormat="1" ht="15.75" x14ac:dyDescent="0.2">
      <c r="A34" s="1"/>
      <c r="B34" s="44"/>
      <c r="C34" s="43"/>
      <c r="D34" s="26"/>
      <c r="E34" s="45"/>
      <c r="F34" s="26"/>
      <c r="G34" s="25"/>
      <c r="H34" s="25"/>
      <c r="I34" s="25"/>
      <c r="J34" s="1"/>
      <c r="K34" s="1"/>
      <c r="L34" s="1"/>
      <c r="M34" s="1"/>
      <c r="N34" s="1"/>
      <c r="O34" s="1"/>
      <c r="P34" s="1"/>
      <c r="U34" s="173"/>
      <c r="V34" s="173"/>
      <c r="W34" s="173"/>
      <c r="X34" s="173"/>
      <c r="Y34" s="173"/>
      <c r="AG34" s="1"/>
    </row>
    <row r="35" spans="1:33" x14ac:dyDescent="0.2">
      <c r="D35" s="4"/>
      <c r="AG35" s="49"/>
    </row>
    <row r="36" spans="1:33" ht="15.4" customHeight="1" x14ac:dyDescent="0.2">
      <c r="AG36" s="49"/>
    </row>
    <row r="37" spans="1:33" ht="15.4" customHeight="1" x14ac:dyDescent="0.2">
      <c r="AG37" s="114"/>
    </row>
    <row r="38" spans="1:33" ht="15.4" customHeight="1" x14ac:dyDescent="0.2">
      <c r="AG38" s="114"/>
    </row>
    <row r="39" spans="1:33" x14ac:dyDescent="0.2">
      <c r="AG39" s="114"/>
    </row>
    <row r="40" spans="1:33" x14ac:dyDescent="0.2">
      <c r="AG40" s="114"/>
    </row>
    <row r="41" spans="1:33" x14ac:dyDescent="0.2">
      <c r="AG41" s="114"/>
    </row>
    <row r="50" spans="2:33" x14ac:dyDescent="0.2">
      <c r="B50" s="115"/>
    </row>
    <row r="52" spans="2:33" x14ac:dyDescent="0.2">
      <c r="AG52" s="49"/>
    </row>
    <row r="53" spans="2:33" x14ac:dyDescent="0.2">
      <c r="AG53" s="114"/>
    </row>
  </sheetData>
  <sheetProtection selectLockedCells="1" selectUnlockedCells="1"/>
  <customSheetViews>
    <customSheetView guid="{314CBECC-1AE9-4578-9B87-473AB0B3A698}" topLeftCell="A22">
      <selection activeCell="O16" sqref="O16"/>
      <rowBreaks count="2" manualBreakCount="2">
        <brk id="29" max="12" man="1"/>
        <brk id="53" max="12" man="1"/>
      </rowBreaks>
      <pageMargins left="0.74803149606299213" right="0.74803149606299213" top="0.98425196850393704" bottom="0.98425196850393704" header="0.51181102362204722" footer="0.51181102362204722"/>
      <printOptions horizontalCentered="1" verticalCentered="1"/>
      <pageSetup paperSize="9" scale="74" firstPageNumber="0" fitToHeight="3" orientation="landscape" r:id="rId1"/>
      <headerFooter scaleWithDoc="0" alignWithMargins="0">
        <oddHeader>&amp;LRegensburger Modell</oddHeader>
        <oddFooter>&amp;LSargl/Wolfsteiner/Wittmann&amp;C&amp;16S. &amp;P / &amp;N&amp;R&amp;18Anlage 1.1.1</oddFooter>
      </headerFooter>
    </customSheetView>
    <customSheetView guid="{7B9C85BD-D1BB-4F3C-98F5-6414F32599ED}" topLeftCell="A22">
      <selection activeCell="O16" sqref="O16"/>
      <rowBreaks count="2" manualBreakCount="2">
        <brk id="29" max="12" man="1"/>
        <brk id="53" max="12" man="1"/>
      </rowBreaks>
      <pageMargins left="0.74803149606299213" right="0.74803149606299213" top="0.98425196850393704" bottom="0.98425196850393704" header="0.51181102362204722" footer="0.51181102362204722"/>
      <printOptions horizontalCentered="1" verticalCentered="1"/>
      <pageSetup paperSize="9" scale="74" firstPageNumber="0" fitToHeight="3" orientation="landscape" r:id="rId2"/>
      <headerFooter scaleWithDoc="0" alignWithMargins="0">
        <oddHeader>&amp;LRegensburger Modell</oddHeader>
        <oddFooter>&amp;LSargl/Wolfsteiner/Wittmann&amp;C&amp;16S. &amp;P / &amp;N&amp;R&amp;18Anlage 1.1.1</oddFooter>
      </headerFooter>
    </customSheetView>
  </customSheetViews>
  <mergeCells count="16">
    <mergeCell ref="B10:C10"/>
    <mergeCell ref="D10:E10"/>
    <mergeCell ref="B4:C4"/>
    <mergeCell ref="D4:H4"/>
    <mergeCell ref="B8:E8"/>
    <mergeCell ref="B9:E9"/>
    <mergeCell ref="B11:C11"/>
    <mergeCell ref="D15:E15"/>
    <mergeCell ref="B30:M30"/>
    <mergeCell ref="B28:K28"/>
    <mergeCell ref="M28:N28"/>
    <mergeCell ref="M24:N24"/>
    <mergeCell ref="B16:C16"/>
    <mergeCell ref="F24:J24"/>
    <mergeCell ref="F15:L15"/>
    <mergeCell ref="J21:K21"/>
  </mergeCells>
  <phoneticPr fontId="9" type="noConversion"/>
  <dataValidations count="6">
    <dataValidation operator="greaterThan" allowBlank="1" showInputMessage="1" showErrorMessage="1" sqref="M20:M21"/>
    <dataValidation errorStyle="information" allowBlank="1" showInputMessage="1" showErrorMessage="1" error="Wert liegt nicht in der vom IPCC angegebenen Bandbreite." sqref="D10:D11"/>
    <dataValidation allowBlank="1" showInputMessage="1" showErrorMessage="1" error="Wählen eine der zwei Möglichkeiten." prompt="Select a budget from the drop-down list." sqref="F24:J24"/>
    <dataValidation type="list" allowBlank="1" showInputMessage="1" showErrorMessage="1" error="Wählen eine der zwei Möglichkeiten." prompt="Wählen Sie ein Budget aus der Drop-Down-Liste." sqref="F27:H27 F25:H26 J25:J26 I26">
      <formula1>#REF!</formula1>
    </dataValidation>
    <dataValidation errorStyle="information" allowBlank="1" showInputMessage="1" errorTitle="your own value" sqref="B10:C10"/>
    <dataValidation allowBlank="1" error="Wählen eine der zwei Möglichkeiten." prompt="Wählen Sie ein Budget aus der Drop-Down-Liste." sqref="I25"/>
  </dataValidations>
  <hyperlinks>
    <hyperlink ref="D4:H4" location="'Details Ausgangsdaten'!A1" display="Werte aus dem Register &quot;Details Ausgangsdaten&quot;"/>
    <hyperlink ref="F15" location="'Global Carbon Budget'!A1" display="Global Carbon Budget"/>
    <hyperlink ref="Z3" r:id="rId3"/>
    <hyperlink ref="F15:H15" location="GCB!A1" display="Global Carbon Budget"/>
    <hyperlink ref="F15:L15" location="GCP!A1" display="Global Carbon Budget"/>
  </hyperlinks>
  <printOptions horizontalCentered="1" verticalCentered="1"/>
  <pageMargins left="0.74803149606299213" right="0.74803149606299213" top="0.98425196850393704" bottom="0.98425196850393704" header="0.51181102362204722" footer="0.51181102362204722"/>
  <pageSetup paperSize="9" scale="74" firstPageNumber="0" fitToHeight="3" orientation="landscape" r:id="rId4"/>
  <headerFooter scaleWithDoc="0" alignWithMargins="0">
    <oddHeader>&amp;LRegensburger Modell</oddHeader>
    <oddFooter>&amp;LSargl/Wolfsteiner/Wittmann&amp;RS. &amp;P / &amp;N</oddFooter>
  </headerFooter>
  <rowBreaks count="2" manualBreakCount="2">
    <brk id="28" min="1" max="13" man="1"/>
    <brk id="34" min="1" max="13" man="1"/>
  </rowBreaks>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00B050"/>
    <pageSetUpPr fitToPage="1"/>
  </sheetPr>
  <dimension ref="A1:DK124"/>
  <sheetViews>
    <sheetView tabSelected="1" zoomScale="80" zoomScaleNormal="80" workbookViewId="0"/>
  </sheetViews>
  <sheetFormatPr baseColWidth="10" defaultColWidth="11.85546875" defaultRowHeight="15" x14ac:dyDescent="0.25"/>
  <cols>
    <col min="1" max="1" width="5.85546875" customWidth="1"/>
    <col min="2" max="2" width="24.28515625" customWidth="1"/>
    <col min="5" max="6" width="13.5703125" customWidth="1"/>
    <col min="8" max="8" width="13.28515625" customWidth="1"/>
    <col min="9" max="10" width="13.5703125" customWidth="1"/>
    <col min="19" max="19" width="5.42578125" customWidth="1"/>
    <col min="21" max="21" width="7.42578125" customWidth="1"/>
    <col min="22" max="22" width="6.28515625" bestFit="1" customWidth="1"/>
    <col min="23" max="40" width="6.28515625" customWidth="1"/>
    <col min="41" max="54" width="6.28515625" style="327" customWidth="1"/>
    <col min="55" max="61" width="6.28515625" customWidth="1"/>
    <col min="62" max="69" width="6.28515625" style="327" customWidth="1"/>
    <col min="70" max="71" width="6.28515625" customWidth="1"/>
    <col min="72" max="72" width="9.28515625" bestFit="1" customWidth="1"/>
    <col min="73" max="73" width="10.7109375" bestFit="1" customWidth="1"/>
    <col min="74" max="74" width="9" bestFit="1" customWidth="1"/>
    <col min="75" max="75" width="8" bestFit="1" customWidth="1"/>
    <col min="76" max="76" width="11.28515625" bestFit="1" customWidth="1"/>
    <col min="77" max="78" width="11.28515625" style="327" customWidth="1"/>
    <col min="79" max="79" width="11.28515625" style="327" bestFit="1" customWidth="1"/>
    <col min="80" max="80" width="11.85546875" collapsed="1"/>
    <col min="81" max="81" width="9.28515625" bestFit="1" customWidth="1"/>
    <col min="82" max="84" width="12.85546875" bestFit="1" customWidth="1"/>
    <col min="85" max="85" width="11.28515625" bestFit="1" customWidth="1"/>
    <col min="86" max="88" width="11.28515625" style="327" customWidth="1"/>
    <col min="89" max="89" width="7.140625" customWidth="1"/>
    <col min="90" max="90" width="9.28515625" style="327" bestFit="1" customWidth="1"/>
    <col min="91" max="93" width="12.85546875" style="327" bestFit="1" customWidth="1"/>
    <col min="94" max="94" width="11.28515625" style="327" bestFit="1" customWidth="1"/>
    <col min="95" max="97" width="11.28515625" style="327" customWidth="1"/>
    <col min="98" max="98" width="10.85546875" customWidth="1"/>
    <col min="99" max="99" width="9.28515625" bestFit="1" customWidth="1"/>
    <col min="100" max="100" width="10.7109375" bestFit="1" customWidth="1"/>
    <col min="101" max="101" width="9" bestFit="1" customWidth="1"/>
    <col min="102" max="102" width="8" bestFit="1" customWidth="1"/>
    <col min="103" max="103" width="11.28515625" bestFit="1" customWidth="1"/>
    <col min="104" max="106" width="11.28515625" style="327" customWidth="1"/>
    <col min="113" max="114" width="11.85546875" style="327"/>
  </cols>
  <sheetData>
    <row r="1" spans="1:115" s="311" customFormat="1" x14ac:dyDescent="0.25">
      <c r="AO1" s="327"/>
      <c r="AP1" s="327"/>
      <c r="AQ1" s="327"/>
      <c r="AR1" s="327"/>
      <c r="AS1" s="327"/>
      <c r="AT1" s="327"/>
      <c r="AU1" s="327"/>
      <c r="AV1" s="327"/>
      <c r="AW1" s="327"/>
      <c r="AX1" s="327"/>
      <c r="AY1" s="327"/>
      <c r="AZ1" s="327"/>
      <c r="BA1" s="327"/>
      <c r="BB1" s="327"/>
      <c r="BJ1" s="327"/>
      <c r="BK1" s="327"/>
      <c r="BL1" s="327"/>
      <c r="BM1" s="327"/>
      <c r="BN1" s="327"/>
      <c r="BO1" s="327"/>
      <c r="BP1" s="327"/>
      <c r="BQ1" s="327"/>
      <c r="BY1" s="327"/>
      <c r="BZ1" s="327"/>
      <c r="CA1" s="327"/>
      <c r="CH1" s="327"/>
      <c r="CI1" s="327"/>
      <c r="CJ1" s="327"/>
      <c r="CL1" s="327"/>
      <c r="CM1" s="327"/>
      <c r="CN1" s="327"/>
      <c r="CO1" s="327"/>
      <c r="CP1" s="327"/>
      <c r="CQ1" s="327"/>
      <c r="CR1" s="327"/>
      <c r="CS1" s="327"/>
      <c r="CT1"/>
      <c r="CZ1" s="327"/>
      <c r="DA1" s="327"/>
      <c r="DB1" s="327"/>
      <c r="DI1" s="327"/>
      <c r="DJ1" s="327"/>
    </row>
    <row r="2" spans="1:115" s="311" customFormat="1" ht="18.75" thickBot="1" x14ac:dyDescent="0.3">
      <c r="B2" s="816" t="s">
        <v>74</v>
      </c>
      <c r="AO2" s="327"/>
      <c r="AP2" s="327"/>
      <c r="AQ2" s="327"/>
      <c r="AR2" s="327"/>
      <c r="AS2" s="327"/>
      <c r="AT2" s="327"/>
      <c r="AU2" s="327"/>
      <c r="AV2" s="327"/>
      <c r="AW2" s="327"/>
      <c r="AX2" s="327"/>
      <c r="AY2" s="327"/>
      <c r="AZ2" s="327"/>
      <c r="BA2" s="327"/>
      <c r="BB2" s="327"/>
      <c r="BJ2" s="327"/>
      <c r="BK2" s="327"/>
      <c r="BL2" s="327"/>
      <c r="BM2" s="327"/>
      <c r="BN2" s="327"/>
      <c r="BO2" s="327"/>
      <c r="BP2" s="327"/>
      <c r="BQ2" s="327"/>
      <c r="BY2" s="327"/>
      <c r="BZ2" s="327"/>
      <c r="CA2" s="327"/>
      <c r="CH2" s="327"/>
      <c r="CI2" s="327"/>
      <c r="CJ2" s="327"/>
      <c r="CL2" s="327"/>
      <c r="CM2" s="327"/>
      <c r="CN2" s="327"/>
      <c r="CO2" s="327"/>
      <c r="CP2" s="327"/>
      <c r="CQ2" s="327"/>
      <c r="CR2" s="327"/>
      <c r="CS2" s="327"/>
      <c r="CT2"/>
      <c r="CZ2" s="327"/>
      <c r="DA2" s="327"/>
      <c r="DB2" s="327"/>
      <c r="DI2" s="327"/>
      <c r="DJ2" s="327"/>
    </row>
    <row r="3" spans="1:115" ht="15.75" thickBot="1" x14ac:dyDescent="0.3">
      <c r="F3" s="64"/>
      <c r="G3" s="65"/>
      <c r="H3" s="65"/>
      <c r="I3" s="66"/>
      <c r="J3" s="451" t="str">
        <f>scenarios!$E$2</f>
        <v>RM-1 const</v>
      </c>
      <c r="K3" s="452" t="str">
        <f>scenarios!$M$2</f>
        <v>RM-2 exp</v>
      </c>
      <c r="L3" s="452" t="str">
        <f>scenarios!$V$2</f>
        <v>RM-3 lin</v>
      </c>
      <c r="M3" s="452" t="str">
        <f>scenarios!$AE$2</f>
        <v>RM-4 quadr</v>
      </c>
      <c r="N3" s="452" t="str">
        <f>scenarios!AN2</f>
        <v>RM-5 rad</v>
      </c>
      <c r="O3" s="681" t="str">
        <f>'goal seek'!H5</f>
        <v>RM-6 abs</v>
      </c>
      <c r="P3" s="453" t="str">
        <f>scenarios!BF2</f>
        <v>SPM-R</v>
      </c>
    </row>
    <row r="4" spans="1:115" ht="15.75" thickBot="1" x14ac:dyDescent="0.3">
      <c r="B4" s="817" t="s">
        <v>286</v>
      </c>
      <c r="C4" s="818"/>
      <c r="D4" s="819">
        <f>'base data'!B10</f>
        <v>420</v>
      </c>
      <c r="F4" s="881" t="s">
        <v>285</v>
      </c>
      <c r="G4" s="882"/>
      <c r="H4" s="882"/>
      <c r="I4" s="883"/>
      <c r="J4" s="337" t="str">
        <f>IF('goal seek'!C15='goal seek'!C16,"yes","no")</f>
        <v>yes</v>
      </c>
      <c r="K4" s="338" t="str">
        <f>IF('goal seek'!D15='goal seek'!D16,"yes","no")</f>
        <v>yes</v>
      </c>
      <c r="L4" s="338" t="str">
        <f>IF('goal seek'!E15='goal seek'!E16,"yes","no")</f>
        <v>yes</v>
      </c>
      <c r="M4" s="338" t="str">
        <f>IF('goal seek'!F15='goal seek'!F16,"yes","no")</f>
        <v>yes</v>
      </c>
      <c r="N4" s="338" t="str">
        <f>IF('goal seek'!G15='goal seek'!G16,"yes","no")</f>
        <v>yes</v>
      </c>
      <c r="O4" s="378" t="str">
        <f>IF('goal seek'!H15='goal seek'!H16,"yes","no")</f>
        <v>yes</v>
      </c>
      <c r="P4" s="378" t="s">
        <v>115</v>
      </c>
      <c r="Q4" s="209"/>
      <c r="AN4" s="327"/>
      <c r="BB4"/>
      <c r="BI4" s="327"/>
      <c r="BQ4"/>
      <c r="BV4" s="29" t="s">
        <v>12</v>
      </c>
      <c r="BW4" s="29" t="s">
        <v>8</v>
      </c>
      <c r="CK4" s="327"/>
    </row>
    <row r="5" spans="1:115" ht="15.75" thickBot="1" x14ac:dyDescent="0.3">
      <c r="B5" s="394" t="s">
        <v>287</v>
      </c>
      <c r="C5" s="336"/>
      <c r="D5" s="395">
        <f>'base data'!L24</f>
        <v>335.5871392315438</v>
      </c>
      <c r="F5" s="840" t="s">
        <v>345</v>
      </c>
      <c r="G5" s="884"/>
      <c r="H5" s="884"/>
      <c r="I5" s="841"/>
      <c r="J5" s="644">
        <f>scenarios!BV97</f>
        <v>142.75575901885998</v>
      </c>
      <c r="K5" s="645">
        <f>scenarios!BW97</f>
        <v>234.77034012312299</v>
      </c>
      <c r="L5" s="645">
        <f>scenarios!BX97</f>
        <v>206.36126585877378</v>
      </c>
      <c r="M5" s="645">
        <f>scenarios!BY97</f>
        <v>230.46271593687152</v>
      </c>
      <c r="N5" s="645">
        <f>scenarios!BZ97</f>
        <v>183.03514003758721</v>
      </c>
      <c r="O5" s="646">
        <f>-scenarios!AW98</f>
        <v>227.96856269349993</v>
      </c>
      <c r="P5" s="557" t="s">
        <v>115</v>
      </c>
      <c r="T5" s="885" t="s">
        <v>66</v>
      </c>
      <c r="U5" s="886"/>
      <c r="V5" s="886"/>
      <c r="W5" s="886"/>
      <c r="X5" s="886"/>
      <c r="Y5" s="886"/>
      <c r="Z5" s="887"/>
      <c r="AN5" s="327"/>
      <c r="BB5"/>
      <c r="BI5" s="327"/>
      <c r="BQ5"/>
      <c r="CK5" s="327"/>
    </row>
    <row r="6" spans="1:115" s="327" customFormat="1" x14ac:dyDescent="0.25">
      <c r="A6"/>
      <c r="B6"/>
      <c r="C6"/>
      <c r="D6"/>
      <c r="E6"/>
      <c r="F6"/>
      <c r="G6"/>
      <c r="H6"/>
      <c r="I6"/>
      <c r="J6"/>
      <c r="K6"/>
      <c r="L6"/>
      <c r="M6"/>
      <c r="N6"/>
      <c r="O6"/>
      <c r="P6"/>
      <c r="Q6"/>
      <c r="R6"/>
      <c r="S6"/>
      <c r="T6"/>
      <c r="U6"/>
      <c r="V6" s="192"/>
      <c r="W6" s="192"/>
      <c r="X6" s="192"/>
      <c r="Y6" s="192"/>
      <c r="Z6" s="192"/>
      <c r="AA6" s="192"/>
      <c r="AB6" s="192"/>
      <c r="AC6" s="192"/>
      <c r="AD6" s="192"/>
      <c r="AE6" s="192"/>
      <c r="AF6" s="192"/>
      <c r="AG6" s="192"/>
      <c r="AH6" s="192"/>
      <c r="AI6" s="192"/>
      <c r="AJ6" s="192"/>
      <c r="AK6" s="192"/>
      <c r="AL6" s="192"/>
      <c r="AM6" s="192"/>
      <c r="AN6" s="192"/>
      <c r="AO6" s="192"/>
      <c r="AP6" s="192"/>
      <c r="AQ6" s="192"/>
      <c r="AR6" s="192"/>
      <c r="AS6" s="192"/>
      <c r="AT6" s="192"/>
      <c r="AU6" s="192"/>
      <c r="AV6" s="192"/>
      <c r="AW6" s="192"/>
      <c r="AX6" s="192"/>
      <c r="AY6" s="192"/>
      <c r="AZ6" s="192"/>
      <c r="BA6" s="192"/>
      <c r="BB6" s="192"/>
      <c r="BC6" s="192"/>
      <c r="BD6" s="192"/>
      <c r="BE6" s="192"/>
      <c r="BF6" s="192"/>
      <c r="BG6" s="192"/>
      <c r="BH6" s="192"/>
    </row>
    <row r="7" spans="1:115" ht="16.5" x14ac:dyDescent="0.3">
      <c r="BI7" s="192"/>
      <c r="BJ7" s="192"/>
      <c r="BK7" s="192"/>
      <c r="BL7" s="192"/>
      <c r="BM7" s="192"/>
      <c r="BN7" s="192"/>
      <c r="BO7" s="192"/>
      <c r="BP7" s="192"/>
      <c r="BQ7" s="192"/>
      <c r="BR7" s="192"/>
      <c r="BS7" s="272"/>
      <c r="BT7" s="189" t="s">
        <v>14</v>
      </c>
      <c r="BU7" s="310" t="str">
        <f>'goal seek'!C6</f>
        <v>RRt const</v>
      </c>
      <c r="BV7" s="310" t="str">
        <f>'goal seek'!D6</f>
        <v>RRt exp</v>
      </c>
      <c r="BW7" s="310" t="str">
        <f>'goal seek'!E6</f>
        <v>RRt lin</v>
      </c>
      <c r="BX7" s="396" t="str">
        <f>'goal seek'!F6</f>
        <v>RRt quadr</v>
      </c>
      <c r="BY7" s="396" t="str">
        <f>'goal seek'!G6</f>
        <v>RRt rad</v>
      </c>
      <c r="BZ7" s="396" t="str">
        <f>'goal seek'!H6</f>
        <v>RAt const</v>
      </c>
      <c r="CA7" s="396" t="s">
        <v>109</v>
      </c>
      <c r="CD7" s="885" t="s">
        <v>71</v>
      </c>
      <c r="CE7" s="886"/>
      <c r="CF7" s="886"/>
      <c r="CG7" s="886"/>
      <c r="CH7" s="888"/>
      <c r="CI7" s="889"/>
      <c r="CJ7" s="887"/>
      <c r="CM7" s="885" t="s">
        <v>94</v>
      </c>
      <c r="CN7" s="886"/>
      <c r="CO7" s="886"/>
      <c r="CP7" s="886"/>
      <c r="CQ7" s="888"/>
      <c r="CR7" s="889"/>
      <c r="CS7" s="887"/>
      <c r="CU7" s="296" t="s">
        <v>41</v>
      </c>
      <c r="CV7" s="310" t="str">
        <f t="shared" ref="CV7:DA8" si="0">BU7</f>
        <v>RRt const</v>
      </c>
      <c r="CW7" s="396" t="str">
        <f t="shared" si="0"/>
        <v>RRt exp</v>
      </c>
      <c r="CX7" s="410" t="str">
        <f t="shared" si="0"/>
        <v>RRt lin</v>
      </c>
      <c r="CY7" s="396" t="str">
        <f t="shared" si="0"/>
        <v>RRt quadr</v>
      </c>
      <c r="CZ7" s="396" t="str">
        <f t="shared" si="0"/>
        <v>RRt rad</v>
      </c>
      <c r="DA7" s="396" t="str">
        <f t="shared" si="0"/>
        <v>RAt const</v>
      </c>
      <c r="DB7" s="396" t="str">
        <f t="shared" ref="DB7:DB8" si="1">CA7</f>
        <v>Raupach</v>
      </c>
      <c r="DD7" s="127"/>
      <c r="DE7" s="328" t="str">
        <f t="shared" ref="DE7:DJ7" si="2">BU8</f>
        <v>RM-1 const</v>
      </c>
      <c r="DF7" s="328" t="str">
        <f t="shared" si="2"/>
        <v>RM-2 exp</v>
      </c>
      <c r="DG7" s="328" t="str">
        <f t="shared" si="2"/>
        <v>RM-3 lin</v>
      </c>
      <c r="DH7" s="426" t="str">
        <f t="shared" si="2"/>
        <v>RM-4 quadr</v>
      </c>
      <c r="DI7" s="558" t="str">
        <f t="shared" si="2"/>
        <v>RM-5 rad</v>
      </c>
      <c r="DJ7" s="679" t="str">
        <f t="shared" si="2"/>
        <v>RM-6 abs</v>
      </c>
      <c r="DK7" s="427" t="str">
        <f t="shared" ref="DK7" si="3">CA8</f>
        <v>SPM-R</v>
      </c>
    </row>
    <row r="8" spans="1:115" x14ac:dyDescent="0.25">
      <c r="BT8" s="127"/>
      <c r="BU8" s="228" t="str">
        <f>scenarios!E2</f>
        <v>RM-1 const</v>
      </c>
      <c r="BV8" s="228" t="str">
        <f>scenarios!M2</f>
        <v>RM-2 exp</v>
      </c>
      <c r="BW8" s="228" t="str">
        <f>scenarios!V2</f>
        <v>RM-3 lin</v>
      </c>
      <c r="BX8" s="397" t="str">
        <f>scenarios!AE2</f>
        <v>RM-4 quadr</v>
      </c>
      <c r="BY8" s="397" t="str">
        <f>'goal seek'!G5</f>
        <v>RM-5 rad</v>
      </c>
      <c r="BZ8" s="397" t="str">
        <f>'goal seek'!H5</f>
        <v>RM-6 abs</v>
      </c>
      <c r="CA8" s="397" t="str">
        <f>scenarios!BF2</f>
        <v>SPM-R</v>
      </c>
      <c r="CC8" s="78" t="s">
        <v>42</v>
      </c>
      <c r="CD8" s="310" t="str">
        <f t="shared" ref="CD8:CI8" si="4">BU7</f>
        <v>RRt const</v>
      </c>
      <c r="CE8" s="310" t="str">
        <f t="shared" si="4"/>
        <v>RRt exp</v>
      </c>
      <c r="CF8" s="310" t="str">
        <f t="shared" si="4"/>
        <v>RRt lin</v>
      </c>
      <c r="CG8" s="396" t="str">
        <f t="shared" si="4"/>
        <v>RRt quadr</v>
      </c>
      <c r="CH8" s="396" t="str">
        <f t="shared" si="4"/>
        <v>RRt rad</v>
      </c>
      <c r="CI8" s="396" t="str">
        <f t="shared" si="4"/>
        <v>RAt const</v>
      </c>
      <c r="CJ8" s="396" t="str">
        <f t="shared" ref="CJ8" si="5">CA7</f>
        <v>Raupach</v>
      </c>
      <c r="CL8" s="78" t="s">
        <v>42</v>
      </c>
      <c r="CM8" s="310" t="str">
        <f t="shared" ref="CM8:CR9" si="6">CD8</f>
        <v>RRt const</v>
      </c>
      <c r="CN8" s="310" t="str">
        <f t="shared" si="6"/>
        <v>RRt exp</v>
      </c>
      <c r="CO8" s="310" t="str">
        <f t="shared" si="6"/>
        <v>RRt lin</v>
      </c>
      <c r="CP8" s="396" t="str">
        <f t="shared" si="6"/>
        <v>RRt quadr</v>
      </c>
      <c r="CQ8" s="396" t="str">
        <f t="shared" si="6"/>
        <v>RRt rad</v>
      </c>
      <c r="CR8" s="396" t="str">
        <f t="shared" si="6"/>
        <v>RAt const</v>
      </c>
      <c r="CS8" s="396" t="str">
        <f t="shared" ref="CS8:CS9" si="7">CJ8</f>
        <v>Raupach</v>
      </c>
      <c r="CU8" s="80"/>
      <c r="CV8" s="300" t="str">
        <f t="shared" si="0"/>
        <v>RM-1 const</v>
      </c>
      <c r="CW8" s="405" t="str">
        <f t="shared" si="0"/>
        <v>RM-2 exp</v>
      </c>
      <c r="CX8" s="411" t="str">
        <f t="shared" si="0"/>
        <v>RM-3 lin</v>
      </c>
      <c r="CY8" s="405" t="str">
        <f t="shared" si="0"/>
        <v>RM-4 quadr</v>
      </c>
      <c r="CZ8" s="405" t="str">
        <f t="shared" si="0"/>
        <v>RM-5 rad</v>
      </c>
      <c r="DA8" s="405" t="str">
        <f t="shared" si="0"/>
        <v>RM-6 abs</v>
      </c>
      <c r="DB8" s="405" t="str">
        <f t="shared" si="1"/>
        <v>SPM-R</v>
      </c>
      <c r="DD8" s="79">
        <v>2010</v>
      </c>
      <c r="DE8" s="507">
        <f>'base data'!$D$18</f>
        <v>38.224529350401248</v>
      </c>
      <c r="DF8" s="508">
        <f>'base data'!$D$18</f>
        <v>38.224529350401248</v>
      </c>
      <c r="DG8" s="508">
        <f>'base data'!$D$18</f>
        <v>38.224529350401248</v>
      </c>
      <c r="DH8" s="509">
        <f>'base data'!$D$18</f>
        <v>38.224529350401248</v>
      </c>
      <c r="DI8" s="509">
        <f>'base data'!$D$18</f>
        <v>38.224529350401248</v>
      </c>
      <c r="DJ8" s="509">
        <f>'base data'!$D$18</f>
        <v>38.224529350401248</v>
      </c>
      <c r="DK8" s="510">
        <f>'base data'!$D$18</f>
        <v>38.224529350401248</v>
      </c>
    </row>
    <row r="9" spans="1:115" ht="13.9" customHeight="1" x14ac:dyDescent="0.25">
      <c r="BR9" s="780"/>
      <c r="BS9" s="780">
        <v>2019</v>
      </c>
      <c r="BT9" s="127">
        <v>2019</v>
      </c>
      <c r="BU9" s="279">
        <f>scenarios!E15</f>
        <v>42.311683327829648</v>
      </c>
      <c r="BV9" s="279">
        <f>scenarios!M15</f>
        <v>42.311683327829648</v>
      </c>
      <c r="BW9" s="279">
        <f>scenarios!V15</f>
        <v>42.311683327829648</v>
      </c>
      <c r="BX9" s="398">
        <f>scenarios!AE15</f>
        <v>42.311683327829648</v>
      </c>
      <c r="BY9" s="398">
        <f>scenarios!AN15</f>
        <v>42.311683327829648</v>
      </c>
      <c r="BZ9" s="398">
        <f>scenarios!AW15</f>
        <v>42.311683327829648</v>
      </c>
      <c r="CA9" s="398">
        <f>BX9</f>
        <v>42.311683327829648</v>
      </c>
      <c r="CC9" s="81"/>
      <c r="CD9" s="228" t="str">
        <f>graphs!BU8</f>
        <v>RM-1 const</v>
      </c>
      <c r="CE9" s="228" t="str">
        <f>graphs!BV8</f>
        <v>RM-2 exp</v>
      </c>
      <c r="CF9" s="228" t="str">
        <f>graphs!BW8</f>
        <v>RM-3 lin</v>
      </c>
      <c r="CG9" s="397" t="str">
        <f>graphs!BX8</f>
        <v>RM-4 quadr</v>
      </c>
      <c r="CH9" s="397" t="str">
        <f>graphs!BY8</f>
        <v>RM-5 rad</v>
      </c>
      <c r="CI9" s="397" t="str">
        <f>graphs!BZ8</f>
        <v>RM-6 abs</v>
      </c>
      <c r="CJ9" s="397" t="str">
        <f>graphs!CA8</f>
        <v>SPM-R</v>
      </c>
      <c r="CL9" s="81"/>
      <c r="CM9" s="228" t="str">
        <f t="shared" si="6"/>
        <v>RM-1 const</v>
      </c>
      <c r="CN9" s="228" t="str">
        <f t="shared" si="6"/>
        <v>RM-2 exp</v>
      </c>
      <c r="CO9" s="228" t="str">
        <f t="shared" si="6"/>
        <v>RM-3 lin</v>
      </c>
      <c r="CP9" s="397" t="str">
        <f t="shared" si="6"/>
        <v>RM-4 quadr</v>
      </c>
      <c r="CQ9" s="397" t="str">
        <f t="shared" si="6"/>
        <v>RM-5 rad</v>
      </c>
      <c r="CR9" s="397" t="str">
        <f t="shared" si="6"/>
        <v>RM-6 abs</v>
      </c>
      <c r="CS9" s="397" t="str">
        <f t="shared" si="7"/>
        <v>SPM-R</v>
      </c>
      <c r="CU9" s="127">
        <f t="shared" ref="CU9:CU40" si="8">BT9</f>
        <v>2019</v>
      </c>
      <c r="CV9" s="302">
        <f>scenarios!K15</f>
        <v>5.5380009378986879</v>
      </c>
      <c r="CW9" s="406">
        <f>scenarios!T15</f>
        <v>5.5380009378986879</v>
      </c>
      <c r="CX9" s="412">
        <f>scenarios!AC15</f>
        <v>5.5380009378986879</v>
      </c>
      <c r="CY9" s="406">
        <f>scenarios!AL15</f>
        <v>5.5380009378986879</v>
      </c>
      <c r="CZ9" s="406">
        <f>scenarios!AU15</f>
        <v>5.5380009378986879</v>
      </c>
      <c r="DA9" s="406">
        <f>scenarios!BD15</f>
        <v>5.5380009378986879</v>
      </c>
      <c r="DB9" s="406">
        <f>CY9</f>
        <v>5.5380009378986879</v>
      </c>
      <c r="DD9" s="79">
        <f>DD8+1</f>
        <v>2011</v>
      </c>
      <c r="DE9" s="348">
        <f>'base data'!$E$18</f>
        <v>39.188828105256881</v>
      </c>
      <c r="DF9" s="347">
        <f>'base data'!$E$18</f>
        <v>39.188828105256881</v>
      </c>
      <c r="DG9" s="347">
        <f>'base data'!$E$18</f>
        <v>39.188828105256881</v>
      </c>
      <c r="DH9" s="347">
        <f>'base data'!$E$18</f>
        <v>39.188828105256881</v>
      </c>
      <c r="DI9" s="347">
        <f>'base data'!$E$18</f>
        <v>39.188828105256881</v>
      </c>
      <c r="DJ9" s="347">
        <f>'base data'!$E$18</f>
        <v>39.188828105256881</v>
      </c>
      <c r="DK9" s="349">
        <f>'base data'!$E$18</f>
        <v>39.188828105256881</v>
      </c>
    </row>
    <row r="10" spans="1:115" x14ac:dyDescent="0.25">
      <c r="BR10" s="79">
        <v>2020</v>
      </c>
      <c r="BS10" s="79"/>
      <c r="BT10" s="79">
        <f>BT9+1</f>
        <v>2020</v>
      </c>
      <c r="BU10" s="280">
        <f>scenarios!E16</f>
        <v>39.02505693376456</v>
      </c>
      <c r="BV10" s="280">
        <f>scenarios!M16</f>
        <v>41.634696394584374</v>
      </c>
      <c r="BW10" s="280">
        <f>scenarios!V16</f>
        <v>41.634696394584374</v>
      </c>
      <c r="BX10" s="399">
        <f>scenarios!AE16</f>
        <v>41.634696394584374</v>
      </c>
      <c r="BY10" s="399">
        <f>scenarios!AN16</f>
        <v>41.634696394584374</v>
      </c>
      <c r="BZ10" s="399">
        <f>scenarios!AW16</f>
        <v>40.782331457979197</v>
      </c>
      <c r="CA10" s="399">
        <f>scenarios!BF16</f>
        <v>41.834339829518569</v>
      </c>
      <c r="CC10" s="79">
        <v>2020</v>
      </c>
      <c r="CD10" s="278">
        <f>IF($BU9&gt;'goal seek'!$F$31,$BU10/$BU9-1,#N/A)</f>
        <v>-7.7676569107411941E-2</v>
      </c>
      <c r="CE10" s="278">
        <f>IF(BV9&gt;'goal seek'!$F$28,BV10/BV9-1,#N/A)</f>
        <v>-1.6000000000000014E-2</v>
      </c>
      <c r="CF10" s="278">
        <f>IF(BW9&gt;'goal seek'!$F$28,BW10/BW9-1,#N/A)</f>
        <v>-1.6000000000000014E-2</v>
      </c>
      <c r="CG10" s="402">
        <f>IF(BX9&gt;'goal seek'!$F$28,BX10/BX9-1,#N/A)</f>
        <v>-1.6000000000000014E-2</v>
      </c>
      <c r="CH10" s="402">
        <f>IF(BY9&gt;'goal seek'!$F$28,BY10/BY9-1,#N/A)</f>
        <v>-1.6000000000000014E-2</v>
      </c>
      <c r="CI10" s="402">
        <f>IF(BZ9&gt;'goal seek'!$F$28,BZ10/BZ9-1,#N/A)</f>
        <v>-3.6144907258855219E-2</v>
      </c>
      <c r="CJ10" s="402">
        <f>IF(CA9&gt;'goal seek'!$F$28,CA10/CA9-1,#N/A)</f>
        <v>-1.1281600276042858E-2</v>
      </c>
      <c r="CL10" s="79">
        <v>2020</v>
      </c>
      <c r="CM10" s="278">
        <f t="shared" ref="CM10:CM41" si="9">IF(ISNA(CD10),0,CD10)</f>
        <v>-7.7676569107411941E-2</v>
      </c>
      <c r="CN10" s="278">
        <f t="shared" ref="CN10:CN41" si="10">IF(ISNA(CE10),0,CE10)</f>
        <v>-1.6000000000000014E-2</v>
      </c>
      <c r="CO10" s="278">
        <f t="shared" ref="CO10:CO41" si="11">IF(ISNA(CF10),0,CF10)</f>
        <v>-1.6000000000000014E-2</v>
      </c>
      <c r="CP10" s="402">
        <f>IF(ISNA(CG10),0,CG10)</f>
        <v>-1.6000000000000014E-2</v>
      </c>
      <c r="CQ10" s="402">
        <f>IF(ISNA(CH10),0,CH10)</f>
        <v>-1.6000000000000014E-2</v>
      </c>
      <c r="CR10" s="402">
        <f>IF(ISNA(CI10),0,CI10)</f>
        <v>-3.6144907258855219E-2</v>
      </c>
      <c r="CS10" s="402">
        <f t="shared" ref="CS10:CS41" si="12">IF(ISNA(CJ10),0,CJ10)</f>
        <v>-1.1281600276042858E-2</v>
      </c>
      <c r="CU10" s="79">
        <f t="shared" si="8"/>
        <v>2020</v>
      </c>
      <c r="CV10" s="299">
        <f>scenarios!K16</f>
        <v>5.0065509374230635</v>
      </c>
      <c r="CW10" s="407">
        <f>scenarios!T16</f>
        <v>5.3413433481318746</v>
      </c>
      <c r="CX10" s="211">
        <f>scenarios!AC16</f>
        <v>5.3413433481318746</v>
      </c>
      <c r="CY10" s="407">
        <f>scenarios!AL16</f>
        <v>5.3413433481318746</v>
      </c>
      <c r="CZ10" s="570">
        <f>scenarios!AU16</f>
        <v>5.3413433481318746</v>
      </c>
      <c r="DA10" s="691">
        <f>scenarios!BD16</f>
        <v>5.231992874162545</v>
      </c>
      <c r="DB10" s="407">
        <f>scenarios!BM16</f>
        <v>5.3669557393710878</v>
      </c>
      <c r="DD10" s="79">
        <f>DD9+1</f>
        <v>2012</v>
      </c>
      <c r="DE10" s="299">
        <f>'base data'!$F$18</f>
        <v>40.171970290267417</v>
      </c>
      <c r="DF10" s="211">
        <f>'base data'!$F$18</f>
        <v>40.171970290267417</v>
      </c>
      <c r="DG10" s="211">
        <f>'base data'!$F$18</f>
        <v>40.171970290267417</v>
      </c>
      <c r="DH10" s="211">
        <f>'base data'!$F$18</f>
        <v>40.171970290267417</v>
      </c>
      <c r="DI10" s="211">
        <f>'base data'!$F$18</f>
        <v>40.171970290267417</v>
      </c>
      <c r="DJ10" s="211">
        <f>'base data'!$F$18</f>
        <v>40.171970290267417</v>
      </c>
      <c r="DK10" s="293">
        <f>'base data'!$F$18</f>
        <v>40.171970290267417</v>
      </c>
    </row>
    <row r="11" spans="1:115" x14ac:dyDescent="0.25">
      <c r="BR11" s="79"/>
      <c r="BS11" s="79"/>
      <c r="BT11" s="79">
        <f t="shared" ref="BT11:BT74" si="13">BT10+1</f>
        <v>2021</v>
      </c>
      <c r="BU11" s="280">
        <f>scenarios!E17</f>
        <v>35.993724401928318</v>
      </c>
      <c r="BV11" s="280">
        <f>scenarios!M17</f>
        <v>40.871740948026705</v>
      </c>
      <c r="BW11" s="280">
        <f>scenarios!V17</f>
        <v>40.698938963160479</v>
      </c>
      <c r="BX11" s="399">
        <f>scenarios!AE17</f>
        <v>40.94642033711299</v>
      </c>
      <c r="BY11" s="399">
        <f>scenarios!AN17</f>
        <v>40.303015542504525</v>
      </c>
      <c r="BZ11" s="399">
        <f>scenarios!AW17</f>
        <v>39.252979588128746</v>
      </c>
      <c r="CA11" s="399">
        <f>scenarios!BF17</f>
        <v>39.733240975044623</v>
      </c>
      <c r="CC11" s="79">
        <f t="shared" ref="CC11:CC42" si="14">CC10+1</f>
        <v>2021</v>
      </c>
      <c r="CD11" s="278">
        <f>IF($BU10&gt;'goal seek'!$F$31,$BU11/$BU10-1,#N/A)</f>
        <v>-7.7676569107411719E-2</v>
      </c>
      <c r="CE11" s="278">
        <f>IF(BV10&gt;'goal seek'!$F$28,BV11/BV10-1,#N/A)</f>
        <v>-1.8324991236321586E-2</v>
      </c>
      <c r="CF11" s="278">
        <f>IF(BW10&gt;'goal seek'!$F$28,BW11/BW10-1,#N/A)</f>
        <v>-2.2475423443837461E-2</v>
      </c>
      <c r="CG11" s="402">
        <f>IF(BX10&gt;'goal seek'!$F$28,BX11/BX10-1,#N/A)</f>
        <v>-1.6531309630515523E-2</v>
      </c>
      <c r="CH11" s="402">
        <f>IF(BY10&gt;'goal seek'!$F$28,BY11/BY10-1,#N/A)</f>
        <v>-3.1984882019052474E-2</v>
      </c>
      <c r="CI11" s="402">
        <f>IF(BZ10&gt;'goal seek'!$F$28,BZ11/BZ10-1,#N/A)</f>
        <v>-3.750035407922292E-2</v>
      </c>
      <c r="CJ11" s="402">
        <f>IF(CA10&gt;'goal seek'!$F$28,CA11/CA10-1,#N/A)</f>
        <v>-5.0224262245711304E-2</v>
      </c>
      <c r="CL11" s="79">
        <f t="shared" ref="CL11:CL74" si="15">CL10+1</f>
        <v>2021</v>
      </c>
      <c r="CM11" s="278">
        <f t="shared" si="9"/>
        <v>-7.7676569107411719E-2</v>
      </c>
      <c r="CN11" s="278">
        <f t="shared" si="10"/>
        <v>-1.8324991236321586E-2</v>
      </c>
      <c r="CO11" s="278">
        <f t="shared" si="11"/>
        <v>-2.2475423443837461E-2</v>
      </c>
      <c r="CP11" s="402">
        <f t="shared" ref="CP11:CP42" si="16">IF(ISNA(CG11),0,CG11)</f>
        <v>-1.6531309630515523E-2</v>
      </c>
      <c r="CQ11" s="402">
        <f t="shared" ref="CQ11:CQ42" si="17">IF(ISNA(CH11),0,CH11)</f>
        <v>-3.1984882019052474E-2</v>
      </c>
      <c r="CR11" s="402">
        <f t="shared" ref="CR11:CR74" si="18">IF(ISNA(CI11),0,CI11)</f>
        <v>-3.750035407922292E-2</v>
      </c>
      <c r="CS11" s="402">
        <f t="shared" si="12"/>
        <v>-5.0224262245711304E-2</v>
      </c>
      <c r="CU11" s="79">
        <f t="shared" si="8"/>
        <v>2021</v>
      </c>
      <c r="CV11" s="299">
        <f>scenarios!K17</f>
        <v>4.5706515052626742</v>
      </c>
      <c r="CW11" s="407">
        <f>scenarios!T17</f>
        <v>5.1900848659272443</v>
      </c>
      <c r="CX11" s="211">
        <f>scenarios!AC17</f>
        <v>5.1681416615113411</v>
      </c>
      <c r="CY11" s="407">
        <f>scenarios!AL17</f>
        <v>5.199568004107884</v>
      </c>
      <c r="CZ11" s="407">
        <f>scenarios!AU17</f>
        <v>5.1178654534039936</v>
      </c>
      <c r="DA11" s="407">
        <f>scenarios!BD17</f>
        <v>4.9845269757889765</v>
      </c>
      <c r="DB11" s="407">
        <f>scenarios!BM17</f>
        <v>5.0455128133898501</v>
      </c>
      <c r="DD11" s="79">
        <f>DD10+1</f>
        <v>2013</v>
      </c>
      <c r="DE11" s="299">
        <f>'base data'!$G$18</f>
        <v>40.523658056136497</v>
      </c>
      <c r="DF11" s="211">
        <f>'base data'!$G$18</f>
        <v>40.523658056136497</v>
      </c>
      <c r="DG11" s="211">
        <f>'base data'!$G$18</f>
        <v>40.523658056136497</v>
      </c>
      <c r="DH11" s="211">
        <f>'base data'!$G$18</f>
        <v>40.523658056136497</v>
      </c>
      <c r="DI11" s="211">
        <f>'base data'!$G$18</f>
        <v>40.523658056136497</v>
      </c>
      <c r="DJ11" s="211">
        <f>'base data'!$G$18</f>
        <v>40.523658056136497</v>
      </c>
      <c r="DK11" s="293">
        <f>'base data'!$G$18</f>
        <v>40.523658056136497</v>
      </c>
    </row>
    <row r="12" spans="1:115" x14ac:dyDescent="0.25">
      <c r="BR12" s="79"/>
      <c r="BS12" s="79"/>
      <c r="BT12" s="79">
        <f t="shared" si="13"/>
        <v>2022</v>
      </c>
      <c r="BU12" s="280">
        <f>scenarios!E18</f>
        <v>33.197855380988798</v>
      </c>
      <c r="BV12" s="280">
        <f>scenarios!M18</f>
        <v>40.013931736379995</v>
      </c>
      <c r="BW12" s="280">
        <f>scenarios!V18</f>
        <v>39.520670212747206</v>
      </c>
      <c r="BX12" s="399">
        <f>scenarios!AE18</f>
        <v>40.204256701878194</v>
      </c>
      <c r="BY12" s="399">
        <f>scenarios!AN18</f>
        <v>38.54231270287876</v>
      </c>
      <c r="BZ12" s="399">
        <f>scenarios!AW18</f>
        <v>37.723627718278294</v>
      </c>
      <c r="CA12" s="399">
        <f>scenarios!BF18</f>
        <v>36.522204869624375</v>
      </c>
      <c r="CC12" s="79">
        <f t="shared" si="14"/>
        <v>2022</v>
      </c>
      <c r="CD12" s="278">
        <f>IF($BU11&gt;'goal seek'!$F$31,$BU12/$BU11-1,#N/A)</f>
        <v>-7.767656910741183E-2</v>
      </c>
      <c r="CE12" s="278">
        <f>IF(BV11&gt;'goal seek'!$F$28,BV12/BV11-1,#N/A)</f>
        <v>-2.0987831488203934E-2</v>
      </c>
      <c r="CF12" s="278">
        <f>IF(BW11&gt;'goal seek'!$F$28,BW12/BW11-1,#N/A)</f>
        <v>-2.8950846887674575E-2</v>
      </c>
      <c r="CG12" s="402">
        <f>IF(BX11&gt;'goal seek'!$F$28,BX12/BX11-1,#N/A)</f>
        <v>-1.812523852206227E-2</v>
      </c>
      <c r="CH12" s="402">
        <f>IF(BY11&gt;'goal seek'!$F$28,BY12/BY11-1,#N/A)</f>
        <v>-4.3686627809993106E-2</v>
      </c>
      <c r="CI12" s="402">
        <f>IF(BZ11&gt;'goal seek'!$F$28,BZ12/BZ11-1,#N/A)</f>
        <v>-3.8961421168470234E-2</v>
      </c>
      <c r="CJ12" s="402">
        <f>IF(CA11&gt;'goal seek'!$F$28,CA12/CA11-1,#N/A)</f>
        <v>-8.0814854933102809E-2</v>
      </c>
      <c r="CL12" s="79">
        <f t="shared" si="15"/>
        <v>2022</v>
      </c>
      <c r="CM12" s="278">
        <f t="shared" si="9"/>
        <v>-7.767656910741183E-2</v>
      </c>
      <c r="CN12" s="278">
        <f t="shared" si="10"/>
        <v>-2.0987831488203934E-2</v>
      </c>
      <c r="CO12" s="278">
        <f t="shared" si="11"/>
        <v>-2.8950846887674575E-2</v>
      </c>
      <c r="CP12" s="402">
        <f t="shared" si="16"/>
        <v>-1.812523852206227E-2</v>
      </c>
      <c r="CQ12" s="402">
        <f t="shared" si="17"/>
        <v>-4.3686627809993106E-2</v>
      </c>
      <c r="CR12" s="402">
        <f t="shared" si="18"/>
        <v>-3.8961421168470234E-2</v>
      </c>
      <c r="CS12" s="402">
        <f t="shared" si="12"/>
        <v>-8.0814854933102809E-2</v>
      </c>
      <c r="CU12" s="79">
        <f t="shared" si="8"/>
        <v>2022</v>
      </c>
      <c r="CV12" s="299">
        <f>scenarios!K18</f>
        <v>4.1737557649919541</v>
      </c>
      <c r="CW12" s="407">
        <f>scenarios!T18</f>
        <v>5.0306978070743122</v>
      </c>
      <c r="CX12" s="211">
        <f>scenarios!AC18</f>
        <v>4.968683164734192</v>
      </c>
      <c r="CY12" s="407">
        <f>scenarios!AL18</f>
        <v>5.0546261576515885</v>
      </c>
      <c r="CZ12" s="407">
        <f>scenarios!AU18</f>
        <v>4.8456804812724448</v>
      </c>
      <c r="DA12" s="407">
        <f>scenarios!BD18</f>
        <v>4.742752411522936</v>
      </c>
      <c r="DB12" s="407">
        <f>scenarios!BM18</f>
        <v>4.5917051380405063</v>
      </c>
      <c r="DD12" s="79">
        <f t="shared" ref="DD12:DD16" si="19">DD11+1</f>
        <v>2014</v>
      </c>
      <c r="DE12" s="299">
        <f>'base data'!$H$18</f>
        <v>41.303966235512704</v>
      </c>
      <c r="DF12" s="211">
        <f>'base data'!$H$18</f>
        <v>41.303966235512704</v>
      </c>
      <c r="DG12" s="211">
        <f>'base data'!$H$18</f>
        <v>41.303966235512704</v>
      </c>
      <c r="DH12" s="211">
        <f>'base data'!$H$18</f>
        <v>41.303966235512704</v>
      </c>
      <c r="DI12" s="211">
        <f>'base data'!$H$18</f>
        <v>41.303966235512704</v>
      </c>
      <c r="DJ12" s="211">
        <f>'base data'!$H$18</f>
        <v>41.303966235512704</v>
      </c>
      <c r="DK12" s="293">
        <f>'base data'!$H$18</f>
        <v>41.303966235512704</v>
      </c>
    </row>
    <row r="13" spans="1:115" x14ac:dyDescent="0.25">
      <c r="BR13" s="79"/>
      <c r="BS13" s="79"/>
      <c r="BT13" s="79">
        <f t="shared" si="13"/>
        <v>2023</v>
      </c>
      <c r="BU13" s="280">
        <f>scenarios!E19</f>
        <v>30.61915987326956</v>
      </c>
      <c r="BV13" s="280">
        <f>scenarios!M19</f>
        <v>39.052092280448143</v>
      </c>
      <c r="BW13" s="280">
        <f>scenarios!V19</f>
        <v>38.120600266107886</v>
      </c>
      <c r="BX13" s="399">
        <f>scenarios!AE19</f>
        <v>39.368740415687277</v>
      </c>
      <c r="BY13" s="399">
        <f>scenarios!AN19</f>
        <v>36.548006916661137</v>
      </c>
      <c r="BZ13" s="399">
        <f>scenarios!AW19</f>
        <v>36.194275848427843</v>
      </c>
      <c r="CA13" s="399">
        <f>scenarios!BF19</f>
        <v>32.793427399481033</v>
      </c>
      <c r="CC13" s="79">
        <f t="shared" si="14"/>
        <v>2023</v>
      </c>
      <c r="CD13" s="278">
        <f>IF($BU12&gt;'goal seek'!$F$31,$BU13/$BU12-1,#N/A)</f>
        <v>-7.767656910741183E-2</v>
      </c>
      <c r="CE13" s="278">
        <f>IF(BV12&gt;'goal seek'!$F$28,BV13/BV12-1,#N/A)</f>
        <v>-2.4037614255670969E-2</v>
      </c>
      <c r="CF13" s="278">
        <f>IF(BW12&gt;'goal seek'!$F$28,BW13/BW12-1,#N/A)</f>
        <v>-3.5426270331512133E-2</v>
      </c>
      <c r="CG13" s="402">
        <f>IF(BX12&gt;'goal seek'!$F$28,BX13/BX12-1,#N/A)</f>
        <v>-2.0781786674640479E-2</v>
      </c>
      <c r="CH13" s="402">
        <f>IF(BY12&gt;'goal seek'!$F$28,BY13/BY12-1,#N/A)</f>
        <v>-5.1743282806915425E-2</v>
      </c>
      <c r="CI13" s="402">
        <f>IF(BZ12&gt;'goal seek'!$F$28,BZ13/BZ12-1,#N/A)</f>
        <v>-4.0540954366099613E-2</v>
      </c>
      <c r="CJ13" s="402">
        <f>IF(CA12&gt;'goal seek'!$F$28,CA13/CA12-1,#N/A)</f>
        <v>-0.10209617637966262</v>
      </c>
      <c r="CL13" s="79">
        <f t="shared" si="15"/>
        <v>2023</v>
      </c>
      <c r="CM13" s="278">
        <f t="shared" si="9"/>
        <v>-7.767656910741183E-2</v>
      </c>
      <c r="CN13" s="278">
        <f t="shared" si="10"/>
        <v>-2.4037614255670969E-2</v>
      </c>
      <c r="CO13" s="278">
        <f t="shared" si="11"/>
        <v>-3.5426270331512133E-2</v>
      </c>
      <c r="CP13" s="402">
        <f t="shared" si="16"/>
        <v>-2.0781786674640479E-2</v>
      </c>
      <c r="CQ13" s="402">
        <f t="shared" si="17"/>
        <v>-5.1743282806915425E-2</v>
      </c>
      <c r="CR13" s="402">
        <f t="shared" si="18"/>
        <v>-4.0540954366099613E-2</v>
      </c>
      <c r="CS13" s="402">
        <f t="shared" si="12"/>
        <v>-0.10209617637966262</v>
      </c>
      <c r="CU13" s="79">
        <f t="shared" si="8"/>
        <v>2023</v>
      </c>
      <c r="CV13" s="299">
        <f>scenarios!K19</f>
        <v>3.8122411212702159</v>
      </c>
      <c r="CW13" s="407">
        <f>scenarios!T19</f>
        <v>4.8621840925534965</v>
      </c>
      <c r="CX13" s="211">
        <f>scenarios!AC19</f>
        <v>4.7462085995647803</v>
      </c>
      <c r="CY13" s="407">
        <f>scenarios!AL19</f>
        <v>4.901608395739097</v>
      </c>
      <c r="CZ13" s="407">
        <f>scenarios!AU19</f>
        <v>4.5504127299651485</v>
      </c>
      <c r="DA13" s="407">
        <f>scenarios!BD19</f>
        <v>4.5063714130325092</v>
      </c>
      <c r="DB13" s="407">
        <f>scenarios!BM19</f>
        <v>4.0829484857561358</v>
      </c>
      <c r="DD13" s="79">
        <f t="shared" si="19"/>
        <v>2015</v>
      </c>
      <c r="DE13" s="299">
        <f>'base data'!$I$18</f>
        <v>41.480360497070492</v>
      </c>
      <c r="DF13" s="211">
        <f>'base data'!$I$18</f>
        <v>41.480360497070492</v>
      </c>
      <c r="DG13" s="211">
        <f>'base data'!$I$18</f>
        <v>41.480360497070492</v>
      </c>
      <c r="DH13" s="211">
        <f>'base data'!$I$18</f>
        <v>41.480360497070492</v>
      </c>
      <c r="DI13" s="211">
        <f>'base data'!$I$18</f>
        <v>41.480360497070492</v>
      </c>
      <c r="DJ13" s="211">
        <f>'base data'!$I$18</f>
        <v>41.480360497070492</v>
      </c>
      <c r="DK13" s="293">
        <f>'base data'!$I$18</f>
        <v>41.480360497070492</v>
      </c>
    </row>
    <row r="14" spans="1:115" x14ac:dyDescent="0.25">
      <c r="BR14" s="79"/>
      <c r="BS14" s="79"/>
      <c r="BT14" s="79">
        <f t="shared" si="13"/>
        <v>2024</v>
      </c>
      <c r="BU14" s="280">
        <f>scenarios!E20</f>
        <v>28.240768585362645</v>
      </c>
      <c r="BV14" s="280">
        <f>scenarios!M20</f>
        <v>37.976966040903676</v>
      </c>
      <c r="BW14" s="280">
        <f>scenarios!V20</f>
        <v>36.52328254722493</v>
      </c>
      <c r="BX14" s="399">
        <f>scenarios!AE20</f>
        <v>38.404168714250304</v>
      </c>
      <c r="BY14" s="399">
        <f>scenarios!AN20</f>
        <v>34.417549672984222</v>
      </c>
      <c r="BZ14" s="399">
        <f>scenarios!AW20</f>
        <v>34.664923978577391</v>
      </c>
      <c r="CA14" s="399">
        <f>scenarios!BF20</f>
        <v>28.931788391085348</v>
      </c>
      <c r="CC14" s="79">
        <f t="shared" si="14"/>
        <v>2024</v>
      </c>
      <c r="CD14" s="278">
        <f>IF($BU13&gt;'goal seek'!$F$31,$BU14/$BU13-1,#N/A)</f>
        <v>-7.767656910741183E-2</v>
      </c>
      <c r="CE14" s="278">
        <f>IF(BV13&gt;'goal seek'!$F$28,BV14/BV13-1,#N/A)</f>
        <v>-2.7530566911077914E-2</v>
      </c>
      <c r="CF14" s="278">
        <f>IF(BW13&gt;'goal seek'!$F$28,BW14/BW13-1,#N/A)</f>
        <v>-4.1901693775349358E-2</v>
      </c>
      <c r="CG14" s="402">
        <f>IF(BX13&gt;'goal seek'!$F$28,BX14/BX13-1,#N/A)</f>
        <v>-2.4500954088249705E-2</v>
      </c>
      <c r="CH14" s="402">
        <f>IF(BY13&gt;'goal seek'!$F$28,BY14/BY13-1,#N/A)</f>
        <v>-5.8292022559120804E-2</v>
      </c>
      <c r="CI14" s="402">
        <f>IF(BZ13&gt;'goal seek'!$F$28,BZ14/BZ13-1,#N/A)</f>
        <v>-4.2253970662515128E-2</v>
      </c>
      <c r="CJ14" s="402">
        <f>IF(CA13&gt;'goal seek'!$F$28,CA14/CA13-1,#N/A)</f>
        <v>-0.11775649313364533</v>
      </c>
      <c r="CL14" s="79">
        <f t="shared" si="15"/>
        <v>2024</v>
      </c>
      <c r="CM14" s="278">
        <f t="shared" si="9"/>
        <v>-7.767656910741183E-2</v>
      </c>
      <c r="CN14" s="278">
        <f t="shared" si="10"/>
        <v>-2.7530566911077914E-2</v>
      </c>
      <c r="CO14" s="278">
        <f t="shared" si="11"/>
        <v>-4.1901693775349358E-2</v>
      </c>
      <c r="CP14" s="402">
        <f t="shared" si="16"/>
        <v>-2.4500954088249705E-2</v>
      </c>
      <c r="CQ14" s="402">
        <f t="shared" si="17"/>
        <v>-5.8292022559120804E-2</v>
      </c>
      <c r="CR14" s="402">
        <f t="shared" si="18"/>
        <v>-4.2253970662515128E-2</v>
      </c>
      <c r="CS14" s="402">
        <f t="shared" si="12"/>
        <v>-0.11775649313364533</v>
      </c>
      <c r="CU14" s="79">
        <f t="shared" si="8"/>
        <v>2024</v>
      </c>
      <c r="CV14" s="299">
        <f>scenarios!K20</f>
        <v>3.4828145203805843</v>
      </c>
      <c r="CW14" s="407">
        <f>scenarios!T20</f>
        <v>4.6835385647334782</v>
      </c>
      <c r="CX14" s="211">
        <f>scenarios!AC20</f>
        <v>4.5042619290952395</v>
      </c>
      <c r="CY14" s="407">
        <f>scenarios!AL20</f>
        <v>4.736223663206621</v>
      </c>
      <c r="CZ14" s="407">
        <f>scenarios!AU20</f>
        <v>4.244570801770557</v>
      </c>
      <c r="DA14" s="407">
        <f>scenarios!BD20</f>
        <v>4.2750784283914385</v>
      </c>
      <c r="DB14" s="407">
        <f>scenarios!BM20</f>
        <v>3.5680350697422973</v>
      </c>
      <c r="DD14" s="79">
        <f t="shared" si="19"/>
        <v>2016</v>
      </c>
      <c r="DE14" s="299">
        <f>'base data'!$J$18</f>
        <v>41.012741198578425</v>
      </c>
      <c r="DF14" s="211">
        <f>'base data'!$J$18</f>
        <v>41.012741198578425</v>
      </c>
      <c r="DG14" s="211">
        <f>'base data'!$J$18</f>
        <v>41.012741198578425</v>
      </c>
      <c r="DH14" s="211">
        <f>'base data'!$J$18</f>
        <v>41.012741198578425</v>
      </c>
      <c r="DI14" s="211">
        <f>'base data'!$J$18</f>
        <v>41.012741198578425</v>
      </c>
      <c r="DJ14" s="211">
        <f>'base data'!$J$18</f>
        <v>41.012741198578425</v>
      </c>
      <c r="DK14" s="293">
        <f>'base data'!$J$18</f>
        <v>41.012741198578425</v>
      </c>
    </row>
    <row r="15" spans="1:115" x14ac:dyDescent="0.25">
      <c r="BR15" s="79">
        <v>2025</v>
      </c>
      <c r="BS15" s="79"/>
      <c r="BT15" s="79">
        <f t="shared" si="13"/>
        <v>2025</v>
      </c>
      <c r="BU15" s="280">
        <f>scenarios!E21</f>
        <v>26.047122572695297</v>
      </c>
      <c r="BV15" s="280">
        <f>scenarios!M21</f>
        <v>36.779511007910521</v>
      </c>
      <c r="BW15" s="280">
        <f>scenarios!V21</f>
        <v>34.756391426208353</v>
      </c>
      <c r="BX15" s="399">
        <f>scenarios!AE21</f>
        <v>37.279589397576622</v>
      </c>
      <c r="BY15" s="399">
        <f>scenarios!AN21</f>
        <v>32.216387465493881</v>
      </c>
      <c r="BZ15" s="399">
        <f>scenarios!AW21</f>
        <v>33.13557210872694</v>
      </c>
      <c r="CA15" s="399">
        <f>scenarios!BF21</f>
        <v>25.177512457858086</v>
      </c>
      <c r="CC15" s="79">
        <f t="shared" si="14"/>
        <v>2025</v>
      </c>
      <c r="CD15" s="278">
        <f>IF($BU14&gt;'goal seek'!$F$31,$BU15/$BU14-1,#N/A)</f>
        <v>-7.767656910741183E-2</v>
      </c>
      <c r="CE15" s="278">
        <f>IF(BV14&gt;'goal seek'!$F$28,BV15/BV14-1,#N/A)</f>
        <v>-3.1531087336029384E-2</v>
      </c>
      <c r="CF15" s="278">
        <f>IF(BW14&gt;'goal seek'!$F$28,BW15/BW14-1,#N/A)</f>
        <v>-4.8377117219186694E-2</v>
      </c>
      <c r="CG15" s="402">
        <f>IF(BX14&gt;'goal seek'!$F$28,BX15/BX14-1,#N/A)</f>
        <v>-2.9282740762889947E-2</v>
      </c>
      <c r="CH15" s="402">
        <f>IF(BY14&gt;'goal seek'!$F$28,BY15/BY14-1,#N/A)</f>
        <v>-6.3954646057157505E-2</v>
      </c>
      <c r="CI15" s="402">
        <f>IF(BZ14&gt;'goal seek'!$F$28,BZ15/BZ14-1,#N/A)</f>
        <v>-4.411813713468915E-2</v>
      </c>
      <c r="CJ15" s="402">
        <f>IF(CA14&gt;'goal seek'!$F$28,CA15/CA14-1,#N/A)</f>
        <v>-0.1297630095477974</v>
      </c>
      <c r="CL15" s="79">
        <f t="shared" si="15"/>
        <v>2025</v>
      </c>
      <c r="CM15" s="278">
        <f t="shared" si="9"/>
        <v>-7.767656910741183E-2</v>
      </c>
      <c r="CN15" s="278">
        <f t="shared" si="10"/>
        <v>-3.1531087336029384E-2</v>
      </c>
      <c r="CO15" s="278">
        <f t="shared" si="11"/>
        <v>-4.8377117219186694E-2</v>
      </c>
      <c r="CP15" s="402">
        <f t="shared" si="16"/>
        <v>-2.9282740762889947E-2</v>
      </c>
      <c r="CQ15" s="402">
        <f t="shared" si="17"/>
        <v>-6.3954646057157505E-2</v>
      </c>
      <c r="CR15" s="402">
        <f t="shared" si="18"/>
        <v>-4.411813713468915E-2</v>
      </c>
      <c r="CS15" s="402">
        <f t="shared" si="12"/>
        <v>-0.1297630095477974</v>
      </c>
      <c r="CU15" s="79">
        <f t="shared" si="8"/>
        <v>2025</v>
      </c>
      <c r="CV15" s="299">
        <f>scenarios!K21</f>
        <v>3.1825183709932454</v>
      </c>
      <c r="CW15" s="407">
        <f>scenarios!T21</f>
        <v>4.4938349382793765</v>
      </c>
      <c r="CX15" s="211">
        <f>scenarios!AC21</f>
        <v>4.2466439014378334</v>
      </c>
      <c r="CY15" s="407">
        <f>scenarios!AL21</f>
        <v>4.5549360698000401</v>
      </c>
      <c r="CZ15" s="407">
        <f>scenarios!AU21</f>
        <v>3.9362983250768075</v>
      </c>
      <c r="DA15" s="407">
        <f>scenarios!BD21</f>
        <v>4.0486071609284364</v>
      </c>
      <c r="DB15" s="407">
        <f>scenarios!BM21</f>
        <v>3.0762667050617409</v>
      </c>
      <c r="DD15" s="79">
        <f t="shared" si="19"/>
        <v>2017</v>
      </c>
      <c r="DE15" s="299">
        <f>'base data'!$K$18</f>
        <v>41.193001288292642</v>
      </c>
      <c r="DF15" s="211">
        <f>'base data'!$K$18</f>
        <v>41.193001288292642</v>
      </c>
      <c r="DG15" s="211">
        <f>'base data'!$K$18</f>
        <v>41.193001288292642</v>
      </c>
      <c r="DH15" s="211">
        <f>'base data'!$K$18</f>
        <v>41.193001288292642</v>
      </c>
      <c r="DI15" s="211">
        <f>'base data'!$K$18</f>
        <v>41.193001288292642</v>
      </c>
      <c r="DJ15" s="211">
        <f>'base data'!$K$18</f>
        <v>41.193001288292642</v>
      </c>
      <c r="DK15" s="293">
        <f>'base data'!$K$18</f>
        <v>41.193001288292642</v>
      </c>
    </row>
    <row r="16" spans="1:115" x14ac:dyDescent="0.25">
      <c r="BR16" s="79"/>
      <c r="BS16" s="79"/>
      <c r="BT16" s="79">
        <f t="shared" si="13"/>
        <v>2026</v>
      </c>
      <c r="BU16" s="280">
        <f>scenarios!E22</f>
        <v>24.023871456128106</v>
      </c>
      <c r="BV16" s="280">
        <f>scenarios!M22</f>
        <v>35.451295057531894</v>
      </c>
      <c r="BW16" s="280">
        <f>scenarios!V22</f>
        <v>32.849915052202277</v>
      </c>
      <c r="BX16" s="399">
        <f>scenarios!AE22</f>
        <v>35.970063791945805</v>
      </c>
      <c r="BY16" s="399">
        <f>scenarios!AN22</f>
        <v>29.992945908131034</v>
      </c>
      <c r="BZ16" s="399">
        <f>scenarios!AW22</f>
        <v>31.606220238876492</v>
      </c>
      <c r="CA16" s="399">
        <f>scenarios!BF22</f>
        <v>21.671270172514866</v>
      </c>
      <c r="CC16" s="79">
        <f t="shared" si="14"/>
        <v>2026</v>
      </c>
      <c r="CD16" s="278">
        <f>IF($BU15&gt;'goal seek'!$F$31,$BU16/$BU15-1,#N/A)</f>
        <v>-7.767656910741183E-2</v>
      </c>
      <c r="CE16" s="278">
        <f>IF(BV15&gt;'goal seek'!$F$28,BV16/BV15-1,#N/A)</f>
        <v>-3.611293119402692E-2</v>
      </c>
      <c r="CF16" s="278">
        <f>IF(BW15&gt;'goal seek'!$F$28,BW16/BW15-1,#N/A)</f>
        <v>-5.4852540663024141E-2</v>
      </c>
      <c r="CG16" s="402">
        <f>IF(BX15&gt;'goal seek'!$F$28,BX16/BX15-1,#N/A)</f>
        <v>-3.5127146698561651E-2</v>
      </c>
      <c r="CH16" s="402">
        <f>IF(BY15&gt;'goal seek'!$F$28,BY16/BY15-1,#N/A)</f>
        <v>-6.9015855975295692E-2</v>
      </c>
      <c r="CI16" s="402">
        <f>IF(BZ15&gt;'goal seek'!$F$28,BZ16/BZ15-1,#N/A)</f>
        <v>-4.6154382511707448E-2</v>
      </c>
      <c r="CJ16" s="402">
        <f>IF(CA15&gt;'goal seek'!$F$28,CA16/CA15-1,#N/A)</f>
        <v>-0.13926086984216324</v>
      </c>
      <c r="CL16" s="79">
        <f t="shared" si="15"/>
        <v>2026</v>
      </c>
      <c r="CM16" s="278">
        <f t="shared" si="9"/>
        <v>-7.767656910741183E-2</v>
      </c>
      <c r="CN16" s="278">
        <f t="shared" si="10"/>
        <v>-3.611293119402692E-2</v>
      </c>
      <c r="CO16" s="278">
        <f t="shared" si="11"/>
        <v>-5.4852540663024141E-2</v>
      </c>
      <c r="CP16" s="402">
        <f t="shared" si="16"/>
        <v>-3.5127146698561651E-2</v>
      </c>
      <c r="CQ16" s="402">
        <f t="shared" si="17"/>
        <v>-6.9015855975295692E-2</v>
      </c>
      <c r="CR16" s="402">
        <f t="shared" si="18"/>
        <v>-4.6154382511707448E-2</v>
      </c>
      <c r="CS16" s="402">
        <f t="shared" si="12"/>
        <v>-0.13926086984216324</v>
      </c>
      <c r="CU16" s="79">
        <f t="shared" si="8"/>
        <v>2026</v>
      </c>
      <c r="CV16" s="299">
        <f>scenarios!K22</f>
        <v>2.908713707158606</v>
      </c>
      <c r="CW16" s="407">
        <f>scenarios!T22</f>
        <v>4.2923001839515544</v>
      </c>
      <c r="CX16" s="211">
        <f>scenarios!AC22</f>
        <v>3.9773355583353762</v>
      </c>
      <c r="CY16" s="407">
        <f>scenarios!AL22</f>
        <v>4.3551106152923431</v>
      </c>
      <c r="CZ16" s="407">
        <f>scenarios!AU22</f>
        <v>3.6314252280430681</v>
      </c>
      <c r="DA16" s="407">
        <f>scenarios!BD22</f>
        <v>3.8267539937591137</v>
      </c>
      <c r="DB16" s="407">
        <f>scenarios!BM22</f>
        <v>2.62387020832365</v>
      </c>
      <c r="DD16" s="79">
        <f t="shared" si="19"/>
        <v>2018</v>
      </c>
      <c r="DE16" s="299">
        <f>'base data'!$L$18</f>
        <v>42.101177440626522</v>
      </c>
      <c r="DF16" s="211">
        <f>'base data'!$L$18</f>
        <v>42.101177440626522</v>
      </c>
      <c r="DG16" s="211">
        <f>'base data'!$L$18</f>
        <v>42.101177440626522</v>
      </c>
      <c r="DH16" s="211">
        <f>'base data'!$L$18</f>
        <v>42.101177440626522</v>
      </c>
      <c r="DI16" s="211">
        <f>'base data'!$L$18</f>
        <v>42.101177440626522</v>
      </c>
      <c r="DJ16" s="211">
        <f>'base data'!$L$18</f>
        <v>42.101177440626522</v>
      </c>
      <c r="DK16" s="293">
        <f>'base data'!$L$18</f>
        <v>42.101177440626522</v>
      </c>
    </row>
    <row r="17" spans="70:115" x14ac:dyDescent="0.25">
      <c r="BR17" s="79"/>
      <c r="BS17" s="79"/>
      <c r="BT17" s="79">
        <f t="shared" si="13"/>
        <v>2027</v>
      </c>
      <c r="BU17" s="280">
        <f>scenarios!E23</f>
        <v>22.157779544738592</v>
      </c>
      <c r="BV17" s="280">
        <f>scenarios!M23</f>
        <v>33.98500922545341</v>
      </c>
      <c r="BW17" s="280">
        <f>scenarios!V23</f>
        <v>30.835296640967364</v>
      </c>
      <c r="BX17" s="399">
        <f>scenarios!AE23</f>
        <v>34.458091947431519</v>
      </c>
      <c r="BY17" s="399">
        <f>scenarios!AN23</f>
        <v>27.784435978772759</v>
      </c>
      <c r="BZ17" s="399">
        <f>scenarios!AW23</f>
        <v>30.076868369026045</v>
      </c>
      <c r="CA17" s="399">
        <f>scenarios!BF23</f>
        <v>18.486418119923655</v>
      </c>
      <c r="CC17" s="79">
        <f t="shared" si="14"/>
        <v>2027</v>
      </c>
      <c r="CD17" s="278">
        <f>IF($BU16&gt;'goal seek'!$F$31,$BU17/$BU16-1,#N/A)</f>
        <v>-7.767656910741183E-2</v>
      </c>
      <c r="CE17" s="278">
        <f>IF(BV16&gt;'goal seek'!$F$28,BV17/BV16-1,#N/A)</f>
        <v>-4.1360571728026652E-2</v>
      </c>
      <c r="CF17" s="278">
        <f>IF(BW16&gt;'goal seek'!$F$28,BW17/BW16-1,#N/A)</f>
        <v>-6.1327964106861588E-2</v>
      </c>
      <c r="CG17" s="402">
        <f>IF(BX16&gt;'goal seek'!$F$28,BX17/BX16-1,#N/A)</f>
        <v>-4.2034171895264705E-2</v>
      </c>
      <c r="CH17" s="402">
        <f>IF(BY16&gt;'goal seek'!$F$28,BY17/BY16-1,#N/A)</f>
        <v>-7.3634311751936021E-2</v>
      </c>
      <c r="CI17" s="402">
        <f>IF(BZ16&gt;'goal seek'!$F$28,BZ17/BZ16-1,#N/A)</f>
        <v>-4.8387686293766441E-2</v>
      </c>
      <c r="CJ17" s="402">
        <f>IF(CA16&gt;'goal seek'!$F$28,CA17/CA16-1,#N/A)</f>
        <v>-0.146961946726615</v>
      </c>
      <c r="CL17" s="79">
        <f t="shared" si="15"/>
        <v>2027</v>
      </c>
      <c r="CM17" s="278">
        <f t="shared" si="9"/>
        <v>-7.767656910741183E-2</v>
      </c>
      <c r="CN17" s="278">
        <f t="shared" si="10"/>
        <v>-4.1360571728026652E-2</v>
      </c>
      <c r="CO17" s="278">
        <f t="shared" si="11"/>
        <v>-6.1327964106861588E-2</v>
      </c>
      <c r="CP17" s="402">
        <f t="shared" si="16"/>
        <v>-4.2034171895264705E-2</v>
      </c>
      <c r="CQ17" s="402">
        <f t="shared" si="17"/>
        <v>-7.3634311751936021E-2</v>
      </c>
      <c r="CR17" s="402">
        <f t="shared" si="18"/>
        <v>-4.8387686293766441E-2</v>
      </c>
      <c r="CS17" s="402">
        <f t="shared" si="12"/>
        <v>-0.146961946726615</v>
      </c>
      <c r="CU17" s="79">
        <f t="shared" si="8"/>
        <v>2027</v>
      </c>
      <c r="CV17" s="299">
        <f>scenarios!K23</f>
        <v>2.6590149167558348</v>
      </c>
      <c r="CW17" s="407">
        <f>scenarios!T23</f>
        <v>4.0783259123102447</v>
      </c>
      <c r="CX17" s="211">
        <f>scenarios!AC23</f>
        <v>3.7003488352871692</v>
      </c>
      <c r="CY17" s="407">
        <f>scenarios!AL23</f>
        <v>4.1350975762786195</v>
      </c>
      <c r="CZ17" s="407">
        <f>scenarios!AU23</f>
        <v>3.3342343519591089</v>
      </c>
      <c r="DA17" s="407">
        <f>scenarios!BD23</f>
        <v>3.609334657431059</v>
      </c>
      <c r="DB17" s="407">
        <f>scenarios!BM23</f>
        <v>2.2184380632099239</v>
      </c>
      <c r="DD17" s="79">
        <f t="shared" ref="DD17:DD48" si="20">BT9</f>
        <v>2019</v>
      </c>
      <c r="DE17" s="299">
        <f t="shared" ref="DE17:DE48" si="21">BU9</f>
        <v>42.311683327829648</v>
      </c>
      <c r="DF17" s="211">
        <f t="shared" ref="DF17:DF48" si="22">BV9</f>
        <v>42.311683327829648</v>
      </c>
      <c r="DG17" s="211">
        <f t="shared" ref="DG17:DG48" si="23">BW9</f>
        <v>42.311683327829648</v>
      </c>
      <c r="DH17" s="211">
        <f t="shared" ref="DH17:DH48" si="24">BX9</f>
        <v>42.311683327829648</v>
      </c>
      <c r="DI17" s="211">
        <f t="shared" ref="DI17:DJ48" si="25">BY9</f>
        <v>42.311683327829648</v>
      </c>
      <c r="DJ17" s="211">
        <f t="shared" si="25"/>
        <v>42.311683327829648</v>
      </c>
      <c r="DK17" s="293">
        <f t="shared" ref="DK17:DK48" si="26">CA9</f>
        <v>42.311683327829648</v>
      </c>
    </row>
    <row r="18" spans="70:115" x14ac:dyDescent="0.25">
      <c r="BR18" s="79"/>
      <c r="BS18" s="79"/>
      <c r="BT18" s="79">
        <f t="shared" si="13"/>
        <v>2028</v>
      </c>
      <c r="BU18" s="280">
        <f>scenarios!E24</f>
        <v>20.436639250664907</v>
      </c>
      <c r="BV18" s="280">
        <f>scenarios!M24</f>
        <v>32.375113606597644</v>
      </c>
      <c r="BW18" s="280">
        <f>scenarios!V24</f>
        <v>28.74455907257909</v>
      </c>
      <c r="BX18" s="399">
        <f>scenarios!AE24</f>
        <v>32.735055845817413</v>
      </c>
      <c r="BY18" s="399">
        <f>scenarios!AN24</f>
        <v>25.619773303478404</v>
      </c>
      <c r="BZ18" s="399">
        <f>scenarios!AW24</f>
        <v>28.547516499175597</v>
      </c>
      <c r="CA18" s="399">
        <f>scenarios!BF24</f>
        <v>15.651857785996114</v>
      </c>
      <c r="CC18" s="79">
        <f t="shared" si="14"/>
        <v>2028</v>
      </c>
      <c r="CD18" s="278">
        <f>IF($BU17&gt;'goal seek'!$F$31,$BU18/$BU17-1,#N/A)</f>
        <v>-7.767656910741183E-2</v>
      </c>
      <c r="CE18" s="278">
        <f>IF(BV17&gt;'goal seek'!$F$28,BV18/BV17-1,#N/A)</f>
        <v>-4.7370757152833676E-2</v>
      </c>
      <c r="CF18" s="278">
        <f>IF(BW17&gt;'goal seek'!$F$28,BW18/BW17-1,#N/A)</f>
        <v>-6.7803387550698924E-2</v>
      </c>
      <c r="CG18" s="402">
        <f>IF(BX17&gt;'goal seek'!$F$28,BX18/BX17-1,#N/A)</f>
        <v>-5.0003816352998665E-2</v>
      </c>
      <c r="CH18" s="402">
        <f>IF(BY17&gt;'goal seek'!$F$28,BY18/BY17-1,#N/A)</f>
        <v>-7.7909181850880582E-2</v>
      </c>
      <c r="CI18" s="402">
        <f>IF(BZ17&gt;'goal seek'!$F$28,BZ18/BZ17-1,#N/A)</f>
        <v>-5.0848108622419397E-2</v>
      </c>
      <c r="CJ18" s="402">
        <f>IF(CA17&gt;'goal seek'!$F$28,CA18/CA17-1,#N/A)</f>
        <v>-0.15333204710287318</v>
      </c>
      <c r="CL18" s="79">
        <f t="shared" si="15"/>
        <v>2028</v>
      </c>
      <c r="CM18" s="278">
        <f t="shared" si="9"/>
        <v>-7.767656910741183E-2</v>
      </c>
      <c r="CN18" s="278">
        <f t="shared" si="10"/>
        <v>-4.7370757152833676E-2</v>
      </c>
      <c r="CO18" s="278">
        <f t="shared" si="11"/>
        <v>-6.7803387550698924E-2</v>
      </c>
      <c r="CP18" s="402">
        <f t="shared" si="16"/>
        <v>-5.0003816352998665E-2</v>
      </c>
      <c r="CQ18" s="402">
        <f t="shared" si="17"/>
        <v>-7.7909181850880582E-2</v>
      </c>
      <c r="CR18" s="402">
        <f t="shared" si="18"/>
        <v>-5.0848108622419397E-2</v>
      </c>
      <c r="CS18" s="402">
        <f t="shared" si="12"/>
        <v>-0.15333204710287318</v>
      </c>
      <c r="CU18" s="79">
        <f t="shared" si="8"/>
        <v>2028</v>
      </c>
      <c r="CV18" s="299">
        <f>scenarios!K24</f>
        <v>2.4312362137534484</v>
      </c>
      <c r="CW18" s="407">
        <f>scenarios!T24</f>
        <v>3.851491806422199</v>
      </c>
      <c r="CX18" s="211">
        <f>scenarios!AC24</f>
        <v>3.4195844095724208</v>
      </c>
      <c r="CY18" s="407">
        <f>scenarios!AL24</f>
        <v>3.8943121838882315</v>
      </c>
      <c r="CZ18" s="407">
        <f>scenarios!AU24</f>
        <v>3.0478455816331924</v>
      </c>
      <c r="DA18" s="407">
        <f>scenarios!BD24</f>
        <v>3.3961433225016022</v>
      </c>
      <c r="DB18" s="407">
        <f>scenarios!BM24</f>
        <v>1.8620166943835716</v>
      </c>
      <c r="DD18" s="79">
        <f t="shared" si="20"/>
        <v>2020</v>
      </c>
      <c r="DE18" s="299">
        <f t="shared" si="21"/>
        <v>39.02505693376456</v>
      </c>
      <c r="DF18" s="211">
        <f t="shared" si="22"/>
        <v>41.634696394584374</v>
      </c>
      <c r="DG18" s="211">
        <f t="shared" si="23"/>
        <v>41.634696394584374</v>
      </c>
      <c r="DH18" s="211">
        <f t="shared" si="24"/>
        <v>41.634696394584374</v>
      </c>
      <c r="DI18" s="211">
        <f t="shared" si="25"/>
        <v>41.634696394584374</v>
      </c>
      <c r="DJ18" s="211">
        <f t="shared" si="25"/>
        <v>40.782331457979197</v>
      </c>
      <c r="DK18" s="293">
        <f t="shared" si="26"/>
        <v>41.834339829518569</v>
      </c>
    </row>
    <row r="19" spans="70:115" ht="13.9" customHeight="1" x14ac:dyDescent="0.25">
      <c r="BR19" s="79"/>
      <c r="BS19" s="79"/>
      <c r="BT19" s="79">
        <f t="shared" si="13"/>
        <v>2029</v>
      </c>
      <c r="BU19" s="280">
        <f>scenarios!E25</f>
        <v>18.84919122958739</v>
      </c>
      <c r="BV19" s="280">
        <f>scenarios!M25</f>
        <v>30.618624663201448</v>
      </c>
      <c r="BW19" s="280">
        <f>scenarios!V25</f>
        <v>26.609447402105705</v>
      </c>
      <c r="BX19" s="399">
        <f>scenarios!AE25</f>
        <v>30.802506467750074</v>
      </c>
      <c r="BY19" s="399">
        <f>scenarios!AN25</f>
        <v>23.52132538582547</v>
      </c>
      <c r="BZ19" s="399">
        <f>scenarios!AW25</f>
        <v>27.018164629325149</v>
      </c>
      <c r="CA19" s="399">
        <f>scenarios!BF25</f>
        <v>13.168083660743605</v>
      </c>
      <c r="CC19" s="79">
        <f t="shared" si="14"/>
        <v>2029</v>
      </c>
      <c r="CD19" s="278">
        <f>IF($BU18&gt;'goal seek'!$F$31,$BU19/$BU18-1,#N/A)</f>
        <v>-7.767656910741183E-2</v>
      </c>
      <c r="CE19" s="278">
        <f>IF(BV18&gt;'goal seek'!$F$28,BV19/BV18-1,#N/A)</f>
        <v>-5.4254294355224886E-2</v>
      </c>
      <c r="CF19" s="278">
        <f>IF(BW18&gt;'goal seek'!$F$28,BW19/BW18-1,#N/A)</f>
        <v>-7.427881099453626E-2</v>
      </c>
      <c r="CG19" s="402">
        <f>IF(BX18&gt;'goal seek'!$F$28,BX19/BX18-1,#N/A)</f>
        <v>-5.9036080071763863E-2</v>
      </c>
      <c r="CH19" s="402">
        <f>IF(BY18&gt;'goal seek'!$F$28,BY19/BY18-1,#N/A)</f>
        <v>-8.1907356977589885E-2</v>
      </c>
      <c r="CI19" s="402">
        <f>IF(BZ18&gt;'goal seek'!$F$28,BZ19/BZ18-1,#N/A)</f>
        <v>-5.3572151185011574E-2</v>
      </c>
      <c r="CJ19" s="402">
        <f>IF(CA18&gt;'goal seek'!$F$28,CA19/CA18-1,#N/A)</f>
        <v>-0.15868877415144733</v>
      </c>
      <c r="CL19" s="79">
        <f t="shared" si="15"/>
        <v>2029</v>
      </c>
      <c r="CM19" s="278">
        <f t="shared" si="9"/>
        <v>-7.767656910741183E-2</v>
      </c>
      <c r="CN19" s="278">
        <f t="shared" si="10"/>
        <v>-5.4254294355224886E-2</v>
      </c>
      <c r="CO19" s="278">
        <f t="shared" si="11"/>
        <v>-7.427881099453626E-2</v>
      </c>
      <c r="CP19" s="402">
        <f t="shared" si="16"/>
        <v>-5.9036080071763863E-2</v>
      </c>
      <c r="CQ19" s="402">
        <f t="shared" si="17"/>
        <v>-8.1907356977589885E-2</v>
      </c>
      <c r="CR19" s="402">
        <f t="shared" si="18"/>
        <v>-5.3572151185011574E-2</v>
      </c>
      <c r="CS19" s="402">
        <f t="shared" si="12"/>
        <v>-0.15868877415144733</v>
      </c>
      <c r="CU19" s="79">
        <f t="shared" si="8"/>
        <v>2029</v>
      </c>
      <c r="CV19" s="299">
        <f>scenarios!K25</f>
        <v>2.2233953341811801</v>
      </c>
      <c r="CW19" s="407">
        <f>scenarios!T25</f>
        <v>3.6116831956347615</v>
      </c>
      <c r="CX19" s="211">
        <f>scenarios!AC25</f>
        <v>3.1387724002774857</v>
      </c>
      <c r="CY19" s="407">
        <f>scenarios!AL25</f>
        <v>3.6333733541829161</v>
      </c>
      <c r="CZ19" s="407">
        <f>scenarios!AU25</f>
        <v>2.774506581190141</v>
      </c>
      <c r="DA19" s="407">
        <f>scenarios!BD25</f>
        <v>3.1869834860970587</v>
      </c>
      <c r="DB19" s="407">
        <f>scenarios!BM25</f>
        <v>1.5532685415938485</v>
      </c>
      <c r="DD19" s="79">
        <f t="shared" si="20"/>
        <v>2021</v>
      </c>
      <c r="DE19" s="299">
        <f t="shared" si="21"/>
        <v>35.993724401928318</v>
      </c>
      <c r="DF19" s="211">
        <f t="shared" si="22"/>
        <v>40.871740948026705</v>
      </c>
      <c r="DG19" s="211">
        <f t="shared" si="23"/>
        <v>40.698938963160479</v>
      </c>
      <c r="DH19" s="211">
        <f t="shared" si="24"/>
        <v>40.94642033711299</v>
      </c>
      <c r="DI19" s="211">
        <f t="shared" si="25"/>
        <v>40.303015542504525</v>
      </c>
      <c r="DJ19" s="211">
        <f t="shared" si="25"/>
        <v>39.252979588128746</v>
      </c>
      <c r="DK19" s="293">
        <f t="shared" si="26"/>
        <v>39.733240975044623</v>
      </c>
    </row>
    <row r="20" spans="70:115" x14ac:dyDescent="0.25">
      <c r="BR20" s="79">
        <v>2030</v>
      </c>
      <c r="BS20" s="79">
        <v>2030</v>
      </c>
      <c r="BT20" s="185">
        <f t="shared" si="13"/>
        <v>2030</v>
      </c>
      <c r="BU20" s="315">
        <f>scenarios!E26</f>
        <v>17.385050724423525</v>
      </c>
      <c r="BV20" s="315">
        <f>scenarios!M26</f>
        <v>28.716041753487143</v>
      </c>
      <c r="BW20" s="315">
        <f>scenarios!V26</f>
        <v>24.460621848320489</v>
      </c>
      <c r="BX20" s="400">
        <f>scenarios!AE26</f>
        <v>28.673099531232598</v>
      </c>
      <c r="BY20" s="399">
        <f>scenarios!AN26</f>
        <v>21.506100896100762</v>
      </c>
      <c r="BZ20" s="399">
        <f>scenarios!AW26</f>
        <v>25.488812759474701</v>
      </c>
      <c r="CA20" s="400">
        <f>scenarios!BF26</f>
        <v>11.018313333856071</v>
      </c>
      <c r="CB20" s="121"/>
      <c r="CC20" s="185">
        <f t="shared" si="14"/>
        <v>2030</v>
      </c>
      <c r="CD20" s="278">
        <f>IF($BU19&gt;'goal seek'!$F$31,$BU20/$BU19-1,#N/A)</f>
        <v>-7.767656910741183E-2</v>
      </c>
      <c r="CE20" s="316">
        <f>IF(BV19&gt;'goal seek'!$F$28,BV20/BV19-1,#N/A)</f>
        <v>-6.2138091787019345E-2</v>
      </c>
      <c r="CF20" s="316">
        <f>IF(BW19&gt;'goal seek'!$F$28,BW20/BW19-1,#N/A)</f>
        <v>-8.0754234438373595E-2</v>
      </c>
      <c r="CG20" s="403">
        <f>IF(BX19&gt;'goal seek'!$F$28,BX20/BX19-1,#N/A)</f>
        <v>-6.9130963051560301E-2</v>
      </c>
      <c r="CH20" s="403">
        <f>IF(BY19&gt;'goal seek'!$F$28,BY20/BY19-1,#N/A)</f>
        <v>-8.567648534547001E-2</v>
      </c>
      <c r="CI20" s="402">
        <f>IF(BZ19&gt;'goal seek'!$F$28,BZ20/BZ19-1,#N/A)</f>
        <v>-5.6604580319660536E-2</v>
      </c>
      <c r="CJ20" s="403">
        <f>IF(CA19&gt;'goal seek'!$F$28,CA20/CA19-1,#N/A)</f>
        <v>-0.16325612612079476</v>
      </c>
      <c r="CK20" s="121"/>
      <c r="CL20" s="185">
        <f t="shared" si="15"/>
        <v>2030</v>
      </c>
      <c r="CM20" s="278">
        <f t="shared" si="9"/>
        <v>-7.767656910741183E-2</v>
      </c>
      <c r="CN20" s="278">
        <f t="shared" si="10"/>
        <v>-6.2138091787019345E-2</v>
      </c>
      <c r="CO20" s="278">
        <f t="shared" si="11"/>
        <v>-8.0754234438373595E-2</v>
      </c>
      <c r="CP20" s="402">
        <f t="shared" si="16"/>
        <v>-6.9130963051560301E-2</v>
      </c>
      <c r="CQ20" s="402">
        <f t="shared" si="17"/>
        <v>-8.567648534547001E-2</v>
      </c>
      <c r="CR20" s="402">
        <f t="shared" si="18"/>
        <v>-5.6604580319660536E-2</v>
      </c>
      <c r="CS20" s="402">
        <f t="shared" si="12"/>
        <v>-0.16325612612079476</v>
      </c>
      <c r="CU20" s="185">
        <f t="shared" si="8"/>
        <v>2030</v>
      </c>
      <c r="CV20" s="317">
        <f>scenarios!K26</f>
        <v>2.0336990523520599</v>
      </c>
      <c r="CW20" s="408">
        <f>scenarios!T26</f>
        <v>3.3591956576419757</v>
      </c>
      <c r="CX20" s="318">
        <f>scenarios!AC26</f>
        <v>2.8613976606341476</v>
      </c>
      <c r="CY20" s="408">
        <f>scenarios!AL26</f>
        <v>3.3541722868109507</v>
      </c>
      <c r="CZ20" s="407">
        <f>scenarios!AU26</f>
        <v>2.5157785102544294</v>
      </c>
      <c r="DA20" s="407">
        <f>scenarios!BD26</f>
        <v>2.9816751861241206</v>
      </c>
      <c r="DB20" s="407">
        <f>scenarios!BM26</f>
        <v>1.2889196437086718</v>
      </c>
      <c r="DD20" s="79">
        <f t="shared" si="20"/>
        <v>2022</v>
      </c>
      <c r="DE20" s="299">
        <f t="shared" si="21"/>
        <v>33.197855380988798</v>
      </c>
      <c r="DF20" s="211">
        <f t="shared" si="22"/>
        <v>40.013931736379995</v>
      </c>
      <c r="DG20" s="211">
        <f t="shared" si="23"/>
        <v>39.520670212747206</v>
      </c>
      <c r="DH20" s="211">
        <f t="shared" si="24"/>
        <v>40.204256701878194</v>
      </c>
      <c r="DI20" s="211">
        <f t="shared" si="25"/>
        <v>38.54231270287876</v>
      </c>
      <c r="DJ20" s="211">
        <f t="shared" si="25"/>
        <v>37.723627718278294</v>
      </c>
      <c r="DK20" s="293">
        <f t="shared" si="26"/>
        <v>36.522204869624375</v>
      </c>
    </row>
    <row r="21" spans="70:115" x14ac:dyDescent="0.25">
      <c r="BR21" s="79"/>
      <c r="BS21" s="79"/>
      <c r="BT21" s="79">
        <f t="shared" si="13"/>
        <v>2031</v>
      </c>
      <c r="BU21" s="280">
        <f>scenarios!E27</f>
        <v>16.034639630391982</v>
      </c>
      <c r="BV21" s="280">
        <f>scenarios!M27</f>
        <v>26.672392874539952</v>
      </c>
      <c r="BW21" s="280">
        <f>scenarios!V27</f>
        <v>22.326930172905357</v>
      </c>
      <c r="BX21" s="399">
        <f>scenarios!AE27</f>
        <v>26.370980374694042</v>
      </c>
      <c r="BY21" s="399">
        <f>scenarios!AN27</f>
        <v>19.58663984505209</v>
      </c>
      <c r="BZ21" s="399">
        <f>scenarios!AW27</f>
        <v>23.959460889624253</v>
      </c>
      <c r="CA21" s="399">
        <f>scenarios!BF27</f>
        <v>9.1760886496662266</v>
      </c>
      <c r="CC21" s="79">
        <f t="shared" si="14"/>
        <v>2031</v>
      </c>
      <c r="CD21" s="278">
        <f>IF($BU20&gt;'goal seek'!$F$31,$BU21/$BU20-1,#N/A)</f>
        <v>-7.7676569107411719E-2</v>
      </c>
      <c r="CE21" s="278">
        <f>IF(BV20&gt;'goal seek'!$F$28,BV21/BV20-1,#N/A)</f>
        <v>-7.116749921492993E-2</v>
      </c>
      <c r="CF21" s="278">
        <f>IF(BW20&gt;'goal seek'!$F$28,BW21/BW20-1,#N/A)</f>
        <v>-8.7229657882211042E-2</v>
      </c>
      <c r="CG21" s="402">
        <f>IF(BX20&gt;'goal seek'!$F$28,BX21/BX20-1,#N/A)</f>
        <v>-8.0288465292387978E-2</v>
      </c>
      <c r="CH21" s="402">
        <f>IF(BY20&gt;'goal seek'!$F$28,BY21/BY20-1,#N/A)</f>
        <v>-8.9251931827246556E-2</v>
      </c>
      <c r="CI21" s="402">
        <f>IF(BZ20&gt;'goal seek'!$F$28,BZ21/BZ20-1,#N/A)</f>
        <v>-6.0000906447945757E-2</v>
      </c>
      <c r="CJ21" s="402">
        <f>IF(CA20&gt;'goal seek'!$F$28,CA21/CA20-1,#N/A)</f>
        <v>-0.16719661425213095</v>
      </c>
      <c r="CL21" s="79">
        <f t="shared" si="15"/>
        <v>2031</v>
      </c>
      <c r="CM21" s="278">
        <f t="shared" si="9"/>
        <v>-7.7676569107411719E-2</v>
      </c>
      <c r="CN21" s="278">
        <f t="shared" si="10"/>
        <v>-7.116749921492993E-2</v>
      </c>
      <c r="CO21" s="278">
        <f t="shared" si="11"/>
        <v>-8.7229657882211042E-2</v>
      </c>
      <c r="CP21" s="402">
        <f t="shared" si="16"/>
        <v>-8.0288465292387978E-2</v>
      </c>
      <c r="CQ21" s="402">
        <f t="shared" si="17"/>
        <v>-8.9251931827246556E-2</v>
      </c>
      <c r="CR21" s="402">
        <f t="shared" si="18"/>
        <v>-6.0000906447945757E-2</v>
      </c>
      <c r="CS21" s="402">
        <f t="shared" si="12"/>
        <v>-0.16719661425213095</v>
      </c>
      <c r="CU21" s="79">
        <f t="shared" si="8"/>
        <v>2031</v>
      </c>
      <c r="CV21" s="299">
        <f>scenarios!K27</f>
        <v>1.8605232534208249</v>
      </c>
      <c r="CW21" s="407">
        <f>scenarios!T27</f>
        <v>3.0948376958468864</v>
      </c>
      <c r="CX21" s="211">
        <f>scenarios!AC27</f>
        <v>2.5906271498274993</v>
      </c>
      <c r="CY21" s="407">
        <f>scenarios!AL27</f>
        <v>3.0598643520261679</v>
      </c>
      <c r="CZ21" s="407">
        <f>scenarios!AU27</f>
        <v>2.2726671586075069</v>
      </c>
      <c r="DA21" s="407">
        <f>scenarios!BD27</f>
        <v>2.7800521341359881</v>
      </c>
      <c r="DB21" s="407">
        <f>scenarios!BM27</f>
        <v>1.0647153102085376</v>
      </c>
      <c r="DD21" s="79">
        <f t="shared" si="20"/>
        <v>2023</v>
      </c>
      <c r="DE21" s="299">
        <f t="shared" si="21"/>
        <v>30.61915987326956</v>
      </c>
      <c r="DF21" s="211">
        <f t="shared" si="22"/>
        <v>39.052092280448143</v>
      </c>
      <c r="DG21" s="211">
        <f t="shared" si="23"/>
        <v>38.120600266107886</v>
      </c>
      <c r="DH21" s="211">
        <f t="shared" si="24"/>
        <v>39.368740415687277</v>
      </c>
      <c r="DI21" s="211">
        <f t="shared" si="25"/>
        <v>36.548006916661137</v>
      </c>
      <c r="DJ21" s="211">
        <f t="shared" si="25"/>
        <v>36.194275848427843</v>
      </c>
      <c r="DK21" s="293">
        <f t="shared" si="26"/>
        <v>32.793427399481033</v>
      </c>
    </row>
    <row r="22" spans="70:115" x14ac:dyDescent="0.25">
      <c r="BR22" s="79"/>
      <c r="BS22" s="79"/>
      <c r="BT22" s="79">
        <f t="shared" si="13"/>
        <v>2032</v>
      </c>
      <c r="BU22" s="280">
        <f>scenarios!E28</f>
        <v>14.789123837029395</v>
      </c>
      <c r="BV22" s="280">
        <f>scenarios!M28</f>
        <v>24.498353138093332</v>
      </c>
      <c r="BW22" s="280">
        <f>scenarios!V28</f>
        <v>20.234783365292255</v>
      </c>
      <c r="BX22" s="399">
        <f>scenarios!AE28</f>
        <v>23.931438247852281</v>
      </c>
      <c r="BY22" s="399">
        <f>scenarios!AN28</f>
        <v>17.771726106477395</v>
      </c>
      <c r="BZ22" s="399">
        <f>scenarios!AW28</f>
        <v>22.430109019773806</v>
      </c>
      <c r="CA22" s="399">
        <f>scenarios!BF28</f>
        <v>7.6103634168143444</v>
      </c>
      <c r="CC22" s="79">
        <f t="shared" si="14"/>
        <v>2032</v>
      </c>
      <c r="CD22" s="278">
        <f>IF($BU21&gt;'goal seek'!$F$31,$BU22/$BU21-1,#N/A)</f>
        <v>-7.767656910741183E-2</v>
      </c>
      <c r="CE22" s="278">
        <f>IF(BV21&gt;'goal seek'!$F$28,BV22/BV21-1,#N/A)</f>
        <v>-8.1508987464032234E-2</v>
      </c>
      <c r="CF22" s="278">
        <f>IF(BW21&gt;'goal seek'!$F$28,BW22/BW21-1,#N/A)</f>
        <v>-9.3705081326048489E-2</v>
      </c>
      <c r="CG22" s="402">
        <f>IF(BX21&gt;'goal seek'!$F$28,BX22/BX21-1,#N/A)</f>
        <v>-9.2508586794246783E-2</v>
      </c>
      <c r="CH22" s="402">
        <f>IF(BY21&gt;'goal seek'!$F$28,BY22/BY21-1,#N/A)</f>
        <v>-9.2660801083406463E-2</v>
      </c>
      <c r="CI22" s="402">
        <f>IF(BZ21&gt;'goal seek'!$F$28,BZ22/BZ21-1,#N/A)</f>
        <v>-6.3830813092824679E-2</v>
      </c>
      <c r="CJ22" s="402">
        <f>IF(CA21&gt;'goal seek'!$F$28,CA22/CA21-1,#N/A)</f>
        <v>-0.17063100550023935</v>
      </c>
      <c r="CL22" s="79">
        <f t="shared" si="15"/>
        <v>2032</v>
      </c>
      <c r="CM22" s="278">
        <f t="shared" si="9"/>
        <v>-7.767656910741183E-2</v>
      </c>
      <c r="CN22" s="278">
        <f t="shared" si="10"/>
        <v>-8.1508987464032234E-2</v>
      </c>
      <c r="CO22" s="278">
        <f t="shared" si="11"/>
        <v>-9.3705081326048489E-2</v>
      </c>
      <c r="CP22" s="402">
        <f t="shared" si="16"/>
        <v>-9.2508586794246783E-2</v>
      </c>
      <c r="CQ22" s="402">
        <f t="shared" si="17"/>
        <v>-9.2660801083406463E-2</v>
      </c>
      <c r="CR22" s="402">
        <f t="shared" si="18"/>
        <v>-6.3830813092824679E-2</v>
      </c>
      <c r="CS22" s="402">
        <f t="shared" si="12"/>
        <v>-0.17063100550023935</v>
      </c>
      <c r="CU22" s="79">
        <f t="shared" si="8"/>
        <v>2032</v>
      </c>
      <c r="CV22" s="299">
        <f>scenarios!K28</f>
        <v>1.7023985202632157</v>
      </c>
      <c r="CW22" s="407">
        <f>scenarios!T28</f>
        <v>2.8200426604550652</v>
      </c>
      <c r="CX22" s="211">
        <f>scenarios!AC28</f>
        <v>2.3292566644596819</v>
      </c>
      <c r="CY22" s="407">
        <f>scenarios!AL28</f>
        <v>2.7547842258853934</v>
      </c>
      <c r="CZ22" s="407">
        <f>scenarios!AU28</f>
        <v>2.0457304002308856</v>
      </c>
      <c r="DA22" s="407">
        <f>scenarios!BD28</f>
        <v>2.5819639368355936</v>
      </c>
      <c r="DB22" s="407">
        <f>scenarios!BM28</f>
        <v>0.87604049855954269</v>
      </c>
      <c r="DD22" s="79">
        <f t="shared" si="20"/>
        <v>2024</v>
      </c>
      <c r="DE22" s="299">
        <f t="shared" si="21"/>
        <v>28.240768585362645</v>
      </c>
      <c r="DF22" s="211">
        <f t="shared" si="22"/>
        <v>37.976966040903676</v>
      </c>
      <c r="DG22" s="211">
        <f t="shared" si="23"/>
        <v>36.52328254722493</v>
      </c>
      <c r="DH22" s="211">
        <f t="shared" si="24"/>
        <v>38.404168714250304</v>
      </c>
      <c r="DI22" s="211">
        <f t="shared" si="25"/>
        <v>34.417549672984222</v>
      </c>
      <c r="DJ22" s="211">
        <f t="shared" si="25"/>
        <v>34.664923978577391</v>
      </c>
      <c r="DK22" s="293">
        <f t="shared" si="26"/>
        <v>28.931788391085348</v>
      </c>
    </row>
    <row r="23" spans="70:115" x14ac:dyDescent="0.25">
      <c r="BR23" s="79"/>
      <c r="BS23" s="79"/>
      <c r="BT23" s="79">
        <f t="shared" si="13"/>
        <v>2033</v>
      </c>
      <c r="BU23" s="280">
        <f>scenarios!E29</f>
        <v>13.64035543726431</v>
      </c>
      <c r="BV23" s="280">
        <f>scenarios!M29</f>
        <v>22.211353047731443</v>
      </c>
      <c r="BW23" s="280">
        <f>scenarios!V29</f>
        <v>18.207652553847989</v>
      </c>
      <c r="BX23" s="399">
        <f>scenarios!AE29</f>
        <v>21.399699625260347</v>
      </c>
      <c r="BY23" s="399">
        <f>scenarios!AN29</f>
        <v>16.066983763338975</v>
      </c>
      <c r="BZ23" s="399">
        <f>scenarios!AW29</f>
        <v>20.900757149923358</v>
      </c>
      <c r="CA23" s="399">
        <f>scenarios!BF29</f>
        <v>6.2888168284638262</v>
      </c>
      <c r="CC23" s="79">
        <f t="shared" si="14"/>
        <v>2033</v>
      </c>
      <c r="CD23" s="278">
        <f>IF($BU22&gt;'goal seek'!$F$31,$BU23/$BU22-1,#N/A)</f>
        <v>-7.767656910741183E-2</v>
      </c>
      <c r="CE23" s="278">
        <f>IF(BV22&gt;'goal seek'!$F$28,BV23/BV22-1,#N/A)</f>
        <v>-9.3353217559989932E-2</v>
      </c>
      <c r="CF23" s="278">
        <f>IF(BW22&gt;'goal seek'!$F$28,BW23/BW22-1,#N/A)</f>
        <v>-0.10018050476988583</v>
      </c>
      <c r="CG23" s="402">
        <f>IF(BX22&gt;'goal seek'!$F$28,BX23/BX22-1,#N/A)</f>
        <v>-0.10579132755713683</v>
      </c>
      <c r="CH23" s="402">
        <f>IF(BY22&gt;'goal seek'!$F$28,BY23/BY22-1,#N/A)</f>
        <v>-9.5924410095262536E-2</v>
      </c>
      <c r="CI23" s="402">
        <f>IF(BZ22&gt;'goal seek'!$F$28,BZ23/BZ22-1,#N/A)</f>
        <v>-6.8182988700688507E-2</v>
      </c>
      <c r="CJ23" s="402">
        <f>IF(CA22&gt;'goal seek'!$F$28,CA23/CA22-1,#N/A)</f>
        <v>-0.17365091730451299</v>
      </c>
      <c r="CL23" s="79">
        <f t="shared" si="15"/>
        <v>2033</v>
      </c>
      <c r="CM23" s="278">
        <f t="shared" si="9"/>
        <v>-7.767656910741183E-2</v>
      </c>
      <c r="CN23" s="278">
        <f t="shared" si="10"/>
        <v>-9.3353217559989932E-2</v>
      </c>
      <c r="CO23" s="278">
        <f t="shared" si="11"/>
        <v>-0.10018050476988583</v>
      </c>
      <c r="CP23" s="402">
        <f t="shared" si="16"/>
        <v>-0.10579132755713683</v>
      </c>
      <c r="CQ23" s="402">
        <f t="shared" si="17"/>
        <v>-9.5924410095262536E-2</v>
      </c>
      <c r="CR23" s="402">
        <f t="shared" si="18"/>
        <v>-6.8182988700688507E-2</v>
      </c>
      <c r="CS23" s="402">
        <f t="shared" si="12"/>
        <v>-0.17365091730451299</v>
      </c>
      <c r="CU23" s="79">
        <f t="shared" si="8"/>
        <v>2033</v>
      </c>
      <c r="CV23" s="299">
        <f>scenarios!K29</f>
        <v>1.5579926273422506</v>
      </c>
      <c r="CW23" s="407">
        <f>scenarios!T29</f>
        <v>2.5369664632875413</v>
      </c>
      <c r="CX23" s="211">
        <f>scenarios!AC29</f>
        <v>2.0796663672419515</v>
      </c>
      <c r="CY23" s="407">
        <f>scenarios!AL29</f>
        <v>2.4442599312632778</v>
      </c>
      <c r="CZ23" s="407">
        <f>scenarios!AU29</f>
        <v>1.8351605544327518</v>
      </c>
      <c r="DA23" s="407">
        <f>scenarios!BD29</f>
        <v>2.387271042548599</v>
      </c>
      <c r="DB23" s="407">
        <f>scenarios!BM29</f>
        <v>0.71830461445934102</v>
      </c>
      <c r="DD23" s="79">
        <f t="shared" si="20"/>
        <v>2025</v>
      </c>
      <c r="DE23" s="299">
        <f t="shared" si="21"/>
        <v>26.047122572695297</v>
      </c>
      <c r="DF23" s="211">
        <f t="shared" si="22"/>
        <v>36.779511007910521</v>
      </c>
      <c r="DG23" s="211">
        <f t="shared" si="23"/>
        <v>34.756391426208353</v>
      </c>
      <c r="DH23" s="211">
        <f t="shared" si="24"/>
        <v>37.279589397576622</v>
      </c>
      <c r="DI23" s="211">
        <f t="shared" si="25"/>
        <v>32.216387465493881</v>
      </c>
      <c r="DJ23" s="211">
        <f t="shared" si="25"/>
        <v>33.13557210872694</v>
      </c>
      <c r="DK23" s="293">
        <f t="shared" si="26"/>
        <v>25.177512457858086</v>
      </c>
    </row>
    <row r="24" spans="70:115" x14ac:dyDescent="0.25">
      <c r="BR24" s="79"/>
      <c r="BS24" s="79"/>
      <c r="BT24" s="79">
        <f t="shared" si="13"/>
        <v>2034</v>
      </c>
      <c r="BU24" s="280">
        <f>scenarios!E30</f>
        <v>12.580819425491988</v>
      </c>
      <c r="BV24" s="280">
        <f>scenarios!M30</f>
        <v>19.836547256297379</v>
      </c>
      <c r="BW24" s="280">
        <f>scenarios!V30</f>
        <v>16.265698470124367</v>
      </c>
      <c r="BX24" s="399">
        <f>scenarios!AE30</f>
        <v>18.828810597051955</v>
      </c>
      <c r="BY24" s="399">
        <f>scenarios!AN30</f>
        <v>14.475390224671248</v>
      </c>
      <c r="BZ24" s="399">
        <f>scenarios!AW30</f>
        <v>19.37140528007291</v>
      </c>
      <c r="CA24" s="399">
        <f>scenarios!BF30</f>
        <v>5.1799279200617256</v>
      </c>
      <c r="CC24" s="79">
        <f t="shared" si="14"/>
        <v>2034</v>
      </c>
      <c r="CD24" s="278">
        <f>IF($BU23&gt;'goal seek'!$F$31,$BU24/$BU23-1,#N/A)</f>
        <v>-7.767656910741183E-2</v>
      </c>
      <c r="CE24" s="278">
        <f>IF(BV23&gt;'goal seek'!$F$28,BV24/BV23-1,#N/A)</f>
        <v>-0.10691855585432763</v>
      </c>
      <c r="CF24" s="278">
        <f>IF(BW23&gt;'goal seek'!$F$28,BW24/BW23-1,#N/A)</f>
        <v>-0.10665592821372305</v>
      </c>
      <c r="CG24" s="402">
        <f>IF(BX23&gt;'goal seek'!$F$28,BX24/BX23-1,#N/A)</f>
        <v>-0.12013668758105822</v>
      </c>
      <c r="CH24" s="402">
        <f>IF(BY23&gt;'goal seek'!$F$28,BY24/BY23-1,#N/A)</f>
        <v>-9.9059883429979179E-2</v>
      </c>
      <c r="CI24" s="402">
        <f>IF(BZ23&gt;'goal seek'!$F$28,BZ24/BZ23-1,#N/A)</f>
        <v>-7.3172079790231659E-2</v>
      </c>
      <c r="CJ24" s="402">
        <f>IF(CA23&gt;'goal seek'!$F$28,CA24/CA23-1,#N/A)</f>
        <v>-0.17632711186357919</v>
      </c>
      <c r="CL24" s="79">
        <f t="shared" si="15"/>
        <v>2034</v>
      </c>
      <c r="CM24" s="278">
        <f t="shared" si="9"/>
        <v>-7.767656910741183E-2</v>
      </c>
      <c r="CN24" s="278">
        <f t="shared" si="10"/>
        <v>-0.10691855585432763</v>
      </c>
      <c r="CO24" s="278">
        <f t="shared" si="11"/>
        <v>-0.10665592821372305</v>
      </c>
      <c r="CP24" s="402">
        <f t="shared" si="16"/>
        <v>-0.12013668758105822</v>
      </c>
      <c r="CQ24" s="402">
        <f t="shared" si="17"/>
        <v>-9.9059883429979179E-2</v>
      </c>
      <c r="CR24" s="402">
        <f t="shared" si="18"/>
        <v>-7.3172079790231659E-2</v>
      </c>
      <c r="CS24" s="402">
        <f t="shared" si="12"/>
        <v>-0.17632711186357919</v>
      </c>
      <c r="CU24" s="79">
        <f t="shared" si="8"/>
        <v>2034</v>
      </c>
      <c r="CV24" s="299">
        <f>scenarios!K30</f>
        <v>1.4260955887592444</v>
      </c>
      <c r="CW24" s="407">
        <f>scenarios!T30</f>
        <v>2.248566773091071</v>
      </c>
      <c r="CX24" s="211">
        <f>scenarios!AC30</f>
        <v>1.8437941164094898</v>
      </c>
      <c r="CY24" s="407">
        <f>scenarios!AL30</f>
        <v>2.1343350401827292</v>
      </c>
      <c r="CZ24" s="407">
        <f>scenarios!AU30</f>
        <v>1.6408541802248362</v>
      </c>
      <c r="DA24" s="407">
        <f>scenarios!BD30</f>
        <v>2.1958407225846641</v>
      </c>
      <c r="DB24" s="407">
        <f>scenarios!BM30</f>
        <v>0.58716941298138003</v>
      </c>
      <c r="DD24" s="79">
        <f t="shared" si="20"/>
        <v>2026</v>
      </c>
      <c r="DE24" s="299">
        <f t="shared" si="21"/>
        <v>24.023871456128106</v>
      </c>
      <c r="DF24" s="211">
        <f t="shared" si="22"/>
        <v>35.451295057531894</v>
      </c>
      <c r="DG24" s="211">
        <f t="shared" si="23"/>
        <v>32.849915052202277</v>
      </c>
      <c r="DH24" s="211">
        <f t="shared" si="24"/>
        <v>35.970063791945805</v>
      </c>
      <c r="DI24" s="211">
        <f t="shared" si="25"/>
        <v>29.992945908131034</v>
      </c>
      <c r="DJ24" s="211">
        <f t="shared" si="25"/>
        <v>31.606220238876492</v>
      </c>
      <c r="DK24" s="293">
        <f t="shared" si="26"/>
        <v>21.671270172514866</v>
      </c>
    </row>
    <row r="25" spans="70:115" x14ac:dyDescent="0.25">
      <c r="BR25" s="79">
        <v>2035</v>
      </c>
      <c r="BS25" s="79"/>
      <c r="BT25" s="79">
        <f t="shared" si="13"/>
        <v>2035</v>
      </c>
      <c r="BU25" s="280">
        <f>scenarios!E31</f>
        <v>11.603584535959891</v>
      </c>
      <c r="BV25" s="280">
        <f>scenarios!M31</f>
        <v>17.407460879574462</v>
      </c>
      <c r="BW25" s="280">
        <f>scenarios!V31</f>
        <v>14.425538016544882</v>
      </c>
      <c r="BX25" s="399">
        <f>scenarios!AE31</f>
        <v>16.276665737191337</v>
      </c>
      <c r="BY25" s="399">
        <f>scenarios!AN31</f>
        <v>12.997724671281137</v>
      </c>
      <c r="BZ25" s="399">
        <f>scenarios!AW31</f>
        <v>17.842053410222462</v>
      </c>
      <c r="CA25" s="399">
        <f>scenarios!BF31</f>
        <v>4.2541965278203868</v>
      </c>
      <c r="CC25" s="79">
        <f t="shared" si="14"/>
        <v>2035</v>
      </c>
      <c r="CD25" s="278">
        <f>IF($BU24&gt;'goal seek'!$F$31,$BU25/$BU24-1,#N/A)</f>
        <v>-7.767656910741183E-2</v>
      </c>
      <c r="CE25" s="278">
        <f>IF(BV24&gt;'goal seek'!$F$28,BV25/BV24-1,#N/A)</f>
        <v>-0.12245509993941972</v>
      </c>
      <c r="CF25" s="278">
        <f>IF(BW24&gt;'goal seek'!$F$28,BW25/BW24-1,#N/A)</f>
        <v>-0.1131313516575605</v>
      </c>
      <c r="CG25" s="402">
        <f>IF(BX24&gt;'goal seek'!$F$28,BX25/BX24-1,#N/A)</f>
        <v>-0.13554466686601063</v>
      </c>
      <c r="CH25" s="402">
        <f>IF(BY24&gt;'goal seek'!$F$28,BY25/BY24-1,#N/A)</f>
        <v>-0.10208122409519849</v>
      </c>
      <c r="CI25" s="402">
        <f>IF(BZ24&gt;'goal seek'!$F$28,BZ25/BZ24-1,#N/A)</f>
        <v>-7.8948937763625771E-2</v>
      </c>
      <c r="CJ25" s="402">
        <f>IF(CA24&gt;'goal seek'!$F$28,CA25/CA24-1,#N/A)</f>
        <v>-0.17871511081380209</v>
      </c>
      <c r="CL25" s="79">
        <f t="shared" si="15"/>
        <v>2035</v>
      </c>
      <c r="CM25" s="278">
        <f t="shared" si="9"/>
        <v>-7.767656910741183E-2</v>
      </c>
      <c r="CN25" s="278">
        <f t="shared" si="10"/>
        <v>-0.12245509993941972</v>
      </c>
      <c r="CO25" s="278">
        <f t="shared" si="11"/>
        <v>-0.1131313516575605</v>
      </c>
      <c r="CP25" s="402">
        <f t="shared" si="16"/>
        <v>-0.13554466686601063</v>
      </c>
      <c r="CQ25" s="402">
        <f t="shared" si="17"/>
        <v>-0.10208122409519849</v>
      </c>
      <c r="CR25" s="402">
        <f t="shared" si="18"/>
        <v>-7.8948937763625771E-2</v>
      </c>
      <c r="CS25" s="402">
        <f t="shared" si="12"/>
        <v>-0.17871511081380209</v>
      </c>
      <c r="CU25" s="79">
        <f t="shared" si="8"/>
        <v>2035</v>
      </c>
      <c r="CV25" s="299">
        <f>scenarios!K31</f>
        <v>1.3056037044587787</v>
      </c>
      <c r="CW25" s="407">
        <f>scenarios!T31</f>
        <v>1.9586400511980764</v>
      </c>
      <c r="CX25" s="211">
        <f>scenarios!AC31</f>
        <v>1.6231222183838661</v>
      </c>
      <c r="CY25" s="407">
        <f>scenarios!AL31</f>
        <v>1.8314060639500771</v>
      </c>
      <c r="CZ25" s="407">
        <f>scenarios!AU31</f>
        <v>1.4624685525209649</v>
      </c>
      <c r="DA25" s="407">
        <f>scenarios!BD31</f>
        <v>2.0075392181913219</v>
      </c>
      <c r="DB25" s="407">
        <f>scenarios!BM31</f>
        <v>0.47867059777993848</v>
      </c>
      <c r="DD25" s="79">
        <f t="shared" si="20"/>
        <v>2027</v>
      </c>
      <c r="DE25" s="299">
        <f t="shared" si="21"/>
        <v>22.157779544738592</v>
      </c>
      <c r="DF25" s="211">
        <f t="shared" si="22"/>
        <v>33.98500922545341</v>
      </c>
      <c r="DG25" s="211">
        <f t="shared" si="23"/>
        <v>30.835296640967364</v>
      </c>
      <c r="DH25" s="211">
        <f t="shared" si="24"/>
        <v>34.458091947431519</v>
      </c>
      <c r="DI25" s="211">
        <f t="shared" si="25"/>
        <v>27.784435978772759</v>
      </c>
      <c r="DJ25" s="211">
        <f t="shared" si="25"/>
        <v>30.076868369026045</v>
      </c>
      <c r="DK25" s="293">
        <f t="shared" si="26"/>
        <v>18.486418119923655</v>
      </c>
    </row>
    <row r="26" spans="70:115" x14ac:dyDescent="0.25">
      <c r="BR26" s="79"/>
      <c r="BS26" s="79"/>
      <c r="BT26" s="79">
        <f t="shared" si="13"/>
        <v>2036</v>
      </c>
      <c r="BU26" s="280">
        <f>scenarios!E32</f>
        <v>10.702257899858708</v>
      </c>
      <c r="BV26" s="280">
        <f>scenarios!M32</f>
        <v>14.966076857873905</v>
      </c>
      <c r="BW26" s="280">
        <f>scenarios!V32</f>
        <v>12.700145935283334</v>
      </c>
      <c r="BX26" s="399">
        <f>scenarios!AE32</f>
        <v>13.80236407512988</v>
      </c>
      <c r="BY26" s="399">
        <f>scenarios!AN32</f>
        <v>11.632962847078664</v>
      </c>
      <c r="BZ26" s="399">
        <f>scenarios!AW32</f>
        <v>16.312701540372014</v>
      </c>
      <c r="CA26" s="399">
        <f>scenarios!BF32</f>
        <v>3.4847864207506483</v>
      </c>
      <c r="CC26" s="79">
        <f t="shared" si="14"/>
        <v>2036</v>
      </c>
      <c r="CD26" s="278">
        <f>IF($BU25&gt;'goal seek'!$F$31,$BU26/$BU25-1,#N/A)</f>
        <v>-7.767656910741183E-2</v>
      </c>
      <c r="CE26" s="278">
        <f>IF(BV25&gt;'goal seek'!$F$28,BV26/BV25-1,#N/A)</f>
        <v>-0.14024928957704708</v>
      </c>
      <c r="CF26" s="278">
        <f>IF(BW25&gt;'goal seek'!$F$28,BW26/BW25-1,#N/A)</f>
        <v>-0.11960677510139783</v>
      </c>
      <c r="CG26" s="402">
        <f>IF(BX25&gt;'goal seek'!$F$28,BX26/BX25-1,#N/A)</f>
        <v>-0.15201526541199439</v>
      </c>
      <c r="CH26" s="402">
        <f>IF(BY25&gt;'goal seek'!$F$28,BY26/BY25-1,#N/A)</f>
        <v>-0.10500005644972277</v>
      </c>
      <c r="CI26" s="402">
        <f>IF(BZ25&gt;'goal seek'!$F$28,BZ26/BZ25-1,#N/A)</f>
        <v>-8.5716135620029998E-2</v>
      </c>
      <c r="CJ26" s="402">
        <f>IF(CA25&gt;'goal seek'!$F$28,CA26/CA25-1,#N/A)</f>
        <v>-0.18085908867589184</v>
      </c>
      <c r="CL26" s="79">
        <f t="shared" si="15"/>
        <v>2036</v>
      </c>
      <c r="CM26" s="278">
        <f t="shared" si="9"/>
        <v>-7.767656910741183E-2</v>
      </c>
      <c r="CN26" s="278">
        <f t="shared" si="10"/>
        <v>-0.14024928957704708</v>
      </c>
      <c r="CO26" s="278">
        <f t="shared" si="11"/>
        <v>-0.11960677510139783</v>
      </c>
      <c r="CP26" s="402">
        <f t="shared" si="16"/>
        <v>-0.15201526541199439</v>
      </c>
      <c r="CQ26" s="402">
        <f t="shared" si="17"/>
        <v>-0.10500005644972277</v>
      </c>
      <c r="CR26" s="402">
        <f t="shared" si="18"/>
        <v>-8.5716135620029998E-2</v>
      </c>
      <c r="CS26" s="402">
        <f t="shared" si="12"/>
        <v>-0.18085908867589184</v>
      </c>
      <c r="CU26" s="79">
        <f t="shared" si="8"/>
        <v>2036</v>
      </c>
      <c r="CV26" s="299">
        <f>scenarios!K32</f>
        <v>1.1955093154192149</v>
      </c>
      <c r="CW26" s="407">
        <f>scenarios!T32</f>
        <v>1.6718046291058262</v>
      </c>
      <c r="CX26" s="211">
        <f>scenarios!AC32</f>
        <v>1.4186859366391418</v>
      </c>
      <c r="CY26" s="407">
        <f>scenarios!AL32</f>
        <v>1.5418106142670263</v>
      </c>
      <c r="CZ26" s="407">
        <f>scenarios!AU32</f>
        <v>1.2994748939652987</v>
      </c>
      <c r="DA26" s="407">
        <f>scenarios!BD32</f>
        <v>1.8222310500876255</v>
      </c>
      <c r="DB26" s="407">
        <f>scenarios!BM32</f>
        <v>0.38927249438726241</v>
      </c>
      <c r="DD26" s="79">
        <f t="shared" si="20"/>
        <v>2028</v>
      </c>
      <c r="DE26" s="299">
        <f t="shared" si="21"/>
        <v>20.436639250664907</v>
      </c>
      <c r="DF26" s="211">
        <f t="shared" si="22"/>
        <v>32.375113606597644</v>
      </c>
      <c r="DG26" s="211">
        <f t="shared" si="23"/>
        <v>28.74455907257909</v>
      </c>
      <c r="DH26" s="211">
        <f t="shared" si="24"/>
        <v>32.735055845817413</v>
      </c>
      <c r="DI26" s="211">
        <f t="shared" si="25"/>
        <v>25.619773303478404</v>
      </c>
      <c r="DJ26" s="211">
        <f t="shared" si="25"/>
        <v>28.547516499175597</v>
      </c>
      <c r="DK26" s="293">
        <f t="shared" si="26"/>
        <v>15.651857785996114</v>
      </c>
    </row>
    <row r="27" spans="70:115" x14ac:dyDescent="0.25">
      <c r="BR27" s="79"/>
      <c r="BS27" s="79"/>
      <c r="BT27" s="79">
        <f t="shared" si="13"/>
        <v>2037</v>
      </c>
      <c r="BU27" s="280">
        <f>scenarios!E33</f>
        <v>9.8709432244949884</v>
      </c>
      <c r="BV27" s="280">
        <f>scenarios!M33</f>
        <v>12.562088089886416</v>
      </c>
      <c r="BW27" s="280">
        <f>scenarios!V33</f>
        <v>11.098883613917479</v>
      </c>
      <c r="BX27" s="399">
        <f>scenarios!AE33</f>
        <v>11.462194181355065</v>
      </c>
      <c r="BY27" s="399">
        <f>scenarios!AN33</f>
        <v>10.378625178573007</v>
      </c>
      <c r="BZ27" s="399">
        <f>scenarios!AW33</f>
        <v>14.783349670521565</v>
      </c>
      <c r="CA27" s="399">
        <f>scenarios!BF33</f>
        <v>2.8477861737325547</v>
      </c>
      <c r="CC27" s="79">
        <f t="shared" si="14"/>
        <v>2037</v>
      </c>
      <c r="CD27" s="278">
        <f>IF($BU26&gt;'goal seek'!$F$31,$BU27/$BU26-1,#N/A)</f>
        <v>-7.767656910741183E-2</v>
      </c>
      <c r="CE27" s="278">
        <f>IF(BV26&gt;'goal seek'!$F$28,BV27/BV26-1,#N/A)</f>
        <v>-0.16062918764998257</v>
      </c>
      <c r="CF27" s="278">
        <f>IF(BW26&gt;'goal seek'!$F$28,BW27/BW26-1,#N/A)</f>
        <v>-0.12608219854523517</v>
      </c>
      <c r="CG27" s="402">
        <f>IF(BX26&gt;'goal seek'!$F$28,BX27/BX26-1,#N/A)</f>
        <v>-0.16954848321900928</v>
      </c>
      <c r="CH27" s="402">
        <f>IF(BY26&gt;'goal seek'!$F$28,BY27/BY26-1,#N/A)</f>
        <v>-0.10782615615596625</v>
      </c>
      <c r="CI27" s="402">
        <f>IF(BZ26&gt;'goal seek'!$F$28,BZ27/BZ26-1,#N/A)</f>
        <v>-9.3752213026486397E-2</v>
      </c>
      <c r="CJ27" s="402">
        <f>IF(CA26&gt;'goal seek'!$F$28,CA27/CA26-1,#N/A)</f>
        <v>-0.18279463074838287</v>
      </c>
      <c r="CL27" s="79">
        <f t="shared" si="15"/>
        <v>2037</v>
      </c>
      <c r="CM27" s="278">
        <f t="shared" si="9"/>
        <v>-7.767656910741183E-2</v>
      </c>
      <c r="CN27" s="278">
        <f t="shared" si="10"/>
        <v>-0.16062918764998257</v>
      </c>
      <c r="CO27" s="278">
        <f t="shared" si="11"/>
        <v>-0.12608219854523517</v>
      </c>
      <c r="CP27" s="402">
        <f t="shared" si="16"/>
        <v>-0.16954848321900928</v>
      </c>
      <c r="CQ27" s="402">
        <f t="shared" si="17"/>
        <v>-0.10782615615596625</v>
      </c>
      <c r="CR27" s="402">
        <f t="shared" si="18"/>
        <v>-9.3752213026486397E-2</v>
      </c>
      <c r="CS27" s="402">
        <f t="shared" si="12"/>
        <v>-0.18279463074838287</v>
      </c>
      <c r="CU27" s="79">
        <f t="shared" si="8"/>
        <v>2037</v>
      </c>
      <c r="CV27" s="299">
        <f>scenarios!K33</f>
        <v>1.0948934044494565</v>
      </c>
      <c r="CW27" s="407">
        <f>scenarios!T33</f>
        <v>1.3933974781253378</v>
      </c>
      <c r="CX27" s="211">
        <f>scenarios!AC33</f>
        <v>1.2310975951593637</v>
      </c>
      <c r="CY27" s="407">
        <f>scenarios!AL33</f>
        <v>1.2713963118075444</v>
      </c>
      <c r="CZ27" s="407">
        <f>scenarios!AU33</f>
        <v>1.1512059178978835</v>
      </c>
      <c r="DA27" s="407">
        <f>scenarios!BD33</f>
        <v>1.6397816988509946</v>
      </c>
      <c r="DB27" s="407">
        <f>scenarios!BM33</f>
        <v>0.3158788606102686</v>
      </c>
      <c r="DD27" s="79">
        <f t="shared" si="20"/>
        <v>2029</v>
      </c>
      <c r="DE27" s="299">
        <f t="shared" si="21"/>
        <v>18.84919122958739</v>
      </c>
      <c r="DF27" s="211">
        <f t="shared" si="22"/>
        <v>30.618624663201448</v>
      </c>
      <c r="DG27" s="211">
        <f t="shared" si="23"/>
        <v>26.609447402105705</v>
      </c>
      <c r="DH27" s="211">
        <f t="shared" si="24"/>
        <v>30.802506467750074</v>
      </c>
      <c r="DI27" s="211">
        <f t="shared" si="25"/>
        <v>23.52132538582547</v>
      </c>
      <c r="DJ27" s="211">
        <f t="shared" si="25"/>
        <v>27.018164629325149</v>
      </c>
      <c r="DK27" s="293">
        <f t="shared" si="26"/>
        <v>13.168083660743605</v>
      </c>
    </row>
    <row r="28" spans="70:115" x14ac:dyDescent="0.25">
      <c r="BR28" s="79"/>
      <c r="BS28" s="79"/>
      <c r="BT28" s="79">
        <f t="shared" si="13"/>
        <v>2038</v>
      </c>
      <c r="BU28" s="280">
        <f>scenarios!E34</f>
        <v>9.1042022209621649</v>
      </c>
      <c r="BV28" s="280">
        <f>scenarios!M34</f>
        <v>10.251034104939498</v>
      </c>
      <c r="BW28" s="280">
        <f>scenarios!V34</f>
        <v>9.6276419953230956</v>
      </c>
      <c r="BX28" s="399">
        <f>scenarios!AE34</f>
        <v>9.3056474481057752</v>
      </c>
      <c r="BY28" s="399">
        <f>scenarios!AN34</f>
        <v>9.2310830379311444</v>
      </c>
      <c r="BZ28" s="399">
        <f>scenarios!AW34</f>
        <v>13.253997800671115</v>
      </c>
      <c r="CA28" s="399">
        <f>scenarios!BF34</f>
        <v>2.3222251737788593</v>
      </c>
      <c r="CC28" s="79">
        <f t="shared" si="14"/>
        <v>2038</v>
      </c>
      <c r="CD28" s="278">
        <f>IF($BU27&gt;'goal seek'!$F$31,$BU28/$BU27-1,#N/A)</f>
        <v>-7.767656910741183E-2</v>
      </c>
      <c r="CE28" s="278">
        <f>IF(BV27&gt;'goal seek'!$F$28,BV28/BV27-1,#N/A)</f>
        <v>-0.18397052849896189</v>
      </c>
      <c r="CF28" s="278">
        <f>IF(BW27&gt;'goal seek'!$F$28,BW28/BW27-1,#N/A)</f>
        <v>-0.1325576219890725</v>
      </c>
      <c r="CG28" s="402">
        <f>IF(BX27&gt;'goal seek'!$F$28,BX28/BX27-1,#N/A)</f>
        <v>-0.1881443202870553</v>
      </c>
      <c r="CH28" s="402">
        <f>IF(BY27&gt;'goal seek'!$F$28,BY28/BY27-1,#N/A)</f>
        <v>-0.11056783734814879</v>
      </c>
      <c r="CI28" s="402">
        <f>IF(BZ27&gt;'goal seek'!$F$28,BZ28/BZ27-1,#N/A)</f>
        <v>-0.10345097044548857</v>
      </c>
      <c r="CJ28" s="402" t="e">
        <f>IF(CA27&gt;'goal seek'!$F$28,CA28/CA27-1,#N/A)</f>
        <v>#N/A</v>
      </c>
      <c r="CL28" s="79">
        <f t="shared" si="15"/>
        <v>2038</v>
      </c>
      <c r="CM28" s="278">
        <f t="shared" si="9"/>
        <v>-7.767656910741183E-2</v>
      </c>
      <c r="CN28" s="278">
        <f t="shared" si="10"/>
        <v>-0.18397052849896189</v>
      </c>
      <c r="CO28" s="278">
        <f t="shared" si="11"/>
        <v>-0.1325576219890725</v>
      </c>
      <c r="CP28" s="402">
        <f t="shared" si="16"/>
        <v>-0.1881443202870553</v>
      </c>
      <c r="CQ28" s="402">
        <f t="shared" si="17"/>
        <v>-0.11056783734814879</v>
      </c>
      <c r="CR28" s="402">
        <f t="shared" si="18"/>
        <v>-0.10345097044548857</v>
      </c>
      <c r="CS28" s="402">
        <f t="shared" si="12"/>
        <v>0</v>
      </c>
      <c r="CU28" s="79">
        <f t="shared" si="8"/>
        <v>2038</v>
      </c>
      <c r="CV28" s="299">
        <f>scenarios!K34</f>
        <v>1.0029201850060494</v>
      </c>
      <c r="CW28" s="407">
        <f>scenarios!T34</f>
        <v>1.1292553451149849</v>
      </c>
      <c r="CX28" s="211">
        <f>scenarios!AC34</f>
        <v>1.0605823834722548</v>
      </c>
      <c r="CY28" s="407">
        <f>scenarios!AL34</f>
        <v>1.0251114192923747</v>
      </c>
      <c r="CZ28" s="407">
        <f>scenarios!AU34</f>
        <v>1.0168973934796546</v>
      </c>
      <c r="DA28" s="407">
        <f>scenarios!BD34</f>
        <v>1.4600622441923337</v>
      </c>
      <c r="DB28" s="407">
        <f>scenarios!BM34</f>
        <v>0.25581664866247456</v>
      </c>
      <c r="DD28" s="79">
        <f t="shared" si="20"/>
        <v>2030</v>
      </c>
      <c r="DE28" s="299">
        <f t="shared" si="21"/>
        <v>17.385050724423525</v>
      </c>
      <c r="DF28" s="211">
        <f t="shared" si="22"/>
        <v>28.716041753487143</v>
      </c>
      <c r="DG28" s="211">
        <f t="shared" si="23"/>
        <v>24.460621848320489</v>
      </c>
      <c r="DH28" s="211">
        <f t="shared" si="24"/>
        <v>28.673099531232598</v>
      </c>
      <c r="DI28" s="211">
        <f t="shared" si="25"/>
        <v>21.506100896100762</v>
      </c>
      <c r="DJ28" s="211">
        <f t="shared" si="25"/>
        <v>25.488812759474701</v>
      </c>
      <c r="DK28" s="293">
        <f t="shared" si="26"/>
        <v>11.018313333856071</v>
      </c>
    </row>
    <row r="29" spans="70:115" x14ac:dyDescent="0.25">
      <c r="BR29" s="79"/>
      <c r="BS29" s="79"/>
      <c r="BT29" s="79">
        <f t="shared" si="13"/>
        <v>2039</v>
      </c>
      <c r="BU29" s="280">
        <f>scenarios!E35</f>
        <v>8.3970190279777448</v>
      </c>
      <c r="BV29" s="280">
        <f>scenarios!M35</f>
        <v>8.091103852417362</v>
      </c>
      <c r="BW29" s="280">
        <f>scenarios!V35</f>
        <v>8.2890816083755485</v>
      </c>
      <c r="BX29" s="399">
        <f>scenarios!AE35</f>
        <v>7.3719080701785655</v>
      </c>
      <c r="BY29" s="399">
        <f>scenarios!AN35</f>
        <v>8.1858268150268643</v>
      </c>
      <c r="BZ29" s="399">
        <f>scenarios!AW35</f>
        <v>11.724645930820666</v>
      </c>
      <c r="CA29" s="399">
        <f>scenarios!BF35</f>
        <v>1.8899401284246782</v>
      </c>
      <c r="CC29" s="79">
        <f t="shared" si="14"/>
        <v>2039</v>
      </c>
      <c r="CD29" s="278">
        <f>IF($BU28&gt;'goal seek'!$F$31,$BU29/$BU28-1,#N/A)</f>
        <v>-7.767656910741183E-2</v>
      </c>
      <c r="CE29" s="278">
        <f>IF(BV28&gt;'goal seek'!$F$28,BV29/BV28-1,#N/A)</f>
        <v>-0.21070364515530837</v>
      </c>
      <c r="CF29" s="278">
        <f>IF(BW28&gt;'goal seek'!$F$28,BW29/BW28-1,#N/A)</f>
        <v>-0.13903304543290984</v>
      </c>
      <c r="CG29" s="402">
        <f>IF(BX28&gt;'goal seek'!$F$28,BX29/BX28-1,#N/A)</f>
        <v>-0.20780277661613267</v>
      </c>
      <c r="CH29" s="402">
        <f>IF(BY28&gt;'goal seek'!$F$28,BY29/BY28-1,#N/A)</f>
        <v>-0.11323224139673016</v>
      </c>
      <c r="CI29" s="402">
        <f>IF(BZ28&gt;'goal seek'!$F$28,BZ29/BZ28-1,#N/A)</f>
        <v>-0.11538796767968462</v>
      </c>
      <c r="CJ29" s="402" t="e">
        <f>IF(CA28&gt;'goal seek'!$F$28,CA29/CA28-1,#N/A)</f>
        <v>#N/A</v>
      </c>
      <c r="CL29" s="79">
        <f t="shared" si="15"/>
        <v>2039</v>
      </c>
      <c r="CM29" s="278">
        <f t="shared" si="9"/>
        <v>-7.767656910741183E-2</v>
      </c>
      <c r="CN29" s="278">
        <f t="shared" si="10"/>
        <v>-0.21070364515530837</v>
      </c>
      <c r="CO29" s="278">
        <f t="shared" si="11"/>
        <v>-0.13903304543290984</v>
      </c>
      <c r="CP29" s="402">
        <f t="shared" si="16"/>
        <v>-0.20780277661613267</v>
      </c>
      <c r="CQ29" s="402">
        <f t="shared" si="17"/>
        <v>-0.11323224139673016</v>
      </c>
      <c r="CR29" s="402">
        <f t="shared" si="18"/>
        <v>-0.11538796767968462</v>
      </c>
      <c r="CS29" s="402">
        <f t="shared" si="12"/>
        <v>0</v>
      </c>
      <c r="CU29" s="79">
        <f t="shared" si="8"/>
        <v>2039</v>
      </c>
      <c r="CV29" s="299">
        <f>scenarios!K35</f>
        <v>0.91882882553056622</v>
      </c>
      <c r="CW29" s="407">
        <f>scenarios!T35</f>
        <v>0.88535460324577808</v>
      </c>
      <c r="CX29" s="211">
        <f>scenarios!AC35</f>
        <v>0.90701796596797091</v>
      </c>
      <c r="CY29" s="407">
        <f>scenarios!AL35</f>
        <v>0.80665788793296844</v>
      </c>
      <c r="CZ29" s="407">
        <f>scenarios!AU35</f>
        <v>0.89571949442862264</v>
      </c>
      <c r="DA29" s="407">
        <f>scenarios!BD35</f>
        <v>1.2829484623630936</v>
      </c>
      <c r="DB29" s="407">
        <f>scenarios!BM35</f>
        <v>0.20680332660169568</v>
      </c>
      <c r="DD29" s="79">
        <f t="shared" si="20"/>
        <v>2031</v>
      </c>
      <c r="DE29" s="299">
        <f t="shared" si="21"/>
        <v>16.034639630391982</v>
      </c>
      <c r="DF29" s="211">
        <f t="shared" si="22"/>
        <v>26.672392874539952</v>
      </c>
      <c r="DG29" s="211">
        <f t="shared" si="23"/>
        <v>22.326930172905357</v>
      </c>
      <c r="DH29" s="211">
        <f t="shared" si="24"/>
        <v>26.370980374694042</v>
      </c>
      <c r="DI29" s="211">
        <f t="shared" si="25"/>
        <v>19.58663984505209</v>
      </c>
      <c r="DJ29" s="211">
        <f t="shared" si="25"/>
        <v>23.959460889624253</v>
      </c>
      <c r="DK29" s="293">
        <f t="shared" si="26"/>
        <v>9.1760886496662266</v>
      </c>
    </row>
    <row r="30" spans="70:115" x14ac:dyDescent="0.25">
      <c r="BR30" s="79">
        <v>2040</v>
      </c>
      <c r="BS30" s="79">
        <v>2040</v>
      </c>
      <c r="BT30" s="79">
        <f t="shared" si="13"/>
        <v>2040</v>
      </c>
      <c r="BU30" s="280">
        <f>scenarios!E36</f>
        <v>7.744767399154779</v>
      </c>
      <c r="BV30" s="280">
        <f>scenarios!M36</f>
        <v>6.1385473174505822</v>
      </c>
      <c r="BW30" s="280">
        <f>scenarios!V36</f>
        <v>7.0829500351464167</v>
      </c>
      <c r="BX30" s="399">
        <f>scenarios!AE36</f>
        <v>5.6872512398710828</v>
      </c>
      <c r="BY30" s="399">
        <f>scenarios!AN36</f>
        <v>7.2376988711080346</v>
      </c>
      <c r="BZ30" s="399">
        <f>scenarios!AW36</f>
        <v>10.195294060970216</v>
      </c>
      <c r="CA30" s="399">
        <f>scenarios!BF36</f>
        <v>1.5353572783066616</v>
      </c>
      <c r="CC30" s="79">
        <f t="shared" si="14"/>
        <v>2040</v>
      </c>
      <c r="CD30" s="278">
        <f>IF($BU29&gt;'goal seek'!$F$31,$BU30/$BU29-1,#N/A)</f>
        <v>-7.767656910741183E-2</v>
      </c>
      <c r="CE30" s="278">
        <f>IF(BV29&gt;'goal seek'!$F$28,BV30/BV29-1,#N/A)</f>
        <v>-0.24132140318325279</v>
      </c>
      <c r="CF30" s="278">
        <f>IF(BW29&gt;'goal seek'!$F$28,BW30/BW29-1,#N/A)</f>
        <v>-0.14550846887674729</v>
      </c>
      <c r="CG30" s="402">
        <f>IF(BX29&gt;'goal seek'!$F$28,BX30/BX29-1,#N/A)</f>
        <v>-0.22852385220624116</v>
      </c>
      <c r="CH30" s="402">
        <f>IF(BY29&gt;'goal seek'!$F$28,BY30/BY29-1,#N/A)</f>
        <v>-0.11582555621361723</v>
      </c>
      <c r="CI30" s="402">
        <f>IF(BZ29&gt;'goal seek'!$F$28,BZ30/BZ29-1,#N/A)</f>
        <v>-0.13043906646513148</v>
      </c>
      <c r="CJ30" s="402" t="e">
        <f>IF(CA29&gt;'goal seek'!$F$28,CA30/CA29-1,#N/A)</f>
        <v>#N/A</v>
      </c>
      <c r="CL30" s="79">
        <f t="shared" si="15"/>
        <v>2040</v>
      </c>
      <c r="CM30" s="278">
        <f t="shared" si="9"/>
        <v>-7.767656910741183E-2</v>
      </c>
      <c r="CN30" s="278">
        <f t="shared" si="10"/>
        <v>-0.24132140318325279</v>
      </c>
      <c r="CO30" s="278">
        <f t="shared" si="11"/>
        <v>-0.14550846887674729</v>
      </c>
      <c r="CP30" s="402">
        <f t="shared" si="16"/>
        <v>-0.22852385220624116</v>
      </c>
      <c r="CQ30" s="402">
        <f t="shared" si="17"/>
        <v>-0.11582555621361723</v>
      </c>
      <c r="CR30" s="402">
        <f t="shared" si="18"/>
        <v>-0.13043906646513148</v>
      </c>
      <c r="CS30" s="402">
        <f t="shared" si="12"/>
        <v>0</v>
      </c>
      <c r="CU30" s="79">
        <f t="shared" si="8"/>
        <v>2040</v>
      </c>
      <c r="CV30" s="299">
        <f>scenarios!K36</f>
        <v>0.8419280369694212</v>
      </c>
      <c r="CW30" s="407">
        <f>scenarios!T36</f>
        <v>0.66731701889318273</v>
      </c>
      <c r="CX30" s="211">
        <f>scenarios!AC36</f>
        <v>0.76998235217420752</v>
      </c>
      <c r="CY30" s="407">
        <f>scenarios!AL36</f>
        <v>0.61825695019054172</v>
      </c>
      <c r="CZ30" s="407">
        <f>scenarios!AU36</f>
        <v>0.78680498569819002</v>
      </c>
      <c r="DA30" s="407">
        <f>scenarios!BD36</f>
        <v>1.1083230099351249</v>
      </c>
      <c r="DB30" s="407">
        <f>scenarios!BM36</f>
        <v>0.16690757420455452</v>
      </c>
      <c r="DD30" s="79">
        <f t="shared" si="20"/>
        <v>2032</v>
      </c>
      <c r="DE30" s="299">
        <f t="shared" si="21"/>
        <v>14.789123837029395</v>
      </c>
      <c r="DF30" s="211">
        <f t="shared" si="22"/>
        <v>24.498353138093332</v>
      </c>
      <c r="DG30" s="211">
        <f t="shared" si="23"/>
        <v>20.234783365292255</v>
      </c>
      <c r="DH30" s="211">
        <f t="shared" si="24"/>
        <v>23.931438247852281</v>
      </c>
      <c r="DI30" s="211">
        <f t="shared" si="25"/>
        <v>17.771726106477395</v>
      </c>
      <c r="DJ30" s="211">
        <f t="shared" si="25"/>
        <v>22.430109019773806</v>
      </c>
      <c r="DK30" s="293">
        <f t="shared" si="26"/>
        <v>7.6103634168143444</v>
      </c>
    </row>
    <row r="31" spans="70:115" x14ac:dyDescent="0.25">
      <c r="BR31" s="79"/>
      <c r="BS31" s="79"/>
      <c r="BT31" s="79">
        <f t="shared" si="13"/>
        <v>2041</v>
      </c>
      <c r="BU31" s="280">
        <f>scenarios!E37</f>
        <v>7.143180439053503</v>
      </c>
      <c r="BV31" s="280">
        <f>scenarios!M37</f>
        <v>4.4419247372297175</v>
      </c>
      <c r="BW31" s="280">
        <f>scenarios!V37</f>
        <v>6.0064557196926422</v>
      </c>
      <c r="BX31" s="399">
        <f>scenarios!AE37</f>
        <v>4.2636893325199043</v>
      </c>
      <c r="BY31" s="399">
        <f>scenarios!AN37</f>
        <v>6.381094154104435</v>
      </c>
      <c r="BZ31" s="399">
        <f>scenarios!AW37</f>
        <v>8.6659421911197665</v>
      </c>
      <c r="CA31" s="399">
        <f>scenarios!BF37</f>
        <v>1.2452340190892004</v>
      </c>
      <c r="CC31" s="79">
        <f t="shared" si="14"/>
        <v>2041</v>
      </c>
      <c r="CD31" s="278">
        <f>IF($BU30&gt;'goal seek'!$F$31,$BU31/$BU30-1,#N/A)</f>
        <v>-7.767656910741183E-2</v>
      </c>
      <c r="CE31" s="278">
        <f>IF(BV30&gt;'goal seek'!$F$28,BV31/BV30-1,#N/A)</f>
        <v>-0.27638828740437138</v>
      </c>
      <c r="CF31" s="278">
        <f>IF(BW30&gt;'goal seek'!$F$28,BW31/BW30-1,#N/A)</f>
        <v>-0.15198389232058473</v>
      </c>
      <c r="CG31" s="402">
        <f>IF(BX30&gt;'goal seek'!$F$28,BX31/BX30-1,#N/A)</f>
        <v>-0.25030754705738079</v>
      </c>
      <c r="CH31" s="402">
        <f>IF(BY30&gt;'goal seek'!$F$28,BY31/BY30-1,#N/A)</f>
        <v>-0.11835318548869944</v>
      </c>
      <c r="CI31" s="402">
        <f>IF(BZ30&gt;'goal seek'!$F$28,BZ31/BZ30-1,#N/A)</f>
        <v>-0.15000566542804672</v>
      </c>
      <c r="CJ31" s="402" t="e">
        <f>IF(CA30&gt;'goal seek'!$F$28,CA31/CA30-1,#N/A)</f>
        <v>#N/A</v>
      </c>
      <c r="CL31" s="79">
        <f t="shared" si="15"/>
        <v>2041</v>
      </c>
      <c r="CM31" s="278">
        <f t="shared" si="9"/>
        <v>-7.767656910741183E-2</v>
      </c>
      <c r="CN31" s="278">
        <f t="shared" si="10"/>
        <v>-0.27638828740437138</v>
      </c>
      <c r="CO31" s="278">
        <f t="shared" si="11"/>
        <v>-0.15198389232058473</v>
      </c>
      <c r="CP31" s="402">
        <f t="shared" si="16"/>
        <v>-0.25030754705738079</v>
      </c>
      <c r="CQ31" s="402">
        <f t="shared" si="17"/>
        <v>-0.11835318548869944</v>
      </c>
      <c r="CR31" s="402">
        <f t="shared" si="18"/>
        <v>-0.15000566542804672</v>
      </c>
      <c r="CS31" s="402">
        <f t="shared" si="12"/>
        <v>0</v>
      </c>
      <c r="CU31" s="79">
        <f t="shared" si="8"/>
        <v>2041</v>
      </c>
      <c r="CV31" s="299">
        <f>scenarios!K37</f>
        <v>0.77158962860319136</v>
      </c>
      <c r="CW31" s="407">
        <f>scenarios!T37</f>
        <v>0.47980631142177077</v>
      </c>
      <c r="CX31" s="211">
        <f>scenarios!AC37</f>
        <v>0.64880328552826672</v>
      </c>
      <c r="CY31" s="407">
        <f>scenarios!AL37</f>
        <v>0.4605537402600367</v>
      </c>
      <c r="CZ31" s="407">
        <f>scenarios!AU37</f>
        <v>0.68927085217237338</v>
      </c>
      <c r="DA31" s="407">
        <f>scenarios!BD37</f>
        <v>0.9360747882253998</v>
      </c>
      <c r="DB31" s="407">
        <f>scenarios!BM37</f>
        <v>0.13450726360769436</v>
      </c>
      <c r="DD31" s="79">
        <f t="shared" si="20"/>
        <v>2033</v>
      </c>
      <c r="DE31" s="299">
        <f t="shared" si="21"/>
        <v>13.64035543726431</v>
      </c>
      <c r="DF31" s="211">
        <f t="shared" si="22"/>
        <v>22.211353047731443</v>
      </c>
      <c r="DG31" s="211">
        <f t="shared" si="23"/>
        <v>18.207652553847989</v>
      </c>
      <c r="DH31" s="211">
        <f t="shared" si="24"/>
        <v>21.399699625260347</v>
      </c>
      <c r="DI31" s="211">
        <f t="shared" si="25"/>
        <v>16.066983763338975</v>
      </c>
      <c r="DJ31" s="211">
        <f t="shared" si="25"/>
        <v>20.900757149923358</v>
      </c>
      <c r="DK31" s="293">
        <f t="shared" si="26"/>
        <v>6.2888168284638262</v>
      </c>
    </row>
    <row r="32" spans="70:115" x14ac:dyDescent="0.25">
      <c r="BR32" s="79"/>
      <c r="BS32" s="79"/>
      <c r="BT32" s="79">
        <f t="shared" si="13"/>
        <v>2042</v>
      </c>
      <c r="BU32" s="280">
        <f>scenarios!E38</f>
        <v>6.5883226900326513</v>
      </c>
      <c r="BV32" s="280">
        <f>scenarios!M38</f>
        <v>3.0358298680017715</v>
      </c>
      <c r="BW32" s="280">
        <f>scenarios!V38</f>
        <v>5.0546768561808477</v>
      </c>
      <c r="BX32" s="399">
        <f>scenarios!AE38</f>
        <v>3.0990461285146633</v>
      </c>
      <c r="BY32" s="399">
        <f>scenarios!AN38</f>
        <v>5.6101311167465262</v>
      </c>
      <c r="BZ32" s="399">
        <f>scenarios!AW38</f>
        <v>7.1365903212693178</v>
      </c>
      <c r="CA32" s="399">
        <f>scenarios!BF38</f>
        <v>1.0083884535049643</v>
      </c>
      <c r="CC32" s="79">
        <f t="shared" si="14"/>
        <v>2042</v>
      </c>
      <c r="CD32" s="278">
        <f>IF($BU31&gt;'goal seek'!$F$31,$BU32/$BU31-1,#N/A)</f>
        <v>-7.767656910741183E-2</v>
      </c>
      <c r="CE32" s="278">
        <f>IF(BV31&gt;'goal seek'!$F$28,BV32/BV31-1,#N/A)</f>
        <v>-0.31655080903169042</v>
      </c>
      <c r="CF32" s="278">
        <f>IF(BW31&gt;'goal seek'!$F$28,BW32/BW31-1,#N/A)</f>
        <v>-0.15845931576442196</v>
      </c>
      <c r="CG32" s="402">
        <f>IF(BX31&gt;'goal seek'!$F$28,BX32/BX31-1,#N/A)</f>
        <v>-0.27315386116955187</v>
      </c>
      <c r="CH32" s="402">
        <f>IF(BY31&gt;'goal seek'!$F$28,BY32/BY31-1,#N/A)</f>
        <v>-0.12081988115815712</v>
      </c>
      <c r="CI32" s="402">
        <f>IF(BZ31&gt;'goal seek'!$F$28,BZ32/BZ31-1,#N/A)</f>
        <v>-0.17647842971046102</v>
      </c>
      <c r="CJ32" s="402" t="e">
        <f>IF(CA31&gt;'goal seek'!$F$28,CA32/CA31-1,#N/A)</f>
        <v>#N/A</v>
      </c>
      <c r="CL32" s="79">
        <f t="shared" si="15"/>
        <v>2042</v>
      </c>
      <c r="CM32" s="278">
        <f t="shared" si="9"/>
        <v>-7.767656910741183E-2</v>
      </c>
      <c r="CN32" s="278">
        <f t="shared" si="10"/>
        <v>-0.31655080903169042</v>
      </c>
      <c r="CO32" s="278">
        <f t="shared" si="11"/>
        <v>-0.15845931576442196</v>
      </c>
      <c r="CP32" s="402">
        <f t="shared" si="16"/>
        <v>-0.27315386116955187</v>
      </c>
      <c r="CQ32" s="402">
        <f t="shared" si="17"/>
        <v>-0.12081988115815712</v>
      </c>
      <c r="CR32" s="402">
        <f t="shared" si="18"/>
        <v>-0.17647842971046102</v>
      </c>
      <c r="CS32" s="402">
        <f t="shared" si="12"/>
        <v>0</v>
      </c>
      <c r="CU32" s="79">
        <f t="shared" si="8"/>
        <v>2042</v>
      </c>
      <c r="CV32" s="299">
        <f>scenarios!K38</f>
        <v>0.70724244503579714</v>
      </c>
      <c r="CW32" s="407">
        <f>scenarios!T38</f>
        <v>0.325889887240425</v>
      </c>
      <c r="CX32" s="211">
        <f>scenarios!AC38</f>
        <v>0.54260882273413391</v>
      </c>
      <c r="CY32" s="407">
        <f>scenarios!AL38</f>
        <v>0.33267601851459544</v>
      </c>
      <c r="CZ32" s="407">
        <f>scenarios!AU38</f>
        <v>0.60223565764043607</v>
      </c>
      <c r="DA32" s="407">
        <f>scenarios!BD38</f>
        <v>0.76609781055036685</v>
      </c>
      <c r="DB32" s="407">
        <f>scenarios!BM38</f>
        <v>0.10824835833886315</v>
      </c>
      <c r="DD32" s="79">
        <f t="shared" si="20"/>
        <v>2034</v>
      </c>
      <c r="DE32" s="299">
        <f t="shared" si="21"/>
        <v>12.580819425491988</v>
      </c>
      <c r="DF32" s="211">
        <f t="shared" si="22"/>
        <v>19.836547256297379</v>
      </c>
      <c r="DG32" s="211">
        <f t="shared" si="23"/>
        <v>16.265698470124367</v>
      </c>
      <c r="DH32" s="211">
        <f t="shared" si="24"/>
        <v>18.828810597051955</v>
      </c>
      <c r="DI32" s="211">
        <f t="shared" si="25"/>
        <v>14.475390224671248</v>
      </c>
      <c r="DJ32" s="211">
        <f t="shared" si="25"/>
        <v>19.37140528007291</v>
      </c>
      <c r="DK32" s="293">
        <f t="shared" si="26"/>
        <v>5.1799279200617256</v>
      </c>
    </row>
    <row r="33" spans="1:115" x14ac:dyDescent="0.25">
      <c r="BR33" s="79"/>
      <c r="BS33" s="79"/>
      <c r="BT33" s="79">
        <f t="shared" si="13"/>
        <v>2043</v>
      </c>
      <c r="BU33" s="280">
        <f>scenarios!E39</f>
        <v>6.0765643872984008</v>
      </c>
      <c r="BV33" s="280">
        <f>scenarios!M39</f>
        <v>1.9351914947025706</v>
      </c>
      <c r="BW33" s="280">
        <f>scenarios!V39</f>
        <v>4.2209850471246346</v>
      </c>
      <c r="BX33" s="399">
        <f>scenarios!AE39</f>
        <v>2.1784348251611947</v>
      </c>
      <c r="BY33" s="399">
        <f>scenarios!AN39</f>
        <v>4.9187955096093399</v>
      </c>
      <c r="BZ33" s="399">
        <f>scenarios!AW39</f>
        <v>5.6072384514188691</v>
      </c>
      <c r="CA33" s="399">
        <f>scenarios!BF39</f>
        <v>0.81543478321211005</v>
      </c>
      <c r="CC33" s="79">
        <f t="shared" si="14"/>
        <v>2043</v>
      </c>
      <c r="CD33" s="278">
        <f>IF($BU32&gt;'goal seek'!$F$31,$BU33/$BU32-1,#N/A)</f>
        <v>-7.767656910741183E-2</v>
      </c>
      <c r="CE33" s="278">
        <f>IF(BV32&gt;'goal seek'!$F$28,BV33/BV32-1,#N/A)</f>
        <v>-0.36254942508476518</v>
      </c>
      <c r="CF33" s="278">
        <f>IF(BW32&gt;'goal seek'!$F$28,BW33/BW32-1,#N/A)</f>
        <v>-0.16493473920825952</v>
      </c>
      <c r="CG33" s="402">
        <f>IF(BX32&gt;'goal seek'!$F$28,BX33/BX32-1,#N/A)</f>
        <v>-0.29706279454275397</v>
      </c>
      <c r="CH33" s="402">
        <f>IF(BY32&gt;'goal seek'!$F$28,BY33/BY32-1,#N/A)</f>
        <v>-0.12322984842074625</v>
      </c>
      <c r="CI33" s="402">
        <f>IF(BZ32&gt;'goal seek'!$F$28,BZ33/BZ32-1,#N/A)</f>
        <v>-0.21429727657092656</v>
      </c>
      <c r="CJ33" s="402" t="e">
        <f>IF(CA32&gt;'goal seek'!$F$28,CA33/CA32-1,#N/A)</f>
        <v>#N/A</v>
      </c>
      <c r="CL33" s="79">
        <f t="shared" si="15"/>
        <v>2043</v>
      </c>
      <c r="CM33" s="278">
        <f t="shared" si="9"/>
        <v>-7.767656910741183E-2</v>
      </c>
      <c r="CN33" s="278">
        <f t="shared" si="10"/>
        <v>-0.36254942508476518</v>
      </c>
      <c r="CO33" s="278">
        <f t="shared" si="11"/>
        <v>-0.16493473920825952</v>
      </c>
      <c r="CP33" s="402">
        <f t="shared" si="16"/>
        <v>-0.29706279454275397</v>
      </c>
      <c r="CQ33" s="402">
        <f t="shared" si="17"/>
        <v>-0.12322984842074625</v>
      </c>
      <c r="CR33" s="402">
        <f t="shared" si="18"/>
        <v>-0.21429727657092656</v>
      </c>
      <c r="CS33" s="402">
        <f t="shared" si="12"/>
        <v>0</v>
      </c>
      <c r="CU33" s="79">
        <f t="shared" si="8"/>
        <v>2043</v>
      </c>
      <c r="CV33" s="299">
        <f>scenarios!K39</f>
        <v>0.64836617152091902</v>
      </c>
      <c r="CW33" s="407">
        <f>scenarios!T39</f>
        <v>0.20648389790830263</v>
      </c>
      <c r="CX33" s="211">
        <f>scenarios!AC39</f>
        <v>0.45037684793923216</v>
      </c>
      <c r="CY33" s="407">
        <f>scenarios!AL39</f>
        <v>0.23243783122745126</v>
      </c>
      <c r="CZ33" s="407">
        <f>scenarios!AU39</f>
        <v>0.52483285122855139</v>
      </c>
      <c r="DA33" s="407">
        <f>scenarios!BD39</f>
        <v>0.59828934506981779</v>
      </c>
      <c r="DB33" s="407">
        <f>scenarios!BM39</f>
        <v>8.7006455427568158E-2</v>
      </c>
      <c r="DD33" s="79">
        <f t="shared" si="20"/>
        <v>2035</v>
      </c>
      <c r="DE33" s="299">
        <f t="shared" si="21"/>
        <v>11.603584535959891</v>
      </c>
      <c r="DF33" s="211">
        <f t="shared" si="22"/>
        <v>17.407460879574462</v>
      </c>
      <c r="DG33" s="211">
        <f t="shared" si="23"/>
        <v>14.425538016544882</v>
      </c>
      <c r="DH33" s="211">
        <f t="shared" si="24"/>
        <v>16.276665737191337</v>
      </c>
      <c r="DI33" s="211">
        <f t="shared" si="25"/>
        <v>12.997724671281137</v>
      </c>
      <c r="DJ33" s="211">
        <f t="shared" si="25"/>
        <v>17.842053410222462</v>
      </c>
      <c r="DK33" s="293">
        <f t="shared" si="26"/>
        <v>4.2541965278203868</v>
      </c>
    </row>
    <row r="34" spans="1:115" x14ac:dyDescent="0.25">
      <c r="BR34" s="79"/>
      <c r="BS34" s="79"/>
      <c r="BT34" s="79">
        <f t="shared" si="13"/>
        <v>2044</v>
      </c>
      <c r="BU34" s="280">
        <f>scenarios!E40</f>
        <v>5.6045577137327793</v>
      </c>
      <c r="BV34" s="280">
        <f>scenarios!M40</f>
        <v>0.83455312140336968</v>
      </c>
      <c r="BW34" s="280">
        <f>scenarios!V40</f>
        <v>3.4974653136449327</v>
      </c>
      <c r="BX34" s="399">
        <f>scenarios!AE40</f>
        <v>1.2578235218077261</v>
      </c>
      <c r="BY34" s="399">
        <f>scenarios!AN40</f>
        <v>4.3010595743813465</v>
      </c>
      <c r="BZ34" s="399">
        <f>scenarios!AW40</f>
        <v>4.0778865815684204</v>
      </c>
      <c r="CA34" s="399">
        <f>scenarios!BF40</f>
        <v>0.65853513342908965</v>
      </c>
      <c r="CC34" s="79">
        <f t="shared" si="14"/>
        <v>2044</v>
      </c>
      <c r="CD34" s="278">
        <f>IF($BU33&gt;'goal seek'!$F$31,$BU34/$BU33-1,#N/A)</f>
        <v>-7.7676569107411719E-2</v>
      </c>
      <c r="CE34" s="278" t="e">
        <f>IF(BV33&gt;'goal seek'!$F$28,BV34/BV33-1,#N/A)</f>
        <v>#N/A</v>
      </c>
      <c r="CF34" s="278">
        <f>IF(BW33&gt;'goal seek'!$F$28,BW34/BW33-1,#N/A)</f>
        <v>-0.17141016265209674</v>
      </c>
      <c r="CG34" s="402" t="e">
        <f>IF(BX33&gt;'goal seek'!$F$28,BX34/BX33-1,#N/A)</f>
        <v>#N/A</v>
      </c>
      <c r="CH34" s="402">
        <f>IF(BY33&gt;'goal seek'!$F$28,BY34/BY33-1,#N/A)</f>
        <v>-0.12558682995078507</v>
      </c>
      <c r="CI34" s="402">
        <f>IF(BZ33&gt;'goal seek'!$F$28,BZ34/BZ33-1,#N/A)</f>
        <v>-0.27274600199380816</v>
      </c>
      <c r="CJ34" s="402" t="e">
        <f>IF(CA33&gt;'goal seek'!$F$28,CA34/CA33-1,#N/A)</f>
        <v>#N/A</v>
      </c>
      <c r="CL34" s="79">
        <f t="shared" si="15"/>
        <v>2044</v>
      </c>
      <c r="CM34" s="278">
        <f t="shared" si="9"/>
        <v>-7.7676569107411719E-2</v>
      </c>
      <c r="CN34" s="278">
        <f t="shared" si="10"/>
        <v>0</v>
      </c>
      <c r="CO34" s="278">
        <f t="shared" si="11"/>
        <v>-0.17141016265209674</v>
      </c>
      <c r="CP34" s="402">
        <f t="shared" si="16"/>
        <v>0</v>
      </c>
      <c r="CQ34" s="402">
        <f t="shared" si="17"/>
        <v>-0.12558682995078507</v>
      </c>
      <c r="CR34" s="402">
        <f t="shared" si="18"/>
        <v>-0.27274600199380816</v>
      </c>
      <c r="CS34" s="402">
        <f t="shared" si="12"/>
        <v>0</v>
      </c>
      <c r="CU34" s="79">
        <f t="shared" si="8"/>
        <v>2044</v>
      </c>
      <c r="CV34" s="299">
        <f>scenarios!K40</f>
        <v>0.5944868521643315</v>
      </c>
      <c r="CW34" s="407">
        <f>scenarios!T40</f>
        <v>8.8522749420769292E-2</v>
      </c>
      <c r="CX34" s="211">
        <f>scenarios!AC40</f>
        <v>0.3709832695215326</v>
      </c>
      <c r="CY34" s="407">
        <f>scenarios!AL40</f>
        <v>0.13341990291678188</v>
      </c>
      <c r="CZ34" s="407">
        <f>scenarios!AU40</f>
        <v>0.4562221495337675</v>
      </c>
      <c r="DA34" s="407">
        <f>scenarios!BD40</f>
        <v>0.43254973562314591</v>
      </c>
      <c r="DB34" s="407">
        <f>scenarios!BM40</f>
        <v>6.9852162919584751E-2</v>
      </c>
      <c r="DD34" s="79">
        <f t="shared" si="20"/>
        <v>2036</v>
      </c>
      <c r="DE34" s="299">
        <f t="shared" si="21"/>
        <v>10.702257899858708</v>
      </c>
      <c r="DF34" s="211">
        <f t="shared" si="22"/>
        <v>14.966076857873905</v>
      </c>
      <c r="DG34" s="211">
        <f t="shared" si="23"/>
        <v>12.700145935283334</v>
      </c>
      <c r="DH34" s="211">
        <f t="shared" si="24"/>
        <v>13.80236407512988</v>
      </c>
      <c r="DI34" s="211">
        <f t="shared" si="25"/>
        <v>11.632962847078664</v>
      </c>
      <c r="DJ34" s="211">
        <f t="shared" si="25"/>
        <v>16.312701540372014</v>
      </c>
      <c r="DK34" s="293">
        <f t="shared" si="26"/>
        <v>3.4847864207506483</v>
      </c>
    </row>
    <row r="35" spans="1:115" x14ac:dyDescent="0.25">
      <c r="BR35" s="79">
        <v>2045</v>
      </c>
      <c r="BS35" s="79"/>
      <c r="BT35" s="79">
        <f t="shared" si="13"/>
        <v>2045</v>
      </c>
      <c r="BU35" s="280">
        <f>scenarios!E41</f>
        <v>5.1692148991655369</v>
      </c>
      <c r="BV35" s="280">
        <f>scenarios!M41</f>
        <v>-0.26608525189583121</v>
      </c>
      <c r="BW35" s="280">
        <f>scenarios!V41</f>
        <v>2.8753166464770041</v>
      </c>
      <c r="BX35" s="399">
        <f>scenarios!AE41</f>
        <v>0.33721221845425742</v>
      </c>
      <c r="BY35" s="399">
        <f>scenarios!AN41</f>
        <v>3.7509791122174319</v>
      </c>
      <c r="BZ35" s="399">
        <f>scenarios!AW41</f>
        <v>2.5485347117179717</v>
      </c>
      <c r="CA35" s="399">
        <f>scenarios!BF41</f>
        <v>0.53117344366821539</v>
      </c>
      <c r="CC35" s="79">
        <f t="shared" si="14"/>
        <v>2045</v>
      </c>
      <c r="CD35" s="278">
        <f>IF($BU34&gt;'goal seek'!$F$31,$BU35/$BU34-1,#N/A)</f>
        <v>-7.767656910741183E-2</v>
      </c>
      <c r="CE35" s="278" t="e">
        <f>IF(BV34&gt;'goal seek'!$F$28,BV35/BV34-1,#N/A)</f>
        <v>#N/A</v>
      </c>
      <c r="CF35" s="278">
        <f>IF(BW34&gt;'goal seek'!$F$28,BW35/BW34-1,#N/A)</f>
        <v>-0.17788558609593408</v>
      </c>
      <c r="CG35" s="402" t="e">
        <f>IF(BX34&gt;'goal seek'!$F$28,BX35/BX34-1,#N/A)</f>
        <v>#N/A</v>
      </c>
      <c r="CH35" s="402">
        <f>IF(BY34&gt;'goal seek'!$F$28,BY35/BY34-1,#N/A)</f>
        <v>-0.12789417413336734</v>
      </c>
      <c r="CI35" s="402">
        <f>IF(BZ34&gt;'goal seek'!$F$28,BZ35/BZ34-1,#N/A)</f>
        <v>-0.37503541093147208</v>
      </c>
      <c r="CJ35" s="402" t="e">
        <f>IF(CA34&gt;'goal seek'!$F$28,CA35/CA34-1,#N/A)</f>
        <v>#N/A</v>
      </c>
      <c r="CL35" s="79">
        <f t="shared" si="15"/>
        <v>2045</v>
      </c>
      <c r="CM35" s="278">
        <f t="shared" si="9"/>
        <v>-7.767656910741183E-2</v>
      </c>
      <c r="CN35" s="278">
        <f t="shared" si="10"/>
        <v>0</v>
      </c>
      <c r="CO35" s="278">
        <f t="shared" si="11"/>
        <v>-0.17788558609593408</v>
      </c>
      <c r="CP35" s="402">
        <f t="shared" si="16"/>
        <v>0</v>
      </c>
      <c r="CQ35" s="402">
        <f t="shared" si="17"/>
        <v>-0.12789417413336734</v>
      </c>
      <c r="CR35" s="402">
        <f t="shared" si="18"/>
        <v>-0.37503541093147208</v>
      </c>
      <c r="CS35" s="402">
        <f t="shared" si="12"/>
        <v>0</v>
      </c>
      <c r="CU35" s="79">
        <f t="shared" si="8"/>
        <v>2045</v>
      </c>
      <c r="CV35" s="299">
        <f>scenarios!K41</f>
        <v>0.54517213126958797</v>
      </c>
      <c r="CW35" s="407">
        <f>scenarios!T41</f>
        <v>-2.8062726488479472E-2</v>
      </c>
      <c r="CX35" s="211">
        <f>scenarios!AC41</f>
        <v>0.30324576068366593</v>
      </c>
      <c r="CY35" s="407">
        <f>scenarios!AL41</f>
        <v>3.556414415166418E-2</v>
      </c>
      <c r="CZ35" s="407">
        <f>scenarios!AU41</f>
        <v>0.39559765203133573</v>
      </c>
      <c r="DA35" s="407">
        <f>scenarios!BD41</f>
        <v>0.26878164818144817</v>
      </c>
      <c r="DB35" s="407">
        <f>scenarios!BM41</f>
        <v>5.602029786092938E-2</v>
      </c>
      <c r="DD35" s="79">
        <f t="shared" si="20"/>
        <v>2037</v>
      </c>
      <c r="DE35" s="299">
        <f t="shared" si="21"/>
        <v>9.8709432244949884</v>
      </c>
      <c r="DF35" s="211">
        <f t="shared" si="22"/>
        <v>12.562088089886416</v>
      </c>
      <c r="DG35" s="211">
        <f t="shared" si="23"/>
        <v>11.098883613917479</v>
      </c>
      <c r="DH35" s="211">
        <f t="shared" si="24"/>
        <v>11.462194181355065</v>
      </c>
      <c r="DI35" s="211">
        <f t="shared" si="25"/>
        <v>10.378625178573007</v>
      </c>
      <c r="DJ35" s="211">
        <f t="shared" si="25"/>
        <v>14.783349670521565</v>
      </c>
      <c r="DK35" s="293">
        <f t="shared" si="26"/>
        <v>2.8477861737325547</v>
      </c>
    </row>
    <row r="36" spans="1:115" x14ac:dyDescent="0.25">
      <c r="BR36" s="79"/>
      <c r="BS36" s="79"/>
      <c r="BT36" s="79">
        <f t="shared" si="13"/>
        <v>2046</v>
      </c>
      <c r="BU36" s="280">
        <f>scenarios!E42</f>
        <v>4.7676880208194419</v>
      </c>
      <c r="BV36" s="280">
        <f>scenarios!M42</f>
        <v>-1.3667236251950321</v>
      </c>
      <c r="BW36" s="280">
        <f>scenarios!V42</f>
        <v>2.2531679793090755</v>
      </c>
      <c r="BX36" s="399">
        <f>scenarios!AE42</f>
        <v>-0.58339908489921122</v>
      </c>
      <c r="BY36" s="399">
        <f>scenarios!AN42</f>
        <v>3.2627708351819971</v>
      </c>
      <c r="BZ36" s="399">
        <f>scenarios!AW42</f>
        <v>1.0191828418675228</v>
      </c>
      <c r="CA36" s="399">
        <f>scenarios!BF42</f>
        <v>0.42795377134786117</v>
      </c>
      <c r="CC36" s="79">
        <f t="shared" si="14"/>
        <v>2046</v>
      </c>
      <c r="CD36" s="278">
        <f>IF($BU35&gt;'goal seek'!$F$31,$BU36/$BU35-1,#N/A)</f>
        <v>-7.7676569107411941E-2</v>
      </c>
      <c r="CE36" s="278" t="e">
        <f>IF(BV35&gt;'goal seek'!$F$28,BV36/BV35-1,#N/A)</f>
        <v>#N/A</v>
      </c>
      <c r="CF36" s="278" t="e">
        <f>IF(BW35&gt;'goal seek'!$F$28,BW36/BW35-1,#N/A)</f>
        <v>#N/A</v>
      </c>
      <c r="CG36" s="402" t="e">
        <f>IF(BX35&gt;'goal seek'!$F$28,BX36/BX35-1,#N/A)</f>
        <v>#N/A</v>
      </c>
      <c r="CH36" s="402">
        <f>IF(BY35&gt;'goal seek'!$F$28,BY36/BY35-1,#N/A)</f>
        <v>-0.13015489087776477</v>
      </c>
      <c r="CI36" s="402" t="e">
        <f>IF(BZ35&gt;'goal seek'!$F$28,BZ36/BZ35-1,#N/A)</f>
        <v>#N/A</v>
      </c>
      <c r="CJ36" s="402" t="e">
        <f>IF(CA35&gt;'goal seek'!$F$28,CA36/CA35-1,#N/A)</f>
        <v>#N/A</v>
      </c>
      <c r="CL36" s="79">
        <f t="shared" si="15"/>
        <v>2046</v>
      </c>
      <c r="CM36" s="278">
        <f t="shared" si="9"/>
        <v>-7.7676569107411941E-2</v>
      </c>
      <c r="CN36" s="278">
        <f t="shared" si="10"/>
        <v>0</v>
      </c>
      <c r="CO36" s="278">
        <f t="shared" si="11"/>
        <v>0</v>
      </c>
      <c r="CP36" s="402">
        <f t="shared" si="16"/>
        <v>0</v>
      </c>
      <c r="CQ36" s="402">
        <f t="shared" si="17"/>
        <v>-0.13015489087776477</v>
      </c>
      <c r="CR36" s="402">
        <f t="shared" si="18"/>
        <v>0</v>
      </c>
      <c r="CS36" s="402">
        <f t="shared" si="12"/>
        <v>0</v>
      </c>
      <c r="CU36" s="79">
        <f t="shared" si="8"/>
        <v>2046</v>
      </c>
      <c r="CV36" s="299">
        <f>scenarios!K42</f>
        <v>0.50002733201754435</v>
      </c>
      <c r="CW36" s="407">
        <f>scenarios!T42</f>
        <v>-0.14333974138562858</v>
      </c>
      <c r="CX36" s="211">
        <f>scenarios!AC42</f>
        <v>0.23630857731493041</v>
      </c>
      <c r="CY36" s="407">
        <f>scenarios!AL42</f>
        <v>-6.118594309228545E-2</v>
      </c>
      <c r="CZ36" s="407">
        <f>scenarios!AU42</f>
        <v>0.34219407573994343</v>
      </c>
      <c r="DA36" s="407">
        <f>scenarios!BD42</f>
        <v>0.10689023170804828</v>
      </c>
      <c r="DB36" s="407">
        <f>scenarios!BM42</f>
        <v>4.4883092513494233E-2</v>
      </c>
      <c r="DD36" s="79">
        <f t="shared" si="20"/>
        <v>2038</v>
      </c>
      <c r="DE36" s="299">
        <f t="shared" si="21"/>
        <v>9.1042022209621649</v>
      </c>
      <c r="DF36" s="211">
        <f t="shared" si="22"/>
        <v>10.251034104939498</v>
      </c>
      <c r="DG36" s="211">
        <f t="shared" si="23"/>
        <v>9.6276419953230956</v>
      </c>
      <c r="DH36" s="211">
        <f t="shared" si="24"/>
        <v>9.3056474481057752</v>
      </c>
      <c r="DI36" s="211">
        <f t="shared" si="25"/>
        <v>9.2310830379311444</v>
      </c>
      <c r="DJ36" s="211">
        <f t="shared" si="25"/>
        <v>13.253997800671115</v>
      </c>
      <c r="DK36" s="293">
        <f t="shared" si="26"/>
        <v>2.3222251737788593</v>
      </c>
    </row>
    <row r="37" spans="1:115" x14ac:dyDescent="0.25">
      <c r="B37" s="890"/>
      <c r="C37" s="890"/>
      <c r="BR37" s="79"/>
      <c r="BS37" s="79"/>
      <c r="BT37" s="79">
        <f t="shared" si="13"/>
        <v>2047</v>
      </c>
      <c r="BU37" s="280">
        <f>scenarios!E43</f>
        <v>4.397350372787681</v>
      </c>
      <c r="BV37" s="280">
        <f>scenarios!M43</f>
        <v>-2.467361998494233</v>
      </c>
      <c r="BW37" s="280">
        <f>scenarios!V43</f>
        <v>1.6310193121411469</v>
      </c>
      <c r="BX37" s="399">
        <f>scenarios!AE43</f>
        <v>-1.5040103882526799</v>
      </c>
      <c r="BY37" s="399">
        <f>scenarios!AN43</f>
        <v>2.8308723206342146</v>
      </c>
      <c r="BZ37" s="399">
        <f>scenarios!AW43</f>
        <v>-0.51016902798292607</v>
      </c>
      <c r="CA37" s="399">
        <f>scenarios!BF43</f>
        <v>0.3444232447171347</v>
      </c>
      <c r="CC37" s="79">
        <f t="shared" si="14"/>
        <v>2047</v>
      </c>
      <c r="CD37" s="278">
        <f>IF($BU36&gt;'goal seek'!$F$31,$BU37/$BU36-1,#N/A)</f>
        <v>-7.767656910741183E-2</v>
      </c>
      <c r="CE37" s="278" t="e">
        <f>IF(BV36&gt;'goal seek'!$F$28,BV37/BV36-1,#N/A)</f>
        <v>#N/A</v>
      </c>
      <c r="CF37" s="278" t="e">
        <f>IF(BW36&gt;'goal seek'!$F$28,BW37/BW36-1,#N/A)</f>
        <v>#N/A</v>
      </c>
      <c r="CG37" s="402" t="e">
        <f>IF(BX36&gt;'goal seek'!$F$28,BX37/BX36-1,#N/A)</f>
        <v>#N/A</v>
      </c>
      <c r="CH37" s="402">
        <f>IF(BY36&gt;'goal seek'!$F$28,BY37/BY36-1,#N/A)</f>
        <v>-0.1323716976658863</v>
      </c>
      <c r="CI37" s="402" t="e">
        <f>IF(BZ36&gt;'goal seek'!$F$28,BZ37/BZ36-1,#N/A)</f>
        <v>#N/A</v>
      </c>
      <c r="CJ37" s="402" t="e">
        <f>IF(CA36&gt;'goal seek'!$F$28,CA37/CA36-1,#N/A)</f>
        <v>#N/A</v>
      </c>
      <c r="CL37" s="79">
        <f t="shared" si="15"/>
        <v>2047</v>
      </c>
      <c r="CM37" s="278">
        <f t="shared" si="9"/>
        <v>-7.767656910741183E-2</v>
      </c>
      <c r="CN37" s="278">
        <f t="shared" si="10"/>
        <v>0</v>
      </c>
      <c r="CO37" s="278">
        <f t="shared" si="11"/>
        <v>0</v>
      </c>
      <c r="CP37" s="402">
        <f t="shared" si="16"/>
        <v>0</v>
      </c>
      <c r="CQ37" s="402">
        <f t="shared" si="17"/>
        <v>-0.1323716976658863</v>
      </c>
      <c r="CR37" s="402">
        <f t="shared" si="18"/>
        <v>0</v>
      </c>
      <c r="CS37" s="402">
        <f t="shared" si="12"/>
        <v>0</v>
      </c>
      <c r="CU37" s="79">
        <f t="shared" si="8"/>
        <v>2047</v>
      </c>
      <c r="CV37" s="299">
        <f>scenarios!K43</f>
        <v>0.45869242906004604</v>
      </c>
      <c r="CW37" s="407">
        <f>scenarios!T43</f>
        <v>-0.25737322990305517</v>
      </c>
      <c r="CX37" s="211">
        <f>scenarios!AC43</f>
        <v>0.17013340914556016</v>
      </c>
      <c r="CY37" s="407">
        <f>scenarios!AL43</f>
        <v>-0.15688496931888085</v>
      </c>
      <c r="CZ37" s="407">
        <f>scenarios!AU43</f>
        <v>0.29529138936622396</v>
      </c>
      <c r="DA37" s="407">
        <f>scenarios!BD43</f>
        <v>-5.3216289546730133E-2</v>
      </c>
      <c r="DB37" s="407">
        <f>scenarios!BM43</f>
        <v>3.5927165531704421E-2</v>
      </c>
      <c r="DD37" s="79">
        <f t="shared" si="20"/>
        <v>2039</v>
      </c>
      <c r="DE37" s="299">
        <f t="shared" si="21"/>
        <v>8.3970190279777448</v>
      </c>
      <c r="DF37" s="211">
        <f t="shared" si="22"/>
        <v>8.091103852417362</v>
      </c>
      <c r="DG37" s="211">
        <f t="shared" si="23"/>
        <v>8.2890816083755485</v>
      </c>
      <c r="DH37" s="211">
        <f t="shared" si="24"/>
        <v>7.3719080701785655</v>
      </c>
      <c r="DI37" s="211">
        <f t="shared" si="25"/>
        <v>8.1858268150268643</v>
      </c>
      <c r="DJ37" s="211">
        <f t="shared" si="25"/>
        <v>11.724645930820666</v>
      </c>
      <c r="DK37" s="293">
        <f t="shared" si="26"/>
        <v>1.8899401284246782</v>
      </c>
    </row>
    <row r="38" spans="1:115" x14ac:dyDescent="0.25">
      <c r="B38" s="890"/>
      <c r="C38" s="890"/>
      <c r="BR38" s="79"/>
      <c r="BS38" s="79"/>
      <c r="BT38" s="79">
        <f t="shared" si="13"/>
        <v>2048</v>
      </c>
      <c r="BU38" s="280">
        <f>scenarios!E44</f>
        <v>4.0557792826663359</v>
      </c>
      <c r="BV38" s="280">
        <f>scenarios!M44</f>
        <v>-3.5680003717934339</v>
      </c>
      <c r="BW38" s="280">
        <f>scenarios!V44</f>
        <v>1.0088706449732183</v>
      </c>
      <c r="BX38" s="399">
        <f>scenarios!AE44</f>
        <v>-2.4246216916061485</v>
      </c>
      <c r="BY38" s="399">
        <f>scenarios!AN44</f>
        <v>2.3989738060864321</v>
      </c>
      <c r="BZ38" s="399">
        <f>scenarios!AW44</f>
        <v>-2.0395208978333752</v>
      </c>
      <c r="CA38" s="399">
        <f>scenarios!BF44</f>
        <v>0.27691860830715598</v>
      </c>
      <c r="CC38" s="79">
        <f t="shared" si="14"/>
        <v>2048</v>
      </c>
      <c r="CD38" s="278">
        <f>IF($BU37&gt;'goal seek'!$F$31,$BU38/$BU37-1,#N/A)</f>
        <v>-7.7676569107411719E-2</v>
      </c>
      <c r="CE38" s="278" t="e">
        <f>IF(BV37&gt;'goal seek'!$F$28,BV38/BV37-1,#N/A)</f>
        <v>#N/A</v>
      </c>
      <c r="CF38" s="278" t="e">
        <f>IF(BW37&gt;'goal seek'!$F$28,BW38/BW37-1,#N/A)</f>
        <v>#N/A</v>
      </c>
      <c r="CG38" s="402" t="e">
        <f>IF(BX37&gt;'goal seek'!$F$28,BX38/BX37-1,#N/A)</f>
        <v>#N/A</v>
      </c>
      <c r="CH38" s="402" t="e">
        <f>IF(BY37&gt;'goal seek'!$F$28,BY38/BY37-1,#N/A)</f>
        <v>#N/A</v>
      </c>
      <c r="CI38" s="402" t="e">
        <f>IF(BZ37&gt;'goal seek'!$F$28,BZ38/BZ37-1,#N/A)</f>
        <v>#N/A</v>
      </c>
      <c r="CJ38" s="402" t="e">
        <f>IF(CA37&gt;'goal seek'!$F$28,CA38/CA37-1,#N/A)</f>
        <v>#N/A</v>
      </c>
      <c r="CL38" s="79">
        <f t="shared" si="15"/>
        <v>2048</v>
      </c>
      <c r="CM38" s="278">
        <f t="shared" si="9"/>
        <v>-7.7676569107411719E-2</v>
      </c>
      <c r="CN38" s="278">
        <f t="shared" si="10"/>
        <v>0</v>
      </c>
      <c r="CO38" s="278">
        <f t="shared" si="11"/>
        <v>0</v>
      </c>
      <c r="CP38" s="402">
        <f t="shared" si="16"/>
        <v>0</v>
      </c>
      <c r="CQ38" s="402">
        <f t="shared" si="17"/>
        <v>0</v>
      </c>
      <c r="CR38" s="402">
        <f t="shared" si="18"/>
        <v>0</v>
      </c>
      <c r="CS38" s="402">
        <f t="shared" si="12"/>
        <v>0</v>
      </c>
      <c r="CU38" s="79">
        <f t="shared" si="8"/>
        <v>2048</v>
      </c>
      <c r="CV38" s="299">
        <f>scenarios!K44</f>
        <v>0.4208393457450702</v>
      </c>
      <c r="CW38" s="407">
        <f>scenarios!T44</f>
        <v>-0.37022600034007996</v>
      </c>
      <c r="CX38" s="211">
        <f>scenarios!AC44</f>
        <v>0.10468332534427645</v>
      </c>
      <c r="CY38" s="407">
        <f>scenarios!AL44</f>
        <v>-0.25158573365561077</v>
      </c>
      <c r="CZ38" s="407">
        <f>scenarios!AU44</f>
        <v>0.24892443514560755</v>
      </c>
      <c r="DA38" s="407">
        <f>scenarios!BD44</f>
        <v>-0.21162656556431944</v>
      </c>
      <c r="DB38" s="407">
        <f>scenarios!BM44</f>
        <v>2.873387278313743E-2</v>
      </c>
      <c r="DD38" s="79">
        <f t="shared" si="20"/>
        <v>2040</v>
      </c>
      <c r="DE38" s="299">
        <f t="shared" si="21"/>
        <v>7.744767399154779</v>
      </c>
      <c r="DF38" s="211">
        <f t="shared" si="22"/>
        <v>6.1385473174505822</v>
      </c>
      <c r="DG38" s="211">
        <f t="shared" si="23"/>
        <v>7.0829500351464167</v>
      </c>
      <c r="DH38" s="211">
        <f t="shared" si="24"/>
        <v>5.6872512398710828</v>
      </c>
      <c r="DI38" s="211">
        <f t="shared" si="25"/>
        <v>7.2376988711080346</v>
      </c>
      <c r="DJ38" s="211">
        <f t="shared" si="25"/>
        <v>10.195294060970216</v>
      </c>
      <c r="DK38" s="293">
        <f t="shared" si="26"/>
        <v>1.5353572783066616</v>
      </c>
    </row>
    <row r="39" spans="1:115" x14ac:dyDescent="0.25">
      <c r="B39" s="890"/>
      <c r="C39" s="890"/>
      <c r="F39" s="77"/>
      <c r="G39" s="186"/>
      <c r="H39" s="186"/>
      <c r="I39" s="186"/>
      <c r="J39" s="186"/>
      <c r="K39" s="186"/>
      <c r="L39" s="186"/>
      <c r="M39" s="186"/>
      <c r="N39" s="186"/>
      <c r="O39" s="186"/>
      <c r="BR39" s="79"/>
      <c r="BS39" s="79"/>
      <c r="BT39" s="79">
        <f t="shared" si="13"/>
        <v>2049</v>
      </c>
      <c r="BU39" s="280">
        <f>scenarios!E45</f>
        <v>3.7407402629318951</v>
      </c>
      <c r="BV39" s="280">
        <f>scenarios!M45</f>
        <v>-4.3499999999999996</v>
      </c>
      <c r="BW39" s="280">
        <f>scenarios!V45</f>
        <v>0.38672197780528972</v>
      </c>
      <c r="BX39" s="399">
        <f>scenarios!AE45</f>
        <v>-3.3452329949596171</v>
      </c>
      <c r="BY39" s="399">
        <f>scenarios!AN45</f>
        <v>1.9670752915386496</v>
      </c>
      <c r="BZ39" s="399">
        <f>scenarios!AW45</f>
        <v>-3.5688727676838239</v>
      </c>
      <c r="CA39" s="399">
        <f>scenarios!BF45</f>
        <v>0.22243457015738544</v>
      </c>
      <c r="CC39" s="79">
        <f t="shared" si="14"/>
        <v>2049</v>
      </c>
      <c r="CD39" s="278">
        <f>IF($BU38&gt;'goal seek'!$F$31,$BU39/$BU38-1,#N/A)</f>
        <v>-7.767656910741183E-2</v>
      </c>
      <c r="CE39" s="278" t="e">
        <f>IF(BV38&gt;'goal seek'!$F$28,BV39/BV38-1,#N/A)</f>
        <v>#N/A</v>
      </c>
      <c r="CF39" s="278" t="e">
        <f>IF(BW38&gt;'goal seek'!$F$28,BW39/BW38-1,#N/A)</f>
        <v>#N/A</v>
      </c>
      <c r="CG39" s="402" t="e">
        <f>IF(BX38&gt;'goal seek'!$F$28,BX39/BX38-1,#N/A)</f>
        <v>#N/A</v>
      </c>
      <c r="CH39" s="402" t="e">
        <f>IF(BY38&gt;'goal seek'!$F$28,BY39/BY38-1,#N/A)</f>
        <v>#N/A</v>
      </c>
      <c r="CI39" s="402" t="e">
        <f>IF(BZ38&gt;'goal seek'!$F$28,BZ39/BZ38-1,#N/A)</f>
        <v>#N/A</v>
      </c>
      <c r="CJ39" s="402" t="e">
        <f>IF(CA38&gt;'goal seek'!$F$28,CA39/CA38-1,#N/A)</f>
        <v>#N/A</v>
      </c>
      <c r="CL39" s="79">
        <f t="shared" si="15"/>
        <v>2049</v>
      </c>
      <c r="CM39" s="278">
        <f t="shared" si="9"/>
        <v>-7.767656910741183E-2</v>
      </c>
      <c r="CN39" s="278">
        <f t="shared" si="10"/>
        <v>0</v>
      </c>
      <c r="CO39" s="278">
        <f t="shared" si="11"/>
        <v>0</v>
      </c>
      <c r="CP39" s="402">
        <f t="shared" si="16"/>
        <v>0</v>
      </c>
      <c r="CQ39" s="402">
        <f t="shared" si="17"/>
        <v>0</v>
      </c>
      <c r="CR39" s="402">
        <f t="shared" si="18"/>
        <v>0</v>
      </c>
      <c r="CS39" s="402">
        <f t="shared" si="12"/>
        <v>0</v>
      </c>
      <c r="CU39" s="79">
        <f t="shared" si="8"/>
        <v>2049</v>
      </c>
      <c r="CV39" s="299">
        <f>scenarios!K45</f>
        <v>0.38616881994772534</v>
      </c>
      <c r="CW39" s="407">
        <f>scenarios!T45</f>
        <v>-0.44906469006110433</v>
      </c>
      <c r="CX39" s="211">
        <f>scenarios!AC45</f>
        <v>3.9922571288034413E-2</v>
      </c>
      <c r="CY39" s="407">
        <f>scenarios!AL45</f>
        <v>-0.34533931449740696</v>
      </c>
      <c r="CZ39" s="407">
        <f>scenarios!AU45</f>
        <v>0.20306759910842759</v>
      </c>
      <c r="DA39" s="407">
        <f>scenarios!BD45</f>
        <v>-0.36842637776723036</v>
      </c>
      <c r="DB39" s="407">
        <f>scenarios!BM45</f>
        <v>2.2962646277379598E-2</v>
      </c>
      <c r="DD39" s="79">
        <f t="shared" si="20"/>
        <v>2041</v>
      </c>
      <c r="DE39" s="299">
        <f t="shared" si="21"/>
        <v>7.143180439053503</v>
      </c>
      <c r="DF39" s="211">
        <f t="shared" si="22"/>
        <v>4.4419247372297175</v>
      </c>
      <c r="DG39" s="211">
        <f t="shared" si="23"/>
        <v>6.0064557196926422</v>
      </c>
      <c r="DH39" s="211">
        <f t="shared" si="24"/>
        <v>4.2636893325199043</v>
      </c>
      <c r="DI39" s="211">
        <f t="shared" si="25"/>
        <v>6.381094154104435</v>
      </c>
      <c r="DJ39" s="211">
        <f t="shared" si="25"/>
        <v>8.6659421911197665</v>
      </c>
      <c r="DK39" s="293">
        <f t="shared" si="26"/>
        <v>1.2452340190892004</v>
      </c>
    </row>
    <row r="40" spans="1:115" x14ac:dyDescent="0.25">
      <c r="A40" s="186"/>
      <c r="B40" s="890"/>
      <c r="C40" s="890"/>
      <c r="D40" s="186"/>
      <c r="E40" s="77"/>
      <c r="F40" s="77"/>
      <c r="P40" s="186"/>
      <c r="Q40" s="186"/>
      <c r="R40" s="186"/>
      <c r="S40" s="186"/>
      <c r="T40" s="186"/>
      <c r="BR40" s="79">
        <v>2050</v>
      </c>
      <c r="BS40" s="79">
        <v>2050</v>
      </c>
      <c r="BT40" s="185">
        <f t="shared" si="13"/>
        <v>2050</v>
      </c>
      <c r="BU40" s="315">
        <f>scenarios!E46</f>
        <v>3.4257012431974543</v>
      </c>
      <c r="BV40" s="315">
        <f>scenarios!M46</f>
        <v>-4.3499999999999996</v>
      </c>
      <c r="BW40" s="315">
        <f>scenarios!V46</f>
        <v>-0.23542668936263889</v>
      </c>
      <c r="BX40" s="400">
        <f>scenarios!AE46</f>
        <v>-4.2658442983130858</v>
      </c>
      <c r="BY40" s="399">
        <f>scenarios!AN46</f>
        <v>1.5351767769908671</v>
      </c>
      <c r="BZ40" s="399">
        <f>scenarios!AW46</f>
        <v>-4.3499999999999996</v>
      </c>
      <c r="CA40" s="400">
        <f>scenarios!BF46</f>
        <v>0.17851180150263735</v>
      </c>
      <c r="CB40" s="121"/>
      <c r="CC40" s="185">
        <f t="shared" si="14"/>
        <v>2050</v>
      </c>
      <c r="CD40" s="278" t="e">
        <f>IF($BU39&gt;'goal seek'!$F$31,$BU40/$BU39-1,#N/A)</f>
        <v>#N/A</v>
      </c>
      <c r="CE40" s="316" t="e">
        <f>IF(BV39&gt;'goal seek'!$F$28,BV40/BV39-1,#N/A)</f>
        <v>#N/A</v>
      </c>
      <c r="CF40" s="316" t="e">
        <f>IF(BW39&gt;'goal seek'!$F$28,BW40/BW39-1,#N/A)</f>
        <v>#N/A</v>
      </c>
      <c r="CG40" s="403" t="e">
        <f>IF(BX39&gt;'goal seek'!$F$28,BX40/BX39-1,#N/A)</f>
        <v>#N/A</v>
      </c>
      <c r="CH40" s="403" t="e">
        <f>IF(BY39&gt;'goal seek'!$F$28,BY40/BY39-1,#N/A)</f>
        <v>#N/A</v>
      </c>
      <c r="CI40" s="402" t="e">
        <f>IF(BZ39&gt;'goal seek'!$F$28,BZ40/BZ39-1,#N/A)</f>
        <v>#N/A</v>
      </c>
      <c r="CJ40" s="403" t="e">
        <f>IF(CA39&gt;'goal seek'!$F$28,CA40/CA39-1,#N/A)</f>
        <v>#N/A</v>
      </c>
      <c r="CK40" s="121"/>
      <c r="CL40" s="185">
        <f t="shared" si="15"/>
        <v>2050</v>
      </c>
      <c r="CM40" s="278">
        <f t="shared" si="9"/>
        <v>0</v>
      </c>
      <c r="CN40" s="278">
        <f t="shared" si="10"/>
        <v>0</v>
      </c>
      <c r="CO40" s="278">
        <f t="shared" si="11"/>
        <v>0</v>
      </c>
      <c r="CP40" s="402">
        <f t="shared" si="16"/>
        <v>0</v>
      </c>
      <c r="CQ40" s="402">
        <f t="shared" si="17"/>
        <v>0</v>
      </c>
      <c r="CR40" s="402">
        <f t="shared" si="18"/>
        <v>0</v>
      </c>
      <c r="CS40" s="402">
        <f t="shared" si="12"/>
        <v>0</v>
      </c>
      <c r="CU40" s="185">
        <f t="shared" si="8"/>
        <v>2050</v>
      </c>
      <c r="CV40" s="317">
        <f>scenarios!K46</f>
        <v>0.35189412247727075</v>
      </c>
      <c r="CW40" s="408">
        <f>scenarios!T46</f>
        <v>-0.44683973414662931</v>
      </c>
      <c r="CX40" s="318">
        <f>scenarios!AC46</f>
        <v>-2.4183448111683367E-2</v>
      </c>
      <c r="CY40" s="408">
        <f>scenarios!AL46</f>
        <v>-0.43819511084347901</v>
      </c>
      <c r="CZ40" s="407">
        <f>scenarios!AU46</f>
        <v>0.15769608802268464</v>
      </c>
      <c r="DA40" s="407">
        <f>scenarios!BD46</f>
        <v>-0.44683973414662931</v>
      </c>
      <c r="DB40" s="407">
        <f>scenarios!BM46</f>
        <v>1.8337049638040077E-2</v>
      </c>
      <c r="DD40" s="79">
        <f t="shared" si="20"/>
        <v>2042</v>
      </c>
      <c r="DE40" s="299">
        <f t="shared" si="21"/>
        <v>6.5883226900326513</v>
      </c>
      <c r="DF40" s="211">
        <f t="shared" si="22"/>
        <v>3.0358298680017715</v>
      </c>
      <c r="DG40" s="211">
        <f t="shared" si="23"/>
        <v>5.0546768561808477</v>
      </c>
      <c r="DH40" s="211">
        <f t="shared" si="24"/>
        <v>3.0990461285146633</v>
      </c>
      <c r="DI40" s="211">
        <f t="shared" si="25"/>
        <v>5.6101311167465262</v>
      </c>
      <c r="DJ40" s="211">
        <f t="shared" si="25"/>
        <v>7.1365903212693178</v>
      </c>
      <c r="DK40" s="293">
        <f t="shared" si="26"/>
        <v>1.0083884535049643</v>
      </c>
    </row>
    <row r="41" spans="1:115" x14ac:dyDescent="0.25">
      <c r="B41" s="890"/>
      <c r="C41" s="890"/>
      <c r="E41" s="77"/>
      <c r="F41" s="55"/>
      <c r="BR41" s="79"/>
      <c r="BS41" s="79"/>
      <c r="BT41" s="79">
        <f t="shared" si="13"/>
        <v>2051</v>
      </c>
      <c r="BU41" s="280">
        <f>scenarios!E47</f>
        <v>3.1106622234630135</v>
      </c>
      <c r="BV41" s="280">
        <f>scenarios!M47</f>
        <v>-4.3499999999999996</v>
      </c>
      <c r="BW41" s="280">
        <f>scenarios!V47</f>
        <v>-0.85757535653056749</v>
      </c>
      <c r="BX41" s="399">
        <f>scenarios!AE47</f>
        <v>-4.3499999999999996</v>
      </c>
      <c r="BY41" s="399">
        <f>scenarios!AN47</f>
        <v>1.1032782624430846</v>
      </c>
      <c r="BZ41" s="399">
        <f>scenarios!AW47</f>
        <v>-4.3499999999999996</v>
      </c>
      <c r="CA41" s="399">
        <f>scenarios!BF47</f>
        <v>0.14314232650366598</v>
      </c>
      <c r="CC41" s="79">
        <f t="shared" si="14"/>
        <v>2051</v>
      </c>
      <c r="CD41" s="278" t="e">
        <f>IF($BU40&gt;'goal seek'!$F$31,$BU41/$BU40-1,#N/A)</f>
        <v>#N/A</v>
      </c>
      <c r="CE41" s="278" t="e">
        <f>IF(BV40&gt;'goal seek'!$F$28,BV41/BV40-1,#N/A)</f>
        <v>#N/A</v>
      </c>
      <c r="CF41" s="278" t="e">
        <f>IF(BW40&gt;'goal seek'!$F$28,BW41/BW40-1,#N/A)</f>
        <v>#N/A</v>
      </c>
      <c r="CG41" s="402" t="e">
        <f>IF(BX40&gt;'goal seek'!$F$28,BX41/BX40-1,#N/A)</f>
        <v>#N/A</v>
      </c>
      <c r="CH41" s="402" t="e">
        <f>IF(BY40&gt;'goal seek'!$F$28,BY41/BY40-1,#N/A)</f>
        <v>#N/A</v>
      </c>
      <c r="CI41" s="402" t="e">
        <f>IF(BZ40&gt;'goal seek'!$F$28,BZ41/BZ40-1,#N/A)</f>
        <v>#N/A</v>
      </c>
      <c r="CJ41" s="402" t="e">
        <f>IF(CA40&gt;'goal seek'!$F$28,CA41/CA40-1,#N/A)</f>
        <v>#N/A</v>
      </c>
      <c r="CL41" s="79">
        <f t="shared" si="15"/>
        <v>2051</v>
      </c>
      <c r="CM41" s="278">
        <f t="shared" si="9"/>
        <v>0</v>
      </c>
      <c r="CN41" s="278">
        <f t="shared" si="10"/>
        <v>0</v>
      </c>
      <c r="CO41" s="278">
        <f t="shared" si="11"/>
        <v>0</v>
      </c>
      <c r="CP41" s="402">
        <f t="shared" si="16"/>
        <v>0</v>
      </c>
      <c r="CQ41" s="402">
        <f t="shared" si="17"/>
        <v>0</v>
      </c>
      <c r="CR41" s="402">
        <f t="shared" si="18"/>
        <v>0</v>
      </c>
      <c r="CS41" s="402">
        <f t="shared" si="12"/>
        <v>0</v>
      </c>
      <c r="CU41" s="79">
        <f t="shared" ref="CU41:CU72" si="27">BT41</f>
        <v>2051</v>
      </c>
      <c r="CV41" s="299">
        <f>scenarios!K47</f>
        <v>0.31799659072325265</v>
      </c>
      <c r="CW41" s="407">
        <f>scenarios!T47</f>
        <v>-0.44469153841659359</v>
      </c>
      <c r="CX41" s="211">
        <f>scenarios!AC47</f>
        <v>-8.7668161977870529E-2</v>
      </c>
      <c r="CY41" s="407">
        <f>scenarios!AL47</f>
        <v>-0.44469153841659359</v>
      </c>
      <c r="CZ41" s="407">
        <f>scenarios!AU47</f>
        <v>0.11278586386836817</v>
      </c>
      <c r="DA41" s="407">
        <f>scenarios!BD47</f>
        <v>-0.44469153841659359</v>
      </c>
      <c r="DB41" s="407">
        <f>scenarios!BM47</f>
        <v>1.4633145146079439E-2</v>
      </c>
      <c r="DD41" s="79">
        <f t="shared" si="20"/>
        <v>2043</v>
      </c>
      <c r="DE41" s="299">
        <f t="shared" si="21"/>
        <v>6.0765643872984008</v>
      </c>
      <c r="DF41" s="211">
        <f t="shared" si="22"/>
        <v>1.9351914947025706</v>
      </c>
      <c r="DG41" s="211">
        <f t="shared" si="23"/>
        <v>4.2209850471246346</v>
      </c>
      <c r="DH41" s="211">
        <f t="shared" si="24"/>
        <v>2.1784348251611947</v>
      </c>
      <c r="DI41" s="211">
        <f t="shared" si="25"/>
        <v>4.9187955096093399</v>
      </c>
      <c r="DJ41" s="211">
        <f t="shared" si="25"/>
        <v>5.6072384514188691</v>
      </c>
      <c r="DK41" s="293">
        <f t="shared" si="26"/>
        <v>0.81543478321211005</v>
      </c>
    </row>
    <row r="42" spans="1:115" x14ac:dyDescent="0.25">
      <c r="B42" s="890"/>
      <c r="C42" s="890"/>
      <c r="E42" s="55"/>
      <c r="F42" s="55"/>
      <c r="BR42" s="79"/>
      <c r="BS42" s="79"/>
      <c r="BT42" s="79">
        <f t="shared" si="13"/>
        <v>2052</v>
      </c>
      <c r="BU42" s="280">
        <f>scenarios!E48</f>
        <v>2.7956232037285726</v>
      </c>
      <c r="BV42" s="280">
        <f>scenarios!M48</f>
        <v>-4.3499999999999996</v>
      </c>
      <c r="BW42" s="280">
        <f>scenarios!V48</f>
        <v>-1.4797240236984961</v>
      </c>
      <c r="BX42" s="399">
        <f>scenarios!AE48</f>
        <v>-4.3499999999999996</v>
      </c>
      <c r="BY42" s="399">
        <f>scenarios!AN48</f>
        <v>0.67137974789530208</v>
      </c>
      <c r="BZ42" s="399">
        <f>scenarios!AW48</f>
        <v>-4.3499999999999996</v>
      </c>
      <c r="CA42" s="399">
        <f>scenarios!BF48</f>
        <v>0.11469008108803347</v>
      </c>
      <c r="CC42" s="79">
        <f t="shared" si="14"/>
        <v>2052</v>
      </c>
      <c r="CD42" s="278" t="e">
        <f>IF($BU41&gt;'goal seek'!$F$31,$BU42/$BU41-1,#N/A)</f>
        <v>#N/A</v>
      </c>
      <c r="CE42" s="278" t="e">
        <f>IF(BV41&gt;'goal seek'!$F$28,BV42/BV41-1,#N/A)</f>
        <v>#N/A</v>
      </c>
      <c r="CF42" s="278" t="e">
        <f>IF(BW41&gt;'goal seek'!$F$28,BW42/BW41-1,#N/A)</f>
        <v>#N/A</v>
      </c>
      <c r="CG42" s="402" t="e">
        <f>IF(BX41&gt;'goal seek'!$F$28,BX42/BX41-1,#N/A)</f>
        <v>#N/A</v>
      </c>
      <c r="CH42" s="402" t="e">
        <f>IF(BY41&gt;'goal seek'!$F$28,BY42/BY41-1,#N/A)</f>
        <v>#N/A</v>
      </c>
      <c r="CI42" s="402" t="e">
        <f>IF(BZ41&gt;'goal seek'!$F$28,BZ42/BZ41-1,#N/A)</f>
        <v>#N/A</v>
      </c>
      <c r="CJ42" s="402" t="e">
        <f>IF(CA41&gt;'goal seek'!$F$28,CA42/CA41-1,#N/A)</f>
        <v>#N/A</v>
      </c>
      <c r="CL42" s="79">
        <f t="shared" si="15"/>
        <v>2052</v>
      </c>
      <c r="CM42" s="278">
        <f t="shared" ref="CM42:CM73" si="28">IF(ISNA(CD42),0,CD42)</f>
        <v>0</v>
      </c>
      <c r="CN42" s="278">
        <f t="shared" ref="CN42:CN73" si="29">IF(ISNA(CE42),0,CE42)</f>
        <v>0</v>
      </c>
      <c r="CO42" s="278">
        <f t="shared" ref="CO42:CO73" si="30">IF(ISNA(CF42),0,CF42)</f>
        <v>0</v>
      </c>
      <c r="CP42" s="402">
        <f t="shared" si="16"/>
        <v>0</v>
      </c>
      <c r="CQ42" s="402">
        <f t="shared" si="17"/>
        <v>0</v>
      </c>
      <c r="CR42" s="402">
        <f t="shared" si="18"/>
        <v>0</v>
      </c>
      <c r="CS42" s="402">
        <f t="shared" ref="CS42:CS73" si="31">IF(ISNA(CJ42),0,CJ42)</f>
        <v>0</v>
      </c>
      <c r="CU42" s="79">
        <f t="shared" si="27"/>
        <v>2052</v>
      </c>
      <c r="CV42" s="299">
        <f>scenarios!K48</f>
        <v>0.28445828437487358</v>
      </c>
      <c r="CW42" s="407">
        <f>scenarios!T48</f>
        <v>-0.44261813801672784</v>
      </c>
      <c r="CX42" s="211">
        <f>scenarios!AC48</f>
        <v>-0.15056383727541353</v>
      </c>
      <c r="CY42" s="407">
        <f>scenarios!AL48</f>
        <v>-0.44261813801672784</v>
      </c>
      <c r="CZ42" s="407">
        <f>scenarios!AU48</f>
        <v>6.8313759520818113E-2</v>
      </c>
      <c r="DA42" s="407">
        <f>scenarios!BD48</f>
        <v>-0.44261813801672784</v>
      </c>
      <c r="DB42" s="407">
        <f>scenarios!BM48</f>
        <v>1.166986440003975E-2</v>
      </c>
      <c r="DD42" s="79">
        <f t="shared" si="20"/>
        <v>2044</v>
      </c>
      <c r="DE42" s="299">
        <f t="shared" si="21"/>
        <v>5.6045577137327793</v>
      </c>
      <c r="DF42" s="211">
        <f t="shared" si="22"/>
        <v>0.83455312140336968</v>
      </c>
      <c r="DG42" s="211">
        <f t="shared" si="23"/>
        <v>3.4974653136449327</v>
      </c>
      <c r="DH42" s="211">
        <f t="shared" si="24"/>
        <v>1.2578235218077261</v>
      </c>
      <c r="DI42" s="211">
        <f t="shared" si="25"/>
        <v>4.3010595743813465</v>
      </c>
      <c r="DJ42" s="211">
        <f t="shared" si="25"/>
        <v>4.0778865815684204</v>
      </c>
      <c r="DK42" s="293">
        <f t="shared" si="26"/>
        <v>0.65853513342908965</v>
      </c>
    </row>
    <row r="43" spans="1:115" x14ac:dyDescent="0.25">
      <c r="E43" s="55"/>
      <c r="F43" s="209"/>
      <c r="G43" s="192"/>
      <c r="H43" s="192"/>
      <c r="I43" s="192"/>
      <c r="J43" s="192"/>
      <c r="K43" s="192"/>
      <c r="L43" s="192"/>
      <c r="M43" s="192"/>
      <c r="N43" s="192"/>
      <c r="O43" s="192"/>
      <c r="BR43" s="79"/>
      <c r="BS43" s="79"/>
      <c r="BT43" s="79">
        <f t="shared" si="13"/>
        <v>2053</v>
      </c>
      <c r="BU43" s="280">
        <f>scenarios!E49</f>
        <v>2.4805841839941318</v>
      </c>
      <c r="BV43" s="280">
        <f>scenarios!M49</f>
        <v>-4.3499999999999996</v>
      </c>
      <c r="BW43" s="280">
        <f>scenarios!V49</f>
        <v>-2.1018726908664247</v>
      </c>
      <c r="BX43" s="399">
        <f>scenarios!AE49</f>
        <v>-4.3499999999999996</v>
      </c>
      <c r="BY43" s="399">
        <f>scenarios!AN49</f>
        <v>0.23948123334751958</v>
      </c>
      <c r="BZ43" s="399">
        <f>scenarios!AW49</f>
        <v>-4.3499999999999996</v>
      </c>
      <c r="CA43" s="399">
        <f>scenarios!BF49</f>
        <v>9.1824553318918978E-2</v>
      </c>
      <c r="CC43" s="79">
        <f t="shared" ref="CC43:CC90" si="32">CC42+1</f>
        <v>2053</v>
      </c>
      <c r="CD43" s="278" t="e">
        <f>IF($BU42&gt;'goal seek'!$F$31,$BU43/$BU42-1,#N/A)</f>
        <v>#N/A</v>
      </c>
      <c r="CE43" s="278" t="e">
        <f>IF(BV42&gt;'goal seek'!$F$28,BV43/BV42-1,#N/A)</f>
        <v>#N/A</v>
      </c>
      <c r="CF43" s="278" t="e">
        <f>IF(BW42&gt;'goal seek'!$F$28,BW43/BW42-1,#N/A)</f>
        <v>#N/A</v>
      </c>
      <c r="CG43" s="402" t="e">
        <f>IF(BX42&gt;'goal seek'!$F$28,BX43/BX42-1,#N/A)</f>
        <v>#N/A</v>
      </c>
      <c r="CH43" s="402" t="e">
        <f>IF(BY42&gt;'goal seek'!$F$28,BY43/BY42-1,#N/A)</f>
        <v>#N/A</v>
      </c>
      <c r="CI43" s="402" t="e">
        <f>IF(BZ42&gt;'goal seek'!$F$28,BZ43/BZ42-1,#N/A)</f>
        <v>#N/A</v>
      </c>
      <c r="CJ43" s="402" t="e">
        <f>IF(CA42&gt;'goal seek'!$F$28,CA43/CA42-1,#N/A)</f>
        <v>#N/A</v>
      </c>
      <c r="CL43" s="79">
        <f t="shared" si="15"/>
        <v>2053</v>
      </c>
      <c r="CM43" s="278">
        <f t="shared" si="28"/>
        <v>0</v>
      </c>
      <c r="CN43" s="278">
        <f t="shared" si="29"/>
        <v>0</v>
      </c>
      <c r="CO43" s="278">
        <f t="shared" si="30"/>
        <v>0</v>
      </c>
      <c r="CP43" s="402">
        <f t="shared" ref="CP43:CP74" si="33">IF(ISNA(CG43),0,CG43)</f>
        <v>0</v>
      </c>
      <c r="CQ43" s="402">
        <f t="shared" ref="CQ43:CQ74" si="34">IF(ISNA(CH43),0,CH43)</f>
        <v>0</v>
      </c>
      <c r="CR43" s="402">
        <f t="shared" si="18"/>
        <v>0</v>
      </c>
      <c r="CS43" s="402">
        <f t="shared" si="31"/>
        <v>0</v>
      </c>
      <c r="CU43" s="79">
        <f t="shared" si="27"/>
        <v>2053</v>
      </c>
      <c r="CV43" s="299">
        <f>scenarios!K49</f>
        <v>0.25126201499526007</v>
      </c>
      <c r="CW43" s="407">
        <f>scenarios!T49</f>
        <v>-0.4406178884320287</v>
      </c>
      <c r="CX43" s="211">
        <f>scenarios!AC49</f>
        <v>-0.212901771678738</v>
      </c>
      <c r="CY43" s="407">
        <f>scenarios!AL49</f>
        <v>-0.4406178884320287</v>
      </c>
      <c r="CZ43" s="407">
        <f>scenarios!AU49</f>
        <v>2.4257405829122305E-2</v>
      </c>
      <c r="DA43" s="407">
        <f>scenarios!BD49</f>
        <v>-0.4406178884320287</v>
      </c>
      <c r="DB43" s="407">
        <f>scenarios!BM49</f>
        <v>9.3010438596773139E-3</v>
      </c>
      <c r="DD43" s="79">
        <f t="shared" si="20"/>
        <v>2045</v>
      </c>
      <c r="DE43" s="299">
        <f t="shared" si="21"/>
        <v>5.1692148991655369</v>
      </c>
      <c r="DF43" s="211">
        <f t="shared" si="22"/>
        <v>-0.26608525189583121</v>
      </c>
      <c r="DG43" s="211">
        <f t="shared" si="23"/>
        <v>2.8753166464770041</v>
      </c>
      <c r="DH43" s="211">
        <f t="shared" si="24"/>
        <v>0.33721221845425742</v>
      </c>
      <c r="DI43" s="211">
        <f t="shared" si="25"/>
        <v>3.7509791122174319</v>
      </c>
      <c r="DJ43" s="211">
        <f t="shared" si="25"/>
        <v>2.5485347117179717</v>
      </c>
      <c r="DK43" s="293">
        <f t="shared" si="26"/>
        <v>0.53117344366821539</v>
      </c>
    </row>
    <row r="44" spans="1:115" x14ac:dyDescent="0.25">
      <c r="A44" s="149"/>
      <c r="B44" s="139"/>
      <c r="C44" s="192"/>
      <c r="D44" s="192"/>
      <c r="E44" s="209"/>
      <c r="F44" s="147"/>
      <c r="G44" s="147"/>
      <c r="H44" s="147"/>
      <c r="I44" s="147"/>
      <c r="J44" s="147"/>
      <c r="K44" s="147"/>
      <c r="L44" s="147"/>
      <c r="M44" s="147"/>
      <c r="N44" s="147"/>
      <c r="O44" s="147"/>
      <c r="P44" s="192"/>
      <c r="Q44" s="192"/>
      <c r="R44" s="192"/>
      <c r="S44" s="192"/>
      <c r="BR44" s="79"/>
      <c r="BS44" s="79"/>
      <c r="BT44" s="79">
        <f t="shared" si="13"/>
        <v>2054</v>
      </c>
      <c r="BU44" s="280">
        <f>scenarios!E50</f>
        <v>2.165545164259691</v>
      </c>
      <c r="BV44" s="280">
        <f>scenarios!M50</f>
        <v>-4.3499999999999996</v>
      </c>
      <c r="BW44" s="280">
        <f>scenarios!V50</f>
        <v>-2.7240213580343533</v>
      </c>
      <c r="BX44" s="399">
        <f>scenarios!AE50</f>
        <v>-4.3499999999999996</v>
      </c>
      <c r="BY44" s="399">
        <f>scenarios!AN50</f>
        <v>-0.19241728120026291</v>
      </c>
      <c r="BZ44" s="399">
        <f>scenarios!AW50</f>
        <v>-4.3499999999999996</v>
      </c>
      <c r="CA44" s="399">
        <f>scenarios!BF50</f>
        <v>7.3465600361367511E-2</v>
      </c>
      <c r="CC44" s="79">
        <f t="shared" si="32"/>
        <v>2054</v>
      </c>
      <c r="CD44" s="278" t="e">
        <f>IF($BU43&gt;'goal seek'!$F$31,$BU44/$BU43-1,#N/A)</f>
        <v>#N/A</v>
      </c>
      <c r="CE44" s="278" t="e">
        <f>IF(BV43&gt;'goal seek'!$F$28,BV44/BV43-1,#N/A)</f>
        <v>#N/A</v>
      </c>
      <c r="CF44" s="278" t="e">
        <f>IF(BW43&gt;'goal seek'!$F$28,BW44/BW43-1,#N/A)</f>
        <v>#N/A</v>
      </c>
      <c r="CG44" s="402" t="e">
        <f>IF(BX43&gt;'goal seek'!$F$28,BX44/BX43-1,#N/A)</f>
        <v>#N/A</v>
      </c>
      <c r="CH44" s="402" t="e">
        <f>IF(BY43&gt;'goal seek'!$F$28,BY44/BY43-1,#N/A)</f>
        <v>#N/A</v>
      </c>
      <c r="CI44" s="402" t="e">
        <f>IF(BZ43&gt;'goal seek'!$F$28,BZ44/BZ43-1,#N/A)</f>
        <v>#N/A</v>
      </c>
      <c r="CJ44" s="402" t="e">
        <f>IF(CA43&gt;'goal seek'!$F$28,CA44/CA43-1,#N/A)</f>
        <v>#N/A</v>
      </c>
      <c r="CL44" s="79">
        <f t="shared" si="15"/>
        <v>2054</v>
      </c>
      <c r="CM44" s="278">
        <f t="shared" si="28"/>
        <v>0</v>
      </c>
      <c r="CN44" s="278">
        <f t="shared" si="29"/>
        <v>0</v>
      </c>
      <c r="CO44" s="278">
        <f t="shared" si="30"/>
        <v>0</v>
      </c>
      <c r="CP44" s="402">
        <f t="shared" si="33"/>
        <v>0</v>
      </c>
      <c r="CQ44" s="402">
        <f t="shared" si="34"/>
        <v>0</v>
      </c>
      <c r="CR44" s="402">
        <f t="shared" si="18"/>
        <v>0</v>
      </c>
      <c r="CS44" s="402">
        <f t="shared" si="31"/>
        <v>0</v>
      </c>
      <c r="CU44" s="79">
        <f t="shared" si="27"/>
        <v>2054</v>
      </c>
      <c r="CV44" s="299">
        <f>scenarios!K50</f>
        <v>0.21839113745279276</v>
      </c>
      <c r="CW44" s="407">
        <f>scenarios!T50</f>
        <v>-0.4386892795396462</v>
      </c>
      <c r="CX44" s="211">
        <f>scenarios!AC50</f>
        <v>-0.27471240620843657</v>
      </c>
      <c r="CY44" s="407">
        <f>scenarios!AL50</f>
        <v>-0.4386892795396462</v>
      </c>
      <c r="CZ44" s="407">
        <f>scenarios!AU50</f>
        <v>-1.9404919186372608E-2</v>
      </c>
      <c r="DA44" s="407">
        <f>scenarios!BD50</f>
        <v>-0.4386892795396462</v>
      </c>
      <c r="DB44" s="407">
        <f>scenarios!BM50</f>
        <v>7.4088669640174449E-3</v>
      </c>
      <c r="DD44" s="79">
        <f t="shared" si="20"/>
        <v>2046</v>
      </c>
      <c r="DE44" s="299">
        <f t="shared" si="21"/>
        <v>4.7676880208194419</v>
      </c>
      <c r="DF44" s="211">
        <f t="shared" si="22"/>
        <v>-1.3667236251950321</v>
      </c>
      <c r="DG44" s="211">
        <f t="shared" si="23"/>
        <v>2.2531679793090755</v>
      </c>
      <c r="DH44" s="211">
        <f t="shared" si="24"/>
        <v>-0.58339908489921122</v>
      </c>
      <c r="DI44" s="211">
        <f t="shared" si="25"/>
        <v>3.2627708351819971</v>
      </c>
      <c r="DJ44" s="211">
        <f t="shared" si="25"/>
        <v>1.0191828418675228</v>
      </c>
      <c r="DK44" s="293">
        <f t="shared" si="26"/>
        <v>0.42795377134786117</v>
      </c>
    </row>
    <row r="45" spans="1:115" x14ac:dyDescent="0.25">
      <c r="A45" s="149"/>
      <c r="B45" s="139"/>
      <c r="C45" s="147"/>
      <c r="D45" s="147"/>
      <c r="E45" s="147"/>
      <c r="F45" s="55"/>
      <c r="P45" s="147"/>
      <c r="Q45" s="147"/>
      <c r="R45" s="147"/>
      <c r="S45" s="147"/>
      <c r="BR45" s="79"/>
      <c r="BS45" s="79"/>
      <c r="BT45" s="79">
        <f t="shared" si="13"/>
        <v>2055</v>
      </c>
      <c r="BU45" s="280">
        <f>scenarios!E51</f>
        <v>1.8505061445252502</v>
      </c>
      <c r="BV45" s="280">
        <f>scenarios!M51</f>
        <v>-4.3499999999999996</v>
      </c>
      <c r="BW45" s="280">
        <f>scenarios!V51</f>
        <v>-3.3461700252022819</v>
      </c>
      <c r="BX45" s="399">
        <f>scenarios!AE51</f>
        <v>-4.3499999999999996</v>
      </c>
      <c r="BY45" s="399">
        <f>scenarios!AN51</f>
        <v>-0.62431579574804541</v>
      </c>
      <c r="BZ45" s="399">
        <f>scenarios!AW51</f>
        <v>-4.3499999999999996</v>
      </c>
      <c r="CA45" s="399">
        <f>scenarios!BF51</f>
        <v>5.8737740815139106E-2</v>
      </c>
      <c r="CC45" s="79">
        <f t="shared" si="32"/>
        <v>2055</v>
      </c>
      <c r="CD45" s="278" t="e">
        <f>IF($BU44&gt;'goal seek'!$F$31,$BU45/$BU44-1,#N/A)</f>
        <v>#N/A</v>
      </c>
      <c r="CE45" s="278" t="e">
        <f>IF(BV44&gt;'goal seek'!$F$28,BV45/BV44-1,#N/A)</f>
        <v>#N/A</v>
      </c>
      <c r="CF45" s="278" t="e">
        <f>IF(BW44&gt;'goal seek'!$F$28,BW45/BW44-1,#N/A)</f>
        <v>#N/A</v>
      </c>
      <c r="CG45" s="402" t="e">
        <f>IF(BX44&gt;'goal seek'!$F$28,BX45/BX44-1,#N/A)</f>
        <v>#N/A</v>
      </c>
      <c r="CH45" s="402" t="e">
        <f>IF(BY44&gt;'goal seek'!$F$28,BY45/BY44-1,#N/A)</f>
        <v>#N/A</v>
      </c>
      <c r="CI45" s="402" t="e">
        <f>IF(BZ44&gt;'goal seek'!$F$28,BZ45/BZ44-1,#N/A)</f>
        <v>#N/A</v>
      </c>
      <c r="CJ45" s="402" t="e">
        <f>IF(CA44&gt;'goal seek'!$F$28,CA45/CA44-1,#N/A)</f>
        <v>#N/A</v>
      </c>
      <c r="CL45" s="79">
        <f t="shared" si="15"/>
        <v>2055</v>
      </c>
      <c r="CM45" s="278">
        <f t="shared" si="28"/>
        <v>0</v>
      </c>
      <c r="CN45" s="278">
        <f t="shared" si="29"/>
        <v>0</v>
      </c>
      <c r="CO45" s="278">
        <f t="shared" si="30"/>
        <v>0</v>
      </c>
      <c r="CP45" s="402">
        <f t="shared" si="33"/>
        <v>0</v>
      </c>
      <c r="CQ45" s="402">
        <f t="shared" si="34"/>
        <v>0</v>
      </c>
      <c r="CR45" s="402">
        <f t="shared" si="18"/>
        <v>0</v>
      </c>
      <c r="CS45" s="402">
        <f t="shared" si="31"/>
        <v>0</v>
      </c>
      <c r="CU45" s="79">
        <f t="shared" si="27"/>
        <v>2055</v>
      </c>
      <c r="CV45" s="299">
        <f>scenarios!K51</f>
        <v>0.18582934954961045</v>
      </c>
      <c r="CW45" s="407">
        <f>scenarios!T51</f>
        <v>-0.43683057899177669</v>
      </c>
      <c r="CX45" s="211">
        <f>scenarios!AC51</f>
        <v>-0.33602514701472203</v>
      </c>
      <c r="CY45" s="407">
        <f>scenarios!AL51</f>
        <v>-0.43683057899177669</v>
      </c>
      <c r="CZ45" s="407">
        <f>scenarios!AU51</f>
        <v>-6.2694305869041497E-2</v>
      </c>
      <c r="DA45" s="407">
        <f>scenarios!BD51</f>
        <v>-0.43683057899177669</v>
      </c>
      <c r="DB45" s="407">
        <f>scenarios!BM51</f>
        <v>5.8984922595278462E-3</v>
      </c>
      <c r="DD45" s="79">
        <f t="shared" si="20"/>
        <v>2047</v>
      </c>
      <c r="DE45" s="299">
        <f t="shared" si="21"/>
        <v>4.397350372787681</v>
      </c>
      <c r="DF45" s="211">
        <f t="shared" si="22"/>
        <v>-2.467361998494233</v>
      </c>
      <c r="DG45" s="211">
        <f t="shared" si="23"/>
        <v>1.6310193121411469</v>
      </c>
      <c r="DH45" s="211">
        <f t="shared" si="24"/>
        <v>-1.5040103882526799</v>
      </c>
      <c r="DI45" s="211">
        <f t="shared" si="25"/>
        <v>2.8308723206342146</v>
      </c>
      <c r="DJ45" s="211">
        <f t="shared" si="25"/>
        <v>-0.51016902798292607</v>
      </c>
      <c r="DK45" s="293">
        <f t="shared" si="26"/>
        <v>0.3444232447171347</v>
      </c>
    </row>
    <row r="46" spans="1:115" x14ac:dyDescent="0.25">
      <c r="E46" s="55"/>
      <c r="F46" s="55"/>
      <c r="BR46" s="79"/>
      <c r="BS46" s="79"/>
      <c r="BT46" s="79">
        <f t="shared" si="13"/>
        <v>2056</v>
      </c>
      <c r="BU46" s="280">
        <f>scenarios!E52</f>
        <v>1.5354671247908094</v>
      </c>
      <c r="BV46" s="280">
        <f>scenarios!M52</f>
        <v>-4.3499999999999996</v>
      </c>
      <c r="BW46" s="280">
        <f>scenarios!V52</f>
        <v>-3.9683186923702105</v>
      </c>
      <c r="BX46" s="399">
        <f>scenarios!AE52</f>
        <v>-4.3499999999999996</v>
      </c>
      <c r="BY46" s="399">
        <f>scenarios!AN52</f>
        <v>-1.0562143102958279</v>
      </c>
      <c r="BZ46" s="399">
        <f>scenarios!AW52</f>
        <v>-4.3499999999999996</v>
      </c>
      <c r="CA46" s="399">
        <f>scenarios!BF52</f>
        <v>4.6932427746303962E-2</v>
      </c>
      <c r="CC46" s="79">
        <f t="shared" si="32"/>
        <v>2056</v>
      </c>
      <c r="CD46" s="278" t="e">
        <f>IF($BU45&gt;'goal seek'!$F$31,$BU46/$BU45-1,#N/A)</f>
        <v>#N/A</v>
      </c>
      <c r="CE46" s="278" t="e">
        <f>IF(BV45&gt;'goal seek'!$F$28,BV46/BV45-1,#N/A)</f>
        <v>#N/A</v>
      </c>
      <c r="CF46" s="278" t="e">
        <f>IF(BW45&gt;'goal seek'!$F$28,BW46/BW45-1,#N/A)</f>
        <v>#N/A</v>
      </c>
      <c r="CG46" s="402" t="e">
        <f>IF(BX45&gt;'goal seek'!$F$28,BX46/BX45-1,#N/A)</f>
        <v>#N/A</v>
      </c>
      <c r="CH46" s="402" t="e">
        <f>IF(BY45&gt;'goal seek'!$F$28,BY46/BY45-1,#N/A)</f>
        <v>#N/A</v>
      </c>
      <c r="CI46" s="402" t="e">
        <f>IF(BZ45&gt;'goal seek'!$F$28,BZ46/BZ45-1,#N/A)</f>
        <v>#N/A</v>
      </c>
      <c r="CJ46" s="402" t="e">
        <f>IF(CA45&gt;'goal seek'!$F$28,CA46/CA45-1,#N/A)</f>
        <v>#N/A</v>
      </c>
      <c r="CL46" s="79">
        <f t="shared" si="15"/>
        <v>2056</v>
      </c>
      <c r="CM46" s="278">
        <f t="shared" si="28"/>
        <v>0</v>
      </c>
      <c r="CN46" s="278">
        <f t="shared" si="29"/>
        <v>0</v>
      </c>
      <c r="CO46" s="278">
        <f t="shared" si="30"/>
        <v>0</v>
      </c>
      <c r="CP46" s="402">
        <f t="shared" si="33"/>
        <v>0</v>
      </c>
      <c r="CQ46" s="402">
        <f t="shared" si="34"/>
        <v>0</v>
      </c>
      <c r="CR46" s="402">
        <f t="shared" si="18"/>
        <v>0</v>
      </c>
      <c r="CS46" s="402">
        <f t="shared" si="31"/>
        <v>0</v>
      </c>
      <c r="CU46" s="79">
        <f t="shared" si="27"/>
        <v>2056</v>
      </c>
      <c r="CV46" s="299">
        <f>scenarios!K52</f>
        <v>0.15356086593839693</v>
      </c>
      <c r="CW46" s="407">
        <f>scenarios!T52</f>
        <v>-0.43504009694967122</v>
      </c>
      <c r="CX46" s="211">
        <f>scenarios!AC52</f>
        <v>-0.3968684479668802</v>
      </c>
      <c r="CY46" s="407">
        <f>scenarios!AL52</f>
        <v>-0.43504009694967122</v>
      </c>
      <c r="CZ46" s="407">
        <f>scenarios!AU52</f>
        <v>-0.10563116688522463</v>
      </c>
      <c r="DA46" s="407">
        <f>scenarios!BD52</f>
        <v>-0.43504009694967122</v>
      </c>
      <c r="DB46" s="407">
        <f>scenarios!BM52</f>
        <v>4.693675383180578E-3</v>
      </c>
      <c r="DD46" s="79">
        <f t="shared" si="20"/>
        <v>2048</v>
      </c>
      <c r="DE46" s="299">
        <f t="shared" si="21"/>
        <v>4.0557792826663359</v>
      </c>
      <c r="DF46" s="211">
        <f t="shared" si="22"/>
        <v>-3.5680003717934339</v>
      </c>
      <c r="DG46" s="211">
        <f t="shared" si="23"/>
        <v>1.0088706449732183</v>
      </c>
      <c r="DH46" s="211">
        <f t="shared" si="24"/>
        <v>-2.4246216916061485</v>
      </c>
      <c r="DI46" s="211">
        <f t="shared" si="25"/>
        <v>2.3989738060864321</v>
      </c>
      <c r="DJ46" s="211">
        <f t="shared" si="25"/>
        <v>-2.0395208978333752</v>
      </c>
      <c r="DK46" s="293">
        <f t="shared" si="26"/>
        <v>0.27691860830715598</v>
      </c>
    </row>
    <row r="47" spans="1:115" x14ac:dyDescent="0.25">
      <c r="E47" s="55"/>
      <c r="F47" s="55"/>
      <c r="BR47" s="79"/>
      <c r="BS47" s="79"/>
      <c r="BT47" s="79">
        <f t="shared" si="13"/>
        <v>2057</v>
      </c>
      <c r="BU47" s="280">
        <f>scenarios!E53</f>
        <v>1.2204281050563686</v>
      </c>
      <c r="BV47" s="280">
        <f>scenarios!M53</f>
        <v>-4.3499999999999996</v>
      </c>
      <c r="BW47" s="280">
        <f>scenarios!V53</f>
        <v>-4.3499999999999996</v>
      </c>
      <c r="BX47" s="399">
        <f>scenarios!AE53</f>
        <v>-4.3499999999999996</v>
      </c>
      <c r="BY47" s="399">
        <f>scenarios!AN53</f>
        <v>-1.4881128248436104</v>
      </c>
      <c r="BZ47" s="399">
        <f>scenarios!AW53</f>
        <v>-4.3499999999999996</v>
      </c>
      <c r="CA47" s="399">
        <f>scenarios!BF53</f>
        <v>3.7477005992540335E-2</v>
      </c>
      <c r="CC47" s="79">
        <f t="shared" si="32"/>
        <v>2057</v>
      </c>
      <c r="CD47" s="278" t="e">
        <f>IF($BU46&gt;'goal seek'!$F$31,$BU47/$BU46-1,#N/A)</f>
        <v>#N/A</v>
      </c>
      <c r="CE47" s="278" t="e">
        <f>IF(BV46&gt;'goal seek'!$F$28,BV47/BV46-1,#N/A)</f>
        <v>#N/A</v>
      </c>
      <c r="CF47" s="278" t="e">
        <f>IF(BW46&gt;'goal seek'!$F$28,BW47/BW46-1,#N/A)</f>
        <v>#N/A</v>
      </c>
      <c r="CG47" s="402" t="e">
        <f>IF(BX46&gt;'goal seek'!$F$28,BX47/BX46-1,#N/A)</f>
        <v>#N/A</v>
      </c>
      <c r="CH47" s="402" t="e">
        <f>IF(BY46&gt;'goal seek'!$F$28,BY47/BY46-1,#N/A)</f>
        <v>#N/A</v>
      </c>
      <c r="CI47" s="402" t="e">
        <f>IF(BZ46&gt;'goal seek'!$F$28,BZ47/BZ46-1,#N/A)</f>
        <v>#N/A</v>
      </c>
      <c r="CJ47" s="402" t="e">
        <f>IF(CA46&gt;'goal seek'!$F$28,CA47/CA46-1,#N/A)</f>
        <v>#N/A</v>
      </c>
      <c r="CL47" s="79">
        <f t="shared" si="15"/>
        <v>2057</v>
      </c>
      <c r="CM47" s="278">
        <f t="shared" si="28"/>
        <v>0</v>
      </c>
      <c r="CN47" s="278">
        <f t="shared" si="29"/>
        <v>0</v>
      </c>
      <c r="CO47" s="278">
        <f t="shared" si="30"/>
        <v>0</v>
      </c>
      <c r="CP47" s="402">
        <f t="shared" si="33"/>
        <v>0</v>
      </c>
      <c r="CQ47" s="402">
        <f t="shared" si="34"/>
        <v>0</v>
      </c>
      <c r="CR47" s="402">
        <f t="shared" si="18"/>
        <v>0</v>
      </c>
      <c r="CS47" s="402">
        <f t="shared" si="31"/>
        <v>0</v>
      </c>
      <c r="CU47" s="79">
        <f t="shared" si="27"/>
        <v>2057</v>
      </c>
      <c r="CV47" s="299">
        <f>scenarios!K53</f>
        <v>0.12157024925829858</v>
      </c>
      <c r="CW47" s="407">
        <f>scenarios!T53</f>
        <v>-0.43331563906353454</v>
      </c>
      <c r="CX47" s="211">
        <f>scenarios!AC53</f>
        <v>-0.43331563906353454</v>
      </c>
      <c r="CY47" s="407">
        <f>scenarios!AL53</f>
        <v>-0.43331563906353454</v>
      </c>
      <c r="CZ47" s="407">
        <f>scenarios!AU53</f>
        <v>-0.14823507119442544</v>
      </c>
      <c r="DA47" s="407">
        <f>scenarios!BD53</f>
        <v>-0.43331563906353454</v>
      </c>
      <c r="DB47" s="407">
        <f>scenarios!BM53</f>
        <v>3.7331891498495469E-3</v>
      </c>
      <c r="DD47" s="79">
        <f t="shared" si="20"/>
        <v>2049</v>
      </c>
      <c r="DE47" s="299">
        <f t="shared" si="21"/>
        <v>3.7407402629318951</v>
      </c>
      <c r="DF47" s="211">
        <f t="shared" si="22"/>
        <v>-4.3499999999999996</v>
      </c>
      <c r="DG47" s="211">
        <f t="shared" si="23"/>
        <v>0.38672197780528972</v>
      </c>
      <c r="DH47" s="211">
        <f t="shared" si="24"/>
        <v>-3.3452329949596171</v>
      </c>
      <c r="DI47" s="211">
        <f t="shared" si="25"/>
        <v>1.9670752915386496</v>
      </c>
      <c r="DJ47" s="211">
        <f t="shared" si="25"/>
        <v>-3.5688727676838239</v>
      </c>
      <c r="DK47" s="293">
        <f t="shared" si="26"/>
        <v>0.22243457015738544</v>
      </c>
    </row>
    <row r="48" spans="1:115" x14ac:dyDescent="0.25">
      <c r="E48" s="55"/>
      <c r="F48" s="55"/>
      <c r="BR48" s="79"/>
      <c r="BS48" s="79"/>
      <c r="BT48" s="79">
        <f t="shared" si="13"/>
        <v>2058</v>
      </c>
      <c r="BU48" s="280">
        <f>scenarios!E54</f>
        <v>0.90538908532192774</v>
      </c>
      <c r="BV48" s="280">
        <f>scenarios!M54</f>
        <v>-4.3499999999999996</v>
      </c>
      <c r="BW48" s="280">
        <f>scenarios!V54</f>
        <v>-4.3499999999999996</v>
      </c>
      <c r="BX48" s="399">
        <f>scenarios!AE54</f>
        <v>-4.3499999999999996</v>
      </c>
      <c r="BY48" s="399">
        <f>scenarios!AN54</f>
        <v>-1.9200113393913929</v>
      </c>
      <c r="BZ48" s="399">
        <f>scenarios!AW54</f>
        <v>-4.3499999999999996</v>
      </c>
      <c r="CA48" s="399">
        <f>scenarios!BF54</f>
        <v>2.9909240852516977E-2</v>
      </c>
      <c r="CC48" s="79">
        <f t="shared" si="32"/>
        <v>2058</v>
      </c>
      <c r="CD48" s="278" t="e">
        <f>IF($BU47&gt;'goal seek'!$F$31,$BU48/$BU47-1,#N/A)</f>
        <v>#N/A</v>
      </c>
      <c r="CE48" s="278" t="e">
        <f>IF(BV47&gt;'goal seek'!$F$28,BV48/BV47-1,#N/A)</f>
        <v>#N/A</v>
      </c>
      <c r="CF48" s="278" t="e">
        <f>IF(BW47&gt;'goal seek'!$F$28,BW48/BW47-1,#N/A)</f>
        <v>#N/A</v>
      </c>
      <c r="CG48" s="402" t="e">
        <f>IF(BX47&gt;'goal seek'!$F$28,BX48/BX47-1,#N/A)</f>
        <v>#N/A</v>
      </c>
      <c r="CH48" s="402" t="e">
        <f>IF(BY47&gt;'goal seek'!$F$28,BY48/BY47-1,#N/A)</f>
        <v>#N/A</v>
      </c>
      <c r="CI48" s="402" t="e">
        <f>IF(BZ47&gt;'goal seek'!$F$28,BZ48/BZ47-1,#N/A)</f>
        <v>#N/A</v>
      </c>
      <c r="CJ48" s="402" t="e">
        <f>IF(CA47&gt;'goal seek'!$F$28,CA48/CA47-1,#N/A)</f>
        <v>#N/A</v>
      </c>
      <c r="CL48" s="79">
        <f t="shared" si="15"/>
        <v>2058</v>
      </c>
      <c r="CM48" s="278">
        <f t="shared" si="28"/>
        <v>0</v>
      </c>
      <c r="CN48" s="278">
        <f t="shared" si="29"/>
        <v>0</v>
      </c>
      <c r="CO48" s="278">
        <f t="shared" si="30"/>
        <v>0</v>
      </c>
      <c r="CP48" s="402">
        <f t="shared" si="33"/>
        <v>0</v>
      </c>
      <c r="CQ48" s="402">
        <f t="shared" si="34"/>
        <v>0</v>
      </c>
      <c r="CR48" s="402">
        <f t="shared" si="18"/>
        <v>0</v>
      </c>
      <c r="CS48" s="402">
        <f t="shared" si="31"/>
        <v>0</v>
      </c>
      <c r="CU48" s="79">
        <f t="shared" si="27"/>
        <v>2058</v>
      </c>
      <c r="CV48" s="299">
        <f>scenarios!K54</f>
        <v>8.984258164458811E-2</v>
      </c>
      <c r="CW48" s="407">
        <f>scenarios!T54</f>
        <v>-0.4316544527538641</v>
      </c>
      <c r="CX48" s="211">
        <f>scenarios!AC54</f>
        <v>-0.4316544527538641</v>
      </c>
      <c r="CY48" s="407">
        <f>scenarios!AL54</f>
        <v>-0.4316544527538641</v>
      </c>
      <c r="CZ48" s="407">
        <f>scenarios!AU54</f>
        <v>-0.19052446988188629</v>
      </c>
      <c r="DA48" s="407">
        <f>scenarios!BD54</f>
        <v>-0.4316544527538641</v>
      </c>
      <c r="DB48" s="407">
        <f>scenarios!BM54</f>
        <v>2.9679211476958001E-3</v>
      </c>
      <c r="DD48" s="79">
        <f t="shared" si="20"/>
        <v>2050</v>
      </c>
      <c r="DE48" s="299">
        <f t="shared" si="21"/>
        <v>3.4257012431974543</v>
      </c>
      <c r="DF48" s="211">
        <f t="shared" si="22"/>
        <v>-4.3499999999999996</v>
      </c>
      <c r="DG48" s="211">
        <f t="shared" si="23"/>
        <v>-0.23542668936263889</v>
      </c>
      <c r="DH48" s="211">
        <f t="shared" si="24"/>
        <v>-4.2658442983130858</v>
      </c>
      <c r="DI48" s="211">
        <f t="shared" si="25"/>
        <v>1.5351767769908671</v>
      </c>
      <c r="DJ48" s="211">
        <f t="shared" si="25"/>
        <v>-4.3499999999999996</v>
      </c>
      <c r="DK48" s="293">
        <f t="shared" si="26"/>
        <v>0.17851180150263735</v>
      </c>
    </row>
    <row r="49" spans="1:115" x14ac:dyDescent="0.25">
      <c r="E49" s="55"/>
      <c r="F49" s="55"/>
      <c r="BR49" s="79"/>
      <c r="BS49" s="79"/>
      <c r="BT49" s="79">
        <f t="shared" si="13"/>
        <v>2059</v>
      </c>
      <c r="BU49" s="280">
        <f>scenarios!E55</f>
        <v>0.59035006558748693</v>
      </c>
      <c r="BV49" s="280">
        <f>scenarios!M55</f>
        <v>-4.3499999999999996</v>
      </c>
      <c r="BW49" s="280">
        <f>scenarios!V55</f>
        <v>-4.3499999999999996</v>
      </c>
      <c r="BX49" s="399">
        <f>scenarios!AE55</f>
        <v>-4.3499999999999996</v>
      </c>
      <c r="BY49" s="399">
        <f>scenarios!AN55</f>
        <v>-2.3519098539391754</v>
      </c>
      <c r="BZ49" s="399">
        <f>scenarios!AW55</f>
        <v>-4.3499999999999996</v>
      </c>
      <c r="CA49" s="399">
        <f>scenarios!BF55</f>
        <v>2.3856470934856572E-2</v>
      </c>
      <c r="CC49" s="79">
        <f t="shared" si="32"/>
        <v>2059</v>
      </c>
      <c r="CD49" s="278" t="e">
        <f>IF($BU48&gt;'goal seek'!$F$31,$BU49/$BU48-1,#N/A)</f>
        <v>#N/A</v>
      </c>
      <c r="CE49" s="278" t="e">
        <f>IF(BV48&gt;'goal seek'!$F$28,BV49/BV48-1,#N/A)</f>
        <v>#N/A</v>
      </c>
      <c r="CF49" s="278" t="e">
        <f>IF(BW48&gt;'goal seek'!$F$28,BW49/BW48-1,#N/A)</f>
        <v>#N/A</v>
      </c>
      <c r="CG49" s="402" t="e">
        <f>IF(BX48&gt;'goal seek'!$F$28,BX49/BX48-1,#N/A)</f>
        <v>#N/A</v>
      </c>
      <c r="CH49" s="402" t="e">
        <f>IF(BY48&gt;'goal seek'!$F$28,BY49/BY48-1,#N/A)</f>
        <v>#N/A</v>
      </c>
      <c r="CI49" s="402" t="e">
        <f>IF(BZ48&gt;'goal seek'!$F$28,BZ49/BZ48-1,#N/A)</f>
        <v>#N/A</v>
      </c>
      <c r="CJ49" s="402" t="e">
        <f>IF(CA48&gt;'goal seek'!$F$28,CA49/CA48-1,#N/A)</f>
        <v>#N/A</v>
      </c>
      <c r="CL49" s="79">
        <f t="shared" si="15"/>
        <v>2059</v>
      </c>
      <c r="CM49" s="278">
        <f t="shared" si="28"/>
        <v>0</v>
      </c>
      <c r="CN49" s="278">
        <f t="shared" si="29"/>
        <v>0</v>
      </c>
      <c r="CO49" s="278">
        <f t="shared" si="30"/>
        <v>0</v>
      </c>
      <c r="CP49" s="402">
        <f t="shared" si="33"/>
        <v>0</v>
      </c>
      <c r="CQ49" s="402">
        <f t="shared" si="34"/>
        <v>0</v>
      </c>
      <c r="CR49" s="402">
        <f t="shared" si="18"/>
        <v>0</v>
      </c>
      <c r="CS49" s="402">
        <f t="shared" si="31"/>
        <v>0</v>
      </c>
      <c r="CU49" s="79">
        <f t="shared" si="27"/>
        <v>2059</v>
      </c>
      <c r="CV49" s="299">
        <f>scenarios!K55</f>
        <v>5.8363709223822481E-2</v>
      </c>
      <c r="CW49" s="407">
        <f>scenarios!T55</f>
        <v>-0.43005353928601153</v>
      </c>
      <c r="CX49" s="211">
        <f>scenarios!AC55</f>
        <v>-0.43005353928601153</v>
      </c>
      <c r="CY49" s="407">
        <f>scenarios!AL55</f>
        <v>-0.43005353928601153</v>
      </c>
      <c r="CZ49" s="407">
        <f>scenarios!AU55</f>
        <v>-0.23251658776280204</v>
      </c>
      <c r="DA49" s="407">
        <f>scenarios!BD55</f>
        <v>-0.43005353928601153</v>
      </c>
      <c r="DB49" s="407">
        <f>scenarios!BM55</f>
        <v>2.3585194851514788E-3</v>
      </c>
      <c r="DD49" s="79">
        <f t="shared" ref="DD49:DD80" si="35">BT41</f>
        <v>2051</v>
      </c>
      <c r="DE49" s="299">
        <f t="shared" ref="DE49:DE80" si="36">BU41</f>
        <v>3.1106622234630135</v>
      </c>
      <c r="DF49" s="211">
        <f t="shared" ref="DF49:DF80" si="37">BV41</f>
        <v>-4.3499999999999996</v>
      </c>
      <c r="DG49" s="211">
        <f t="shared" ref="DG49:DG80" si="38">BW41</f>
        <v>-0.85757535653056749</v>
      </c>
      <c r="DH49" s="211">
        <f t="shared" ref="DH49:DH80" si="39">BX41</f>
        <v>-4.3499999999999996</v>
      </c>
      <c r="DI49" s="211">
        <f t="shared" ref="DI49:DJ80" si="40">BY41</f>
        <v>1.1032782624430846</v>
      </c>
      <c r="DJ49" s="211">
        <f t="shared" si="40"/>
        <v>-4.3499999999999996</v>
      </c>
      <c r="DK49" s="293">
        <f t="shared" ref="DK49:DK80" si="41">CA41</f>
        <v>0.14314232650366598</v>
      </c>
    </row>
    <row r="50" spans="1:115" ht="13.9" customHeight="1" x14ac:dyDescent="0.25">
      <c r="E50" s="55"/>
      <c r="F50" s="55"/>
      <c r="BR50" s="79"/>
      <c r="BS50" s="79">
        <v>2060</v>
      </c>
      <c r="BT50" s="79">
        <f t="shared" si="13"/>
        <v>2060</v>
      </c>
      <c r="BU50" s="280">
        <f>scenarios!E56</f>
        <v>0.27531104585304611</v>
      </c>
      <c r="BV50" s="280">
        <f>scenarios!M56</f>
        <v>-4.3499999999999996</v>
      </c>
      <c r="BW50" s="280">
        <f>scenarios!V56</f>
        <v>-4.3499999999999996</v>
      </c>
      <c r="BX50" s="399">
        <f>scenarios!AE56</f>
        <v>-4.3499999999999996</v>
      </c>
      <c r="BY50" s="399">
        <f>scenarios!AN56</f>
        <v>-2.7838083684869579</v>
      </c>
      <c r="BZ50" s="399">
        <f>scenarios!AW56</f>
        <v>-4.3499999999999996</v>
      </c>
      <c r="CA50" s="399">
        <f>scenarios!BF56</f>
        <v>1.9018584686248563E-2</v>
      </c>
      <c r="CC50" s="79">
        <f t="shared" si="32"/>
        <v>2060</v>
      </c>
      <c r="CD50" s="278" t="e">
        <f>IF($BU49&gt;'goal seek'!$F$31,$BU50/$BU49-1,#N/A)</f>
        <v>#N/A</v>
      </c>
      <c r="CE50" s="278" t="e">
        <f>IF(BV49&gt;'goal seek'!$F$28,BV50/BV49-1,#N/A)</f>
        <v>#N/A</v>
      </c>
      <c r="CF50" s="278" t="e">
        <f>IF(BW49&gt;'goal seek'!$F$28,BW50/BW49-1,#N/A)</f>
        <v>#N/A</v>
      </c>
      <c r="CG50" s="402" t="e">
        <f>IF(BX49&gt;'goal seek'!$F$28,BX50/BX49-1,#N/A)</f>
        <v>#N/A</v>
      </c>
      <c r="CH50" s="402" t="e">
        <f>IF(BY49&gt;'goal seek'!$F$28,BY50/BY49-1,#N/A)</f>
        <v>#N/A</v>
      </c>
      <c r="CI50" s="402" t="e">
        <f>IF(BZ49&gt;'goal seek'!$F$28,BZ50/BZ49-1,#N/A)</f>
        <v>#N/A</v>
      </c>
      <c r="CJ50" s="402" t="e">
        <f>IF(CA49&gt;'goal seek'!$F$28,CA50/CA49-1,#N/A)</f>
        <v>#N/A</v>
      </c>
      <c r="CL50" s="79">
        <f t="shared" si="15"/>
        <v>2060</v>
      </c>
      <c r="CM50" s="278">
        <f t="shared" si="28"/>
        <v>0</v>
      </c>
      <c r="CN50" s="278">
        <f t="shared" si="29"/>
        <v>0</v>
      </c>
      <c r="CO50" s="278">
        <f t="shared" si="30"/>
        <v>0</v>
      </c>
      <c r="CP50" s="402">
        <f t="shared" si="33"/>
        <v>0</v>
      </c>
      <c r="CQ50" s="402">
        <f t="shared" si="34"/>
        <v>0</v>
      </c>
      <c r="CR50" s="402">
        <f t="shared" si="18"/>
        <v>0</v>
      </c>
      <c r="CS50" s="402">
        <f t="shared" si="31"/>
        <v>0</v>
      </c>
      <c r="CU50" s="79">
        <f t="shared" si="27"/>
        <v>2060</v>
      </c>
      <c r="CV50" s="299">
        <f>scenarios!K56</f>
        <v>2.7120369942735714E-2</v>
      </c>
      <c r="CW50" s="407">
        <f>scenarios!T56</f>
        <v>-0.42851026512707235</v>
      </c>
      <c r="CX50" s="211">
        <f>scenarios!AC56</f>
        <v>-0.42851026512707235</v>
      </c>
      <c r="CY50" s="407">
        <f>scenarios!AL56</f>
        <v>-0.42851026512707235</v>
      </c>
      <c r="CZ50" s="407">
        <f>scenarios!AU56</f>
        <v>-0.27422769242374923</v>
      </c>
      <c r="DA50" s="407">
        <f>scenarios!BD56</f>
        <v>-0.42851026512707235</v>
      </c>
      <c r="DB50" s="407">
        <f>scenarios!BM56</f>
        <v>1.8734847738496666E-3</v>
      </c>
      <c r="DD50" s="79">
        <f t="shared" si="35"/>
        <v>2052</v>
      </c>
      <c r="DE50" s="299">
        <f t="shared" si="36"/>
        <v>2.7956232037285726</v>
      </c>
      <c r="DF50" s="211">
        <f t="shared" si="37"/>
        <v>-4.3499999999999996</v>
      </c>
      <c r="DG50" s="211">
        <f t="shared" si="38"/>
        <v>-1.4797240236984961</v>
      </c>
      <c r="DH50" s="211">
        <f t="shared" si="39"/>
        <v>-4.3499999999999996</v>
      </c>
      <c r="DI50" s="211">
        <f t="shared" si="40"/>
        <v>0.67137974789530208</v>
      </c>
      <c r="DJ50" s="211">
        <f t="shared" si="40"/>
        <v>-4.3499999999999996</v>
      </c>
      <c r="DK50" s="293">
        <f t="shared" si="41"/>
        <v>0.11469008108803347</v>
      </c>
    </row>
    <row r="51" spans="1:115" x14ac:dyDescent="0.25">
      <c r="E51" s="55"/>
      <c r="F51" s="55"/>
      <c r="BR51" s="79"/>
      <c r="BS51" s="79"/>
      <c r="BT51" s="79">
        <f t="shared" si="13"/>
        <v>2061</v>
      </c>
      <c r="BU51" s="280">
        <f>scenarios!E57</f>
        <v>-3.9727973881394707E-2</v>
      </c>
      <c r="BV51" s="280">
        <f>scenarios!M57</f>
        <v>-4.3499999999999996</v>
      </c>
      <c r="BW51" s="280">
        <f>scenarios!V57</f>
        <v>-4.3499999999999996</v>
      </c>
      <c r="BX51" s="399">
        <f>scenarios!AE57</f>
        <v>-4.3499999999999996</v>
      </c>
      <c r="BY51" s="399">
        <f>scenarios!AN57</f>
        <v>-3.2157068830347404</v>
      </c>
      <c r="BZ51" s="399">
        <f>scenarios!AW57</f>
        <v>-4.3499999999999996</v>
      </c>
      <c r="CA51" s="399">
        <f>scenarios!BF57</f>
        <v>1.5154148224542634E-2</v>
      </c>
      <c r="CC51" s="79">
        <f t="shared" si="32"/>
        <v>2061</v>
      </c>
      <c r="CD51" s="278" t="e">
        <f>IF($BU50&gt;'goal seek'!$F$31,$BU51/$BU50-1,#N/A)</f>
        <v>#N/A</v>
      </c>
      <c r="CE51" s="278" t="e">
        <f>IF(BV50&gt;'goal seek'!$F$28,BV51/BV50-1,#N/A)</f>
        <v>#N/A</v>
      </c>
      <c r="CF51" s="278" t="e">
        <f>IF(BW50&gt;'goal seek'!$F$28,BW51/BW50-1,#N/A)</f>
        <v>#N/A</v>
      </c>
      <c r="CG51" s="402" t="e">
        <f>IF(BX50&gt;'goal seek'!$F$28,BX51/BX50-1,#N/A)</f>
        <v>#N/A</v>
      </c>
      <c r="CH51" s="402" t="e">
        <f>IF(BY50&gt;'goal seek'!$F$28,BY51/BY50-1,#N/A)</f>
        <v>#N/A</v>
      </c>
      <c r="CI51" s="402" t="e">
        <f>IF(BZ50&gt;'goal seek'!$F$28,BZ51/BZ50-1,#N/A)</f>
        <v>#N/A</v>
      </c>
      <c r="CJ51" s="402" t="e">
        <f>IF(CA50&gt;'goal seek'!$F$28,CA51/CA50-1,#N/A)</f>
        <v>#N/A</v>
      </c>
      <c r="CL51" s="79">
        <f t="shared" si="15"/>
        <v>2061</v>
      </c>
      <c r="CM51" s="278">
        <f t="shared" si="28"/>
        <v>0</v>
      </c>
      <c r="CN51" s="278">
        <f t="shared" si="29"/>
        <v>0</v>
      </c>
      <c r="CO51" s="278">
        <f t="shared" si="30"/>
        <v>0</v>
      </c>
      <c r="CP51" s="402">
        <f t="shared" si="33"/>
        <v>0</v>
      </c>
      <c r="CQ51" s="402">
        <f t="shared" si="34"/>
        <v>0</v>
      </c>
      <c r="CR51" s="402">
        <f t="shared" si="18"/>
        <v>0</v>
      </c>
      <c r="CS51" s="402">
        <f t="shared" si="31"/>
        <v>0</v>
      </c>
      <c r="CU51" s="79">
        <f t="shared" si="27"/>
        <v>2061</v>
      </c>
      <c r="CV51" s="299">
        <f>scenarios!K57</f>
        <v>-3.8999419532009414E-3</v>
      </c>
      <c r="CW51" s="407">
        <f>scenarios!T57</f>
        <v>-0.42702272074259945</v>
      </c>
      <c r="CX51" s="211">
        <f>scenarios!AC57</f>
        <v>-0.42702272074259945</v>
      </c>
      <c r="CY51" s="407">
        <f>scenarios!AL57</f>
        <v>-0.42702272074259945</v>
      </c>
      <c r="CZ51" s="407">
        <f>scenarios!AU57</f>
        <v>-0.31567354075958598</v>
      </c>
      <c r="DA51" s="407">
        <f>scenarios!BD57</f>
        <v>-0.42702272074259945</v>
      </c>
      <c r="DB51" s="407">
        <f>scenarios!BM57</f>
        <v>1.4876242770990411E-3</v>
      </c>
      <c r="DD51" s="79">
        <f t="shared" si="35"/>
        <v>2053</v>
      </c>
      <c r="DE51" s="299">
        <f t="shared" si="36"/>
        <v>2.4805841839941318</v>
      </c>
      <c r="DF51" s="211">
        <f t="shared" si="37"/>
        <v>-4.3499999999999996</v>
      </c>
      <c r="DG51" s="211">
        <f t="shared" si="38"/>
        <v>-2.1018726908664247</v>
      </c>
      <c r="DH51" s="211">
        <f t="shared" si="39"/>
        <v>-4.3499999999999996</v>
      </c>
      <c r="DI51" s="211">
        <f t="shared" si="40"/>
        <v>0.23948123334751958</v>
      </c>
      <c r="DJ51" s="211">
        <f t="shared" si="40"/>
        <v>-4.3499999999999996</v>
      </c>
      <c r="DK51" s="293">
        <f t="shared" si="41"/>
        <v>9.1824553318918978E-2</v>
      </c>
    </row>
    <row r="52" spans="1:115" x14ac:dyDescent="0.25">
      <c r="E52" s="55"/>
      <c r="BR52" s="79"/>
      <c r="BS52" s="79"/>
      <c r="BT52" s="79">
        <f t="shared" si="13"/>
        <v>2062</v>
      </c>
      <c r="BU52" s="280">
        <f>scenarios!E58</f>
        <v>-0.35476699361583552</v>
      </c>
      <c r="BV52" s="280">
        <f>scenarios!M58</f>
        <v>-4.3499999999999996</v>
      </c>
      <c r="BW52" s="280">
        <f>scenarios!V58</f>
        <v>-4.3499999999999996</v>
      </c>
      <c r="BX52" s="399">
        <f>scenarios!AE58</f>
        <v>-4.3499999999999996</v>
      </c>
      <c r="BY52" s="399">
        <f>scenarios!AN58</f>
        <v>-3.6476053975825229</v>
      </c>
      <c r="BZ52" s="399">
        <f>scenarios!AW58</f>
        <v>-4.3499999999999996</v>
      </c>
      <c r="CA52" s="399">
        <f>scenarios!BF58</f>
        <v>1.2069122650795593E-2</v>
      </c>
      <c r="CC52" s="79">
        <f t="shared" si="32"/>
        <v>2062</v>
      </c>
      <c r="CD52" s="278" t="e">
        <f>IF($BU51&gt;'goal seek'!$F$31,$BU52/$BU51-1,#N/A)</f>
        <v>#N/A</v>
      </c>
      <c r="CE52" s="278" t="e">
        <f>IF(BV51&gt;'goal seek'!$F$28,BV52/BV51-1,#N/A)</f>
        <v>#N/A</v>
      </c>
      <c r="CF52" s="278" t="e">
        <f>IF(BW51&gt;'goal seek'!$F$28,BW52/BW51-1,#N/A)</f>
        <v>#N/A</v>
      </c>
      <c r="CG52" s="402" t="e">
        <f>IF(BX51&gt;'goal seek'!$F$28,BX52/BX51-1,#N/A)</f>
        <v>#N/A</v>
      </c>
      <c r="CH52" s="402" t="e">
        <f>IF(BY51&gt;'goal seek'!$F$28,BY52/BY51-1,#N/A)</f>
        <v>#N/A</v>
      </c>
      <c r="CI52" s="402" t="e">
        <f>IF(BZ51&gt;'goal seek'!$F$28,BZ52/BZ51-1,#N/A)</f>
        <v>#N/A</v>
      </c>
      <c r="CJ52" s="402" t="e">
        <f>IF(CA51&gt;'goal seek'!$F$28,CA52/CA51-1,#N/A)</f>
        <v>#N/A</v>
      </c>
      <c r="CL52" s="79">
        <f t="shared" si="15"/>
        <v>2062</v>
      </c>
      <c r="CM52" s="278">
        <f t="shared" si="28"/>
        <v>0</v>
      </c>
      <c r="CN52" s="278">
        <f t="shared" si="29"/>
        <v>0</v>
      </c>
      <c r="CO52" s="278">
        <f t="shared" si="30"/>
        <v>0</v>
      </c>
      <c r="CP52" s="402">
        <f t="shared" si="33"/>
        <v>0</v>
      </c>
      <c r="CQ52" s="402">
        <f t="shared" si="34"/>
        <v>0</v>
      </c>
      <c r="CR52" s="402">
        <f t="shared" si="18"/>
        <v>0</v>
      </c>
      <c r="CS52" s="402">
        <f t="shared" si="31"/>
        <v>0</v>
      </c>
      <c r="CU52" s="79">
        <f t="shared" si="27"/>
        <v>2062</v>
      </c>
      <c r="CV52" s="299">
        <f>scenarios!K58</f>
        <v>-3.4709214853405231E-2</v>
      </c>
      <c r="CW52" s="407">
        <f>scenarios!T58</f>
        <v>-0.42558943568411306</v>
      </c>
      <c r="CX52" s="211">
        <f>scenarios!AC58</f>
        <v>-0.42558943568411306</v>
      </c>
      <c r="CY52" s="407">
        <f>scenarios!AL58</f>
        <v>-0.42558943568411306</v>
      </c>
      <c r="CZ52" s="407">
        <f>scenarios!AU58</f>
        <v>-0.35686949948401625</v>
      </c>
      <c r="DA52" s="407">
        <f>scenarios!BD58</f>
        <v>-0.42558943568411306</v>
      </c>
      <c r="DB52" s="407">
        <f>scenarios!BM58</f>
        <v>1.180802551299872E-3</v>
      </c>
      <c r="DD52" s="79">
        <f t="shared" si="35"/>
        <v>2054</v>
      </c>
      <c r="DE52" s="299">
        <f t="shared" si="36"/>
        <v>2.165545164259691</v>
      </c>
      <c r="DF52" s="211">
        <f t="shared" si="37"/>
        <v>-4.3499999999999996</v>
      </c>
      <c r="DG52" s="211">
        <f t="shared" si="38"/>
        <v>-2.7240213580343533</v>
      </c>
      <c r="DH52" s="211">
        <f t="shared" si="39"/>
        <v>-4.3499999999999996</v>
      </c>
      <c r="DI52" s="211">
        <f t="shared" si="40"/>
        <v>-0.19241728120026291</v>
      </c>
      <c r="DJ52" s="211">
        <f t="shared" si="40"/>
        <v>-4.3499999999999996</v>
      </c>
      <c r="DK52" s="293">
        <f t="shared" si="41"/>
        <v>7.3465600361367511E-2</v>
      </c>
    </row>
    <row r="53" spans="1:115" x14ac:dyDescent="0.25">
      <c r="BR53" s="79"/>
      <c r="BS53" s="79"/>
      <c r="BT53" s="79">
        <f>BT52+1</f>
        <v>2063</v>
      </c>
      <c r="BU53" s="280">
        <f>scenarios!E59</f>
        <v>-0.66980601335027634</v>
      </c>
      <c r="BV53" s="280">
        <f>scenarios!M59</f>
        <v>-4.3499999999999996</v>
      </c>
      <c r="BW53" s="280">
        <f>scenarios!V59</f>
        <v>-4.3499999999999996</v>
      </c>
      <c r="BX53" s="399">
        <f>scenarios!AE59</f>
        <v>-4.3499999999999996</v>
      </c>
      <c r="BY53" s="399">
        <f>scenarios!AN59</f>
        <v>-4.0795039121303054</v>
      </c>
      <c r="BZ53" s="399">
        <f>scenarios!AW59</f>
        <v>-4.3499999999999996</v>
      </c>
      <c r="CA53" s="399">
        <f>scenarios!BF59</f>
        <v>9.6077035150404153E-3</v>
      </c>
      <c r="CC53" s="79">
        <f t="shared" si="32"/>
        <v>2063</v>
      </c>
      <c r="CD53" s="278" t="e">
        <f>IF($BU52&gt;'goal seek'!$F$31,$BU53/$BU52-1,#N/A)</f>
        <v>#N/A</v>
      </c>
      <c r="CE53" s="278" t="e">
        <f>IF(BV52&gt;'goal seek'!$F$28,BV53/BV52-1,#N/A)</f>
        <v>#N/A</v>
      </c>
      <c r="CF53" s="278" t="e">
        <f>IF(BW52&gt;'goal seek'!$F$28,BW53/BW52-1,#N/A)</f>
        <v>#N/A</v>
      </c>
      <c r="CG53" s="402" t="e">
        <f>IF(BX52&gt;'goal seek'!$F$28,BX53/BX52-1,#N/A)</f>
        <v>#N/A</v>
      </c>
      <c r="CH53" s="402" t="e">
        <f>IF(BY52&gt;'goal seek'!$F$28,BY53/BY52-1,#N/A)</f>
        <v>#N/A</v>
      </c>
      <c r="CI53" s="402" t="e">
        <f>IF(BZ52&gt;'goal seek'!$F$28,BZ53/BZ52-1,#N/A)</f>
        <v>#N/A</v>
      </c>
      <c r="CJ53" s="402" t="e">
        <f>IF(CA52&gt;'goal seek'!$F$28,CA53/CA52-1,#N/A)</f>
        <v>#N/A</v>
      </c>
      <c r="CL53" s="79">
        <f t="shared" si="15"/>
        <v>2063</v>
      </c>
      <c r="CM53" s="278">
        <f t="shared" si="28"/>
        <v>0</v>
      </c>
      <c r="CN53" s="278">
        <f t="shared" si="29"/>
        <v>0</v>
      </c>
      <c r="CO53" s="278">
        <f t="shared" si="30"/>
        <v>0</v>
      </c>
      <c r="CP53" s="402">
        <f t="shared" si="33"/>
        <v>0</v>
      </c>
      <c r="CQ53" s="402">
        <f t="shared" si="34"/>
        <v>0</v>
      </c>
      <c r="CR53" s="402">
        <f t="shared" si="18"/>
        <v>0</v>
      </c>
      <c r="CS53" s="402">
        <f t="shared" si="31"/>
        <v>0</v>
      </c>
      <c r="CU53" s="79">
        <f t="shared" si="27"/>
        <v>2063</v>
      </c>
      <c r="CV53" s="299">
        <f>scenarios!K59</f>
        <v>-6.5319000244401001E-2</v>
      </c>
      <c r="CW53" s="407">
        <f>scenarios!T59</f>
        <v>-0.42420886853781348</v>
      </c>
      <c r="CX53" s="211">
        <f>scenarios!AC59</f>
        <v>-0.42420886853781348</v>
      </c>
      <c r="CY53" s="407">
        <f>scenarios!AL59</f>
        <v>-0.42420886853781348</v>
      </c>
      <c r="CZ53" s="407">
        <f>scenarios!AU59</f>
        <v>-0.39783028477250132</v>
      </c>
      <c r="DA53" s="407">
        <f>scenarios!BD59</f>
        <v>-0.42420886853781348</v>
      </c>
      <c r="DB53" s="407">
        <f>scenarios!BM59</f>
        <v>9.3693633042806162E-4</v>
      </c>
      <c r="DD53" s="79">
        <f t="shared" si="35"/>
        <v>2055</v>
      </c>
      <c r="DE53" s="299">
        <f t="shared" si="36"/>
        <v>1.8505061445252502</v>
      </c>
      <c r="DF53" s="211">
        <f t="shared" si="37"/>
        <v>-4.3499999999999996</v>
      </c>
      <c r="DG53" s="211">
        <f t="shared" si="38"/>
        <v>-3.3461700252022819</v>
      </c>
      <c r="DH53" s="211">
        <f t="shared" si="39"/>
        <v>-4.3499999999999996</v>
      </c>
      <c r="DI53" s="211">
        <f t="shared" si="40"/>
        <v>-0.62431579574804541</v>
      </c>
      <c r="DJ53" s="211">
        <f t="shared" si="40"/>
        <v>-4.3499999999999996</v>
      </c>
      <c r="DK53" s="293">
        <f t="shared" si="41"/>
        <v>5.8737740815139106E-2</v>
      </c>
    </row>
    <row r="54" spans="1:115" x14ac:dyDescent="0.25">
      <c r="BR54" s="79"/>
      <c r="BS54" s="79"/>
      <c r="BT54" s="79">
        <f t="shared" si="13"/>
        <v>2064</v>
      </c>
      <c r="BU54" s="280">
        <f>scenarios!E60</f>
        <v>-0.98484503308471716</v>
      </c>
      <c r="BV54" s="280">
        <f>scenarios!M60</f>
        <v>-4.3499999999999996</v>
      </c>
      <c r="BW54" s="280">
        <f>scenarios!V60</f>
        <v>-4.3499999999999996</v>
      </c>
      <c r="BX54" s="399">
        <f>scenarios!AE60</f>
        <v>-4.3499999999999996</v>
      </c>
      <c r="BY54" s="399">
        <f>scenarios!AN60</f>
        <v>-4.3499999999999996</v>
      </c>
      <c r="BZ54" s="399">
        <f>scenarios!AW60</f>
        <v>-4.3499999999999996</v>
      </c>
      <c r="CA54" s="399">
        <f>scenarios!BF60</f>
        <v>7.6448952630430445E-3</v>
      </c>
      <c r="CC54" s="79">
        <f t="shared" si="32"/>
        <v>2064</v>
      </c>
      <c r="CD54" s="278" t="e">
        <f>IF($BU53&gt;'goal seek'!$F$31,$BU54/$BU53-1,#N/A)</f>
        <v>#N/A</v>
      </c>
      <c r="CE54" s="278" t="e">
        <f>IF(BV53&gt;'goal seek'!$F$28,BV54/BV53-1,#N/A)</f>
        <v>#N/A</v>
      </c>
      <c r="CF54" s="278" t="e">
        <f>IF(BW53&gt;'goal seek'!$F$28,BW54/BW53-1,#N/A)</f>
        <v>#N/A</v>
      </c>
      <c r="CG54" s="402" t="e">
        <f>IF(BX53&gt;'goal seek'!$F$28,BX54/BX53-1,#N/A)</f>
        <v>#N/A</v>
      </c>
      <c r="CH54" s="402" t="e">
        <f>IF(BY53&gt;'goal seek'!$F$28,BY54/BY53-1,#N/A)</f>
        <v>#N/A</v>
      </c>
      <c r="CI54" s="402" t="e">
        <f>IF(BZ53&gt;'goal seek'!$F$28,BZ54/BZ53-1,#N/A)</f>
        <v>#N/A</v>
      </c>
      <c r="CJ54" s="402" t="e">
        <f>IF(CA53&gt;'goal seek'!$F$28,CA54/CA53-1,#N/A)</f>
        <v>#N/A</v>
      </c>
      <c r="CL54" s="79">
        <f t="shared" si="15"/>
        <v>2064</v>
      </c>
      <c r="CM54" s="278">
        <f t="shared" si="28"/>
        <v>0</v>
      </c>
      <c r="CN54" s="278">
        <f t="shared" si="29"/>
        <v>0</v>
      </c>
      <c r="CO54" s="278">
        <f t="shared" si="30"/>
        <v>0</v>
      </c>
      <c r="CP54" s="402">
        <f t="shared" si="33"/>
        <v>0</v>
      </c>
      <c r="CQ54" s="402">
        <f t="shared" si="34"/>
        <v>0</v>
      </c>
      <c r="CR54" s="402">
        <f t="shared" si="18"/>
        <v>0</v>
      </c>
      <c r="CS54" s="402">
        <f t="shared" si="31"/>
        <v>0</v>
      </c>
      <c r="CU54" s="79">
        <f t="shared" si="27"/>
        <v>2064</v>
      </c>
      <c r="CV54" s="299">
        <f>scenarios!K60</f>
        <v>-9.5740431780751492E-2</v>
      </c>
      <c r="CW54" s="407">
        <f>scenarios!T60</f>
        <v>-0.42287960466410141</v>
      </c>
      <c r="CX54" s="211">
        <f>scenarios!AC60</f>
        <v>-0.42287960466410141</v>
      </c>
      <c r="CY54" s="407">
        <f>scenarios!AL60</f>
        <v>-0.42287960466410141</v>
      </c>
      <c r="CZ54" s="407">
        <f>scenarios!AU60</f>
        <v>-0.42287960466410141</v>
      </c>
      <c r="DA54" s="407">
        <f>scenarios!BD60</f>
        <v>-0.42287960466410141</v>
      </c>
      <c r="DB54" s="407">
        <f>scenarios!BM60</f>
        <v>7.4318857161703548E-4</v>
      </c>
      <c r="DD54" s="79">
        <f t="shared" si="35"/>
        <v>2056</v>
      </c>
      <c r="DE54" s="299">
        <f t="shared" si="36"/>
        <v>1.5354671247908094</v>
      </c>
      <c r="DF54" s="211">
        <f t="shared" si="37"/>
        <v>-4.3499999999999996</v>
      </c>
      <c r="DG54" s="211">
        <f t="shared" si="38"/>
        <v>-3.9683186923702105</v>
      </c>
      <c r="DH54" s="211">
        <f t="shared" si="39"/>
        <v>-4.3499999999999996</v>
      </c>
      <c r="DI54" s="211">
        <f t="shared" si="40"/>
        <v>-1.0562143102958279</v>
      </c>
      <c r="DJ54" s="211">
        <f t="shared" si="40"/>
        <v>-4.3499999999999996</v>
      </c>
      <c r="DK54" s="293">
        <f t="shared" si="41"/>
        <v>4.6932427746303962E-2</v>
      </c>
    </row>
    <row r="55" spans="1:115" x14ac:dyDescent="0.25">
      <c r="BR55" s="79"/>
      <c r="BS55" s="79"/>
      <c r="BT55" s="79">
        <f t="shared" si="13"/>
        <v>2065</v>
      </c>
      <c r="BU55" s="280">
        <f>scenarios!E61</f>
        <v>-1.299884052819158</v>
      </c>
      <c r="BV55" s="280">
        <f>scenarios!M61</f>
        <v>-4.3499999999999996</v>
      </c>
      <c r="BW55" s="280">
        <f>scenarios!V61</f>
        <v>-4.3499999999999996</v>
      </c>
      <c r="BX55" s="399">
        <f>scenarios!AE61</f>
        <v>-4.3499999999999996</v>
      </c>
      <c r="BY55" s="399">
        <f>scenarios!AN61</f>
        <v>-4.3499999999999996</v>
      </c>
      <c r="BZ55" s="399">
        <f>scenarios!AW61</f>
        <v>-4.3499999999999996</v>
      </c>
      <c r="CA55" s="399">
        <f>scenarios!BF61</f>
        <v>6.0805010261560204E-3</v>
      </c>
      <c r="CC55" s="79">
        <f t="shared" si="32"/>
        <v>2065</v>
      </c>
      <c r="CD55" s="278" t="e">
        <f>IF($BU54&gt;'goal seek'!$F$31,$BU55/$BU54-1,#N/A)</f>
        <v>#N/A</v>
      </c>
      <c r="CE55" s="278" t="e">
        <f>IF(BV54&gt;'goal seek'!$F$28,BV55/BV54-1,#N/A)</f>
        <v>#N/A</v>
      </c>
      <c r="CF55" s="278" t="e">
        <f>IF(BW54&gt;'goal seek'!$F$28,BW55/BW54-1,#N/A)</f>
        <v>#N/A</v>
      </c>
      <c r="CG55" s="402" t="e">
        <f>IF(BX54&gt;'goal seek'!$F$28,BX55/BX54-1,#N/A)</f>
        <v>#N/A</v>
      </c>
      <c r="CH55" s="402" t="e">
        <f>IF(BY54&gt;'goal seek'!$F$28,BY55/BY54-1,#N/A)</f>
        <v>#N/A</v>
      </c>
      <c r="CI55" s="402" t="e">
        <f>IF(BZ54&gt;'goal seek'!$F$28,BZ55/BZ54-1,#N/A)</f>
        <v>#N/A</v>
      </c>
      <c r="CJ55" s="402" t="e">
        <f>IF(CA54&gt;'goal seek'!$F$28,CA55/CA54-1,#N/A)</f>
        <v>#N/A</v>
      </c>
      <c r="CL55" s="79">
        <f t="shared" si="15"/>
        <v>2065</v>
      </c>
      <c r="CM55" s="278">
        <f t="shared" si="28"/>
        <v>0</v>
      </c>
      <c r="CN55" s="278">
        <f t="shared" si="29"/>
        <v>0</v>
      </c>
      <c r="CO55" s="278">
        <f t="shared" si="30"/>
        <v>0</v>
      </c>
      <c r="CP55" s="402">
        <f t="shared" si="33"/>
        <v>0</v>
      </c>
      <c r="CQ55" s="402">
        <f t="shared" si="34"/>
        <v>0</v>
      </c>
      <c r="CR55" s="402">
        <f t="shared" si="18"/>
        <v>0</v>
      </c>
      <c r="CS55" s="402">
        <f t="shared" si="31"/>
        <v>0</v>
      </c>
      <c r="CU55" s="79">
        <f t="shared" si="27"/>
        <v>2065</v>
      </c>
      <c r="CV55" s="299">
        <f>scenarios!K61</f>
        <v>-0.12598424542683759</v>
      </c>
      <c r="CW55" s="407">
        <f>scenarios!T61</f>
        <v>-0.42160026997653038</v>
      </c>
      <c r="CX55" s="211">
        <f>scenarios!AC61</f>
        <v>-0.42160026997653038</v>
      </c>
      <c r="CY55" s="407">
        <f>scenarios!AL61</f>
        <v>-0.42160026997653038</v>
      </c>
      <c r="CZ55" s="407">
        <f>scenarios!AU61</f>
        <v>-0.42160026997653038</v>
      </c>
      <c r="DA55" s="407">
        <f>scenarios!BD61</f>
        <v>-0.42160026997653038</v>
      </c>
      <c r="DB55" s="407">
        <f>scenarios!BM61</f>
        <v>5.8931974119998804E-4</v>
      </c>
      <c r="DD55" s="79">
        <f t="shared" si="35"/>
        <v>2057</v>
      </c>
      <c r="DE55" s="299">
        <f t="shared" si="36"/>
        <v>1.2204281050563686</v>
      </c>
      <c r="DF55" s="211">
        <f t="shared" si="37"/>
        <v>-4.3499999999999996</v>
      </c>
      <c r="DG55" s="211">
        <f t="shared" si="38"/>
        <v>-4.3499999999999996</v>
      </c>
      <c r="DH55" s="211">
        <f t="shared" si="39"/>
        <v>-4.3499999999999996</v>
      </c>
      <c r="DI55" s="211">
        <f t="shared" si="40"/>
        <v>-1.4881128248436104</v>
      </c>
      <c r="DJ55" s="211">
        <f t="shared" si="40"/>
        <v>-4.3499999999999996</v>
      </c>
      <c r="DK55" s="293">
        <f t="shared" si="41"/>
        <v>3.7477005992540335E-2</v>
      </c>
    </row>
    <row r="56" spans="1:115" x14ac:dyDescent="0.25">
      <c r="BR56" s="79"/>
      <c r="BS56" s="79"/>
      <c r="BT56" s="79">
        <f t="shared" si="13"/>
        <v>2066</v>
      </c>
      <c r="BU56" s="280">
        <f>scenarios!E62</f>
        <v>-1.6149230725535988</v>
      </c>
      <c r="BV56" s="280">
        <f>scenarios!M62</f>
        <v>-4.3499999999999996</v>
      </c>
      <c r="BW56" s="280">
        <f>scenarios!V62</f>
        <v>-4.3499999999999996</v>
      </c>
      <c r="BX56" s="399">
        <f>scenarios!AE62</f>
        <v>-4.3499999999999996</v>
      </c>
      <c r="BY56" s="399">
        <f>scenarios!AN62</f>
        <v>-4.3499999999999996</v>
      </c>
      <c r="BZ56" s="399">
        <f>scenarios!AW62</f>
        <v>-4.3499999999999996</v>
      </c>
      <c r="CA56" s="399">
        <f>scenarios!BF62</f>
        <v>4.8342646991232363E-3</v>
      </c>
      <c r="CC56" s="79">
        <f t="shared" si="32"/>
        <v>2066</v>
      </c>
      <c r="CD56" s="278" t="e">
        <f>IF($BU55&gt;'goal seek'!$F$31,$BU56/$BU55-1,#N/A)</f>
        <v>#N/A</v>
      </c>
      <c r="CE56" s="278" t="e">
        <f>IF(BV55&gt;'goal seek'!$F$28,BV56/BV55-1,#N/A)</f>
        <v>#N/A</v>
      </c>
      <c r="CF56" s="278" t="e">
        <f>IF(BW55&gt;'goal seek'!$F$28,BW56/BW55-1,#N/A)</f>
        <v>#N/A</v>
      </c>
      <c r="CG56" s="402" t="e">
        <f>IF(BX55&gt;'goal seek'!$F$28,BX56/BX55-1,#N/A)</f>
        <v>#N/A</v>
      </c>
      <c r="CH56" s="402" t="e">
        <f>IF(BY55&gt;'goal seek'!$F$28,BY56/BY55-1,#N/A)</f>
        <v>#N/A</v>
      </c>
      <c r="CI56" s="402" t="e">
        <f>IF(BZ55&gt;'goal seek'!$F$28,BZ56/BZ55-1,#N/A)</f>
        <v>#N/A</v>
      </c>
      <c r="CJ56" s="402" t="e">
        <f>IF(CA55&gt;'goal seek'!$F$28,CA56/CA55-1,#N/A)</f>
        <v>#N/A</v>
      </c>
      <c r="CL56" s="79">
        <f t="shared" si="15"/>
        <v>2066</v>
      </c>
      <c r="CM56" s="278">
        <f t="shared" si="28"/>
        <v>0</v>
      </c>
      <c r="CN56" s="278">
        <f t="shared" si="29"/>
        <v>0</v>
      </c>
      <c r="CO56" s="278">
        <f t="shared" si="30"/>
        <v>0</v>
      </c>
      <c r="CP56" s="402">
        <f t="shared" si="33"/>
        <v>0</v>
      </c>
      <c r="CQ56" s="402">
        <f t="shared" si="34"/>
        <v>0</v>
      </c>
      <c r="CR56" s="402">
        <f t="shared" si="18"/>
        <v>0</v>
      </c>
      <c r="CS56" s="402">
        <f t="shared" si="31"/>
        <v>0</v>
      </c>
      <c r="CU56" s="79">
        <f t="shared" si="27"/>
        <v>2066</v>
      </c>
      <c r="CV56" s="299">
        <f>scenarios!K62</f>
        <v>-0.15606073689232022</v>
      </c>
      <c r="CW56" s="407">
        <f>scenarios!T62</f>
        <v>-0.42036937673330671</v>
      </c>
      <c r="CX56" s="211">
        <f>scenarios!AC62</f>
        <v>-0.42036937673330671</v>
      </c>
      <c r="CY56" s="407">
        <f>scenarios!AL62</f>
        <v>-0.42036937673330671</v>
      </c>
      <c r="CZ56" s="407">
        <f>scenarios!AU62</f>
        <v>-0.42036937673330671</v>
      </c>
      <c r="DA56" s="407">
        <f>scenarios!BD62</f>
        <v>-0.42036937673330671</v>
      </c>
      <c r="DB56" s="407">
        <f>scenarios!BM62</f>
        <v>4.6716708931822095E-4</v>
      </c>
      <c r="DD56" s="79">
        <f t="shared" si="35"/>
        <v>2058</v>
      </c>
      <c r="DE56" s="299">
        <f t="shared" si="36"/>
        <v>0.90538908532192774</v>
      </c>
      <c r="DF56" s="211">
        <f t="shared" si="37"/>
        <v>-4.3499999999999996</v>
      </c>
      <c r="DG56" s="211">
        <f t="shared" si="38"/>
        <v>-4.3499999999999996</v>
      </c>
      <c r="DH56" s="211">
        <f t="shared" si="39"/>
        <v>-4.3499999999999996</v>
      </c>
      <c r="DI56" s="211">
        <f t="shared" si="40"/>
        <v>-1.9200113393913929</v>
      </c>
      <c r="DJ56" s="211">
        <f t="shared" si="40"/>
        <v>-4.3499999999999996</v>
      </c>
      <c r="DK56" s="293">
        <f t="shared" si="41"/>
        <v>2.9909240852516977E-2</v>
      </c>
    </row>
    <row r="57" spans="1:115" x14ac:dyDescent="0.25">
      <c r="F57" s="311"/>
      <c r="G57" s="311"/>
      <c r="H57" s="311"/>
      <c r="I57" s="311"/>
      <c r="J57" s="311"/>
      <c r="K57" s="311"/>
      <c r="L57" s="311"/>
      <c r="M57" s="311"/>
      <c r="N57" s="311"/>
      <c r="O57" s="311"/>
      <c r="BR57" s="79"/>
      <c r="BS57" s="79"/>
      <c r="BT57" s="79">
        <f t="shared" si="13"/>
        <v>2067</v>
      </c>
      <c r="BU57" s="280">
        <f>scenarios!E63</f>
        <v>-1.9299620922880396</v>
      </c>
      <c r="BV57" s="280">
        <f>scenarios!M63</f>
        <v>-4.3499999999999996</v>
      </c>
      <c r="BW57" s="280">
        <f>scenarios!V63</f>
        <v>-4.3499999999999996</v>
      </c>
      <c r="BX57" s="399">
        <f>scenarios!AE63</f>
        <v>-4.3499999999999996</v>
      </c>
      <c r="BY57" s="399">
        <f>scenarios!AN63</f>
        <v>-4.3499999999999996</v>
      </c>
      <c r="BZ57" s="399">
        <f>scenarios!AW63</f>
        <v>-4.3499999999999996</v>
      </c>
      <c r="CA57" s="399">
        <f>scenarios!BF63</f>
        <v>3.8419494262553113E-3</v>
      </c>
      <c r="CC57" s="79">
        <f t="shared" si="32"/>
        <v>2067</v>
      </c>
      <c r="CD57" s="278" t="e">
        <f>IF($BU56&gt;'goal seek'!$F$31,$BU57/$BU56-1,#N/A)</f>
        <v>#N/A</v>
      </c>
      <c r="CE57" s="278" t="e">
        <f>IF(BV56&gt;'goal seek'!$F$28,BV57/BV56-1,#N/A)</f>
        <v>#N/A</v>
      </c>
      <c r="CF57" s="278" t="e">
        <f>IF(BW56&gt;'goal seek'!$F$28,BW57/BW56-1,#N/A)</f>
        <v>#N/A</v>
      </c>
      <c r="CG57" s="402" t="e">
        <f>IF(BX56&gt;'goal seek'!$F$28,BX57/BX56-1,#N/A)</f>
        <v>#N/A</v>
      </c>
      <c r="CH57" s="402" t="e">
        <f>IF(BY56&gt;'goal seek'!$F$28,BY57/BY56-1,#N/A)</f>
        <v>#N/A</v>
      </c>
      <c r="CI57" s="402" t="e">
        <f>IF(BZ56&gt;'goal seek'!$F$28,BZ57/BZ56-1,#N/A)</f>
        <v>#N/A</v>
      </c>
      <c r="CJ57" s="402" t="e">
        <f>IF(CA56&gt;'goal seek'!$F$28,CA57/CA56-1,#N/A)</f>
        <v>#N/A</v>
      </c>
      <c r="CL57" s="79">
        <f t="shared" si="15"/>
        <v>2067</v>
      </c>
      <c r="CM57" s="278">
        <f t="shared" si="28"/>
        <v>0</v>
      </c>
      <c r="CN57" s="278">
        <f t="shared" si="29"/>
        <v>0</v>
      </c>
      <c r="CO57" s="278">
        <f t="shared" si="30"/>
        <v>0</v>
      </c>
      <c r="CP57" s="402">
        <f t="shared" si="33"/>
        <v>0</v>
      </c>
      <c r="CQ57" s="402">
        <f t="shared" si="34"/>
        <v>0</v>
      </c>
      <c r="CR57" s="402">
        <f t="shared" si="18"/>
        <v>0</v>
      </c>
      <c r="CS57" s="402">
        <f t="shared" si="31"/>
        <v>0</v>
      </c>
      <c r="CU57" s="79">
        <f t="shared" si="27"/>
        <v>2067</v>
      </c>
      <c r="CV57" s="299">
        <f>scenarios!K63</f>
        <v>-0.18597979212623786</v>
      </c>
      <c r="CW57" s="407">
        <f>scenarios!T63</f>
        <v>-0.41918548503199965</v>
      </c>
      <c r="CX57" s="211">
        <f>scenarios!AC63</f>
        <v>-0.41918548503199965</v>
      </c>
      <c r="CY57" s="407">
        <f>scenarios!AL63</f>
        <v>-0.41918548503199965</v>
      </c>
      <c r="CZ57" s="407">
        <f>scenarios!AU63</f>
        <v>-0.41918548503199965</v>
      </c>
      <c r="DA57" s="407">
        <f>scenarios!BD63</f>
        <v>-0.41918548503199965</v>
      </c>
      <c r="DB57" s="407">
        <f>scenarios!BM63</f>
        <v>3.7022745602603344E-4</v>
      </c>
      <c r="DD57" s="79">
        <f t="shared" si="35"/>
        <v>2059</v>
      </c>
      <c r="DE57" s="299">
        <f t="shared" si="36"/>
        <v>0.59035006558748693</v>
      </c>
      <c r="DF57" s="211">
        <f t="shared" si="37"/>
        <v>-4.3499999999999996</v>
      </c>
      <c r="DG57" s="211">
        <f t="shared" si="38"/>
        <v>-4.3499999999999996</v>
      </c>
      <c r="DH57" s="211">
        <f t="shared" si="39"/>
        <v>-4.3499999999999996</v>
      </c>
      <c r="DI57" s="211">
        <f t="shared" si="40"/>
        <v>-2.3519098539391754</v>
      </c>
      <c r="DJ57" s="211">
        <f t="shared" si="40"/>
        <v>-4.3499999999999996</v>
      </c>
      <c r="DK57" s="293">
        <f t="shared" si="41"/>
        <v>2.3856470934856572E-2</v>
      </c>
    </row>
    <row r="58" spans="1:115" x14ac:dyDescent="0.25">
      <c r="A58" s="311"/>
      <c r="B58" s="311"/>
      <c r="C58" s="311"/>
      <c r="D58" s="311"/>
      <c r="E58" s="311"/>
      <c r="P58" s="311"/>
      <c r="Q58" s="311"/>
      <c r="R58" s="311"/>
      <c r="S58" s="311"/>
      <c r="T58" s="311"/>
      <c r="U58" s="311"/>
      <c r="V58" s="311"/>
      <c r="W58" s="311"/>
      <c r="X58" s="311"/>
      <c r="Y58" s="311"/>
      <c r="Z58" s="311"/>
      <c r="AA58" s="311"/>
      <c r="AB58" s="311"/>
      <c r="AC58" s="311"/>
      <c r="AD58" s="311"/>
      <c r="AE58" s="311"/>
      <c r="AF58" s="311"/>
      <c r="AG58" s="311"/>
      <c r="AH58" s="311"/>
      <c r="AI58" s="311"/>
      <c r="AJ58" s="311"/>
      <c r="AK58" s="311"/>
      <c r="AL58" s="311"/>
      <c r="AM58" s="311"/>
      <c r="AN58" s="311"/>
      <c r="BC58" s="311"/>
      <c r="BD58" s="311"/>
      <c r="BE58" s="311"/>
      <c r="BF58" s="311"/>
      <c r="BG58" s="311"/>
      <c r="BH58" s="311"/>
      <c r="BR58" s="79"/>
      <c r="BS58" s="79"/>
      <c r="BT58" s="79">
        <f t="shared" si="13"/>
        <v>2068</v>
      </c>
      <c r="BU58" s="280">
        <f>scenarios!E64</f>
        <v>-2.2450011120224804</v>
      </c>
      <c r="BV58" s="280">
        <f>scenarios!M64</f>
        <v>-4.3499999999999996</v>
      </c>
      <c r="BW58" s="280">
        <f>scenarios!V64</f>
        <v>-4.3499999999999996</v>
      </c>
      <c r="BX58" s="399">
        <f>scenarios!AE64</f>
        <v>-4.3499999999999996</v>
      </c>
      <c r="BY58" s="399">
        <f>scenarios!AN64</f>
        <v>-4.3499999999999996</v>
      </c>
      <c r="BZ58" s="399">
        <f>scenarios!AW64</f>
        <v>-4.3499999999999996</v>
      </c>
      <c r="CA58" s="399">
        <f>scenarios!BF64</f>
        <v>3.0521757811871712E-3</v>
      </c>
      <c r="CC58" s="79">
        <f t="shared" si="32"/>
        <v>2068</v>
      </c>
      <c r="CD58" s="278" t="e">
        <f>IF($BU57&gt;'goal seek'!$F$31,$BU58/$BU57-1,#N/A)</f>
        <v>#N/A</v>
      </c>
      <c r="CE58" s="278" t="e">
        <f>IF(BV57&gt;'goal seek'!$F$28,BV58/BV57-1,#N/A)</f>
        <v>#N/A</v>
      </c>
      <c r="CF58" s="278" t="e">
        <f>IF(BW57&gt;'goal seek'!$F$28,BW58/BW57-1,#N/A)</f>
        <v>#N/A</v>
      </c>
      <c r="CG58" s="402" t="e">
        <f>IF(BX57&gt;'goal seek'!$F$28,BX58/BX57-1,#N/A)</f>
        <v>#N/A</v>
      </c>
      <c r="CH58" s="402" t="e">
        <f>IF(BY57&gt;'goal seek'!$F$28,BY58/BY57-1,#N/A)</f>
        <v>#N/A</v>
      </c>
      <c r="CI58" s="402" t="e">
        <f>IF(BZ57&gt;'goal seek'!$F$28,BZ58/BZ57-1,#N/A)</f>
        <v>#N/A</v>
      </c>
      <c r="CJ58" s="402" t="e">
        <f>IF(CA57&gt;'goal seek'!$F$28,CA58/CA57-1,#N/A)</f>
        <v>#N/A</v>
      </c>
      <c r="CL58" s="79">
        <f t="shared" si="15"/>
        <v>2068</v>
      </c>
      <c r="CM58" s="278">
        <f t="shared" si="28"/>
        <v>0</v>
      </c>
      <c r="CN58" s="278">
        <f t="shared" si="29"/>
        <v>0</v>
      </c>
      <c r="CO58" s="278">
        <f t="shared" si="30"/>
        <v>0</v>
      </c>
      <c r="CP58" s="402">
        <f t="shared" si="33"/>
        <v>0</v>
      </c>
      <c r="CQ58" s="402">
        <f t="shared" si="34"/>
        <v>0</v>
      </c>
      <c r="CR58" s="402">
        <f t="shared" si="18"/>
        <v>0</v>
      </c>
      <c r="CS58" s="402">
        <f t="shared" si="31"/>
        <v>0</v>
      </c>
      <c r="CU58" s="79">
        <f t="shared" si="27"/>
        <v>2068</v>
      </c>
      <c r="CV58" s="299">
        <f>scenarios!K64</f>
        <v>-0.2157509841537274</v>
      </c>
      <c r="CW58" s="407">
        <f>scenarios!T64</f>
        <v>-0.41804735687779748</v>
      </c>
      <c r="CX58" s="211">
        <f>scenarios!AC64</f>
        <v>-0.41804735687779748</v>
      </c>
      <c r="CY58" s="407">
        <f>scenarios!AL64</f>
        <v>-0.41804735687779748</v>
      </c>
      <c r="CZ58" s="407">
        <f>scenarios!AU64</f>
        <v>-0.41804735687779748</v>
      </c>
      <c r="DA58" s="407">
        <f>scenarios!BD64</f>
        <v>-0.41804735687779748</v>
      </c>
      <c r="DB58" s="407">
        <f>scenarios!BM64</f>
        <v>2.9332276277051119E-4</v>
      </c>
      <c r="DD58" s="79">
        <f t="shared" si="35"/>
        <v>2060</v>
      </c>
      <c r="DE58" s="299">
        <f t="shared" si="36"/>
        <v>0.27531104585304611</v>
      </c>
      <c r="DF58" s="211">
        <f t="shared" si="37"/>
        <v>-4.3499999999999996</v>
      </c>
      <c r="DG58" s="211">
        <f t="shared" si="38"/>
        <v>-4.3499999999999996</v>
      </c>
      <c r="DH58" s="211">
        <f t="shared" si="39"/>
        <v>-4.3499999999999996</v>
      </c>
      <c r="DI58" s="211">
        <f t="shared" si="40"/>
        <v>-2.7838083684869579</v>
      </c>
      <c r="DJ58" s="211">
        <f t="shared" si="40"/>
        <v>-4.3499999999999996</v>
      </c>
      <c r="DK58" s="293">
        <f t="shared" si="41"/>
        <v>1.9018584686248563E-2</v>
      </c>
    </row>
    <row r="59" spans="1:115" s="311" customFormat="1" x14ac:dyDescent="0.25">
      <c r="A59"/>
      <c r="B59"/>
      <c r="C59"/>
      <c r="D59"/>
      <c r="E59"/>
      <c r="F59"/>
      <c r="G59"/>
      <c r="H59"/>
      <c r="I59"/>
      <c r="J59"/>
      <c r="K59"/>
      <c r="L59"/>
      <c r="M59"/>
      <c r="N59"/>
      <c r="O59"/>
      <c r="P59"/>
      <c r="Q59"/>
      <c r="R59"/>
      <c r="S59"/>
      <c r="T59"/>
      <c r="U59"/>
      <c r="V59"/>
      <c r="W59"/>
      <c r="X59"/>
      <c r="Y59"/>
      <c r="Z59"/>
      <c r="AA59"/>
      <c r="AB59"/>
      <c r="AC59"/>
      <c r="AO59" s="327"/>
      <c r="AP59" s="327"/>
      <c r="AQ59" s="327"/>
      <c r="AR59" s="327"/>
      <c r="AS59" s="327"/>
      <c r="AT59" s="327"/>
      <c r="AU59" s="327"/>
      <c r="AV59" s="327"/>
      <c r="AW59" s="327"/>
      <c r="AX59" s="327"/>
      <c r="AY59" s="327"/>
      <c r="AZ59" s="327"/>
      <c r="BA59" s="327"/>
      <c r="BB59" s="327"/>
      <c r="BJ59" s="327"/>
      <c r="BK59" s="327"/>
      <c r="BL59" s="327"/>
      <c r="BM59" s="327"/>
      <c r="BN59" s="327"/>
      <c r="BO59" s="327"/>
      <c r="BP59" s="327"/>
      <c r="BQ59" s="327"/>
      <c r="BR59" s="79"/>
      <c r="BS59" s="79"/>
      <c r="BT59" s="79">
        <f>BT58+1</f>
        <v>2069</v>
      </c>
      <c r="BU59" s="280">
        <f>scenarios!E65</f>
        <v>-2.5600401317569212</v>
      </c>
      <c r="BV59" s="280">
        <f>scenarios!M65</f>
        <v>-4.3499999999999996</v>
      </c>
      <c r="BW59" s="280">
        <f>scenarios!V65</f>
        <v>-4.3499999999999996</v>
      </c>
      <c r="BX59" s="399">
        <f>scenarios!AE65</f>
        <v>-4.3499999999999996</v>
      </c>
      <c r="BY59" s="399">
        <f>scenarios!AN65</f>
        <v>-4.3499999999999996</v>
      </c>
      <c r="BZ59" s="399">
        <f>scenarios!AW65</f>
        <v>-4.3499999999999996</v>
      </c>
      <c r="CA59" s="399">
        <f>scenarios!BF65</f>
        <v>2.4238753176652125E-3</v>
      </c>
      <c r="CB59"/>
      <c r="CC59" s="79">
        <f>CC58+1</f>
        <v>2069</v>
      </c>
      <c r="CD59" s="278" t="e">
        <f>IF($BU58&gt;'goal seek'!$F$31,$BU59/$BU58-1,#N/A)</f>
        <v>#N/A</v>
      </c>
      <c r="CE59" s="278" t="e">
        <f>IF(BV58&gt;'goal seek'!$F$28,BV59/BV58-1,#N/A)</f>
        <v>#N/A</v>
      </c>
      <c r="CF59" s="278" t="e">
        <f>IF(BW58&gt;'goal seek'!$F$28,BW59/BW58-1,#N/A)</f>
        <v>#N/A</v>
      </c>
      <c r="CG59" s="402" t="e">
        <f>IF(BX58&gt;'goal seek'!$F$28,BX59/BX58-1,#N/A)</f>
        <v>#N/A</v>
      </c>
      <c r="CH59" s="402" t="e">
        <f>IF(BY58&gt;'goal seek'!$F$28,BY59/BY58-1,#N/A)</f>
        <v>#N/A</v>
      </c>
      <c r="CI59" s="402" t="e">
        <f>IF(BZ58&gt;'goal seek'!$F$28,BZ59/BZ58-1,#N/A)</f>
        <v>#N/A</v>
      </c>
      <c r="CJ59" s="402" t="e">
        <f>IF(CA58&gt;'goal seek'!$F$28,CA59/CA58-1,#N/A)</f>
        <v>#N/A</v>
      </c>
      <c r="CK59"/>
      <c r="CL59" s="79">
        <f>CL58+1</f>
        <v>2069</v>
      </c>
      <c r="CM59" s="278">
        <f t="shared" si="28"/>
        <v>0</v>
      </c>
      <c r="CN59" s="278">
        <f t="shared" si="29"/>
        <v>0</v>
      </c>
      <c r="CO59" s="278">
        <f t="shared" si="30"/>
        <v>0</v>
      </c>
      <c r="CP59" s="402">
        <f t="shared" si="33"/>
        <v>0</v>
      </c>
      <c r="CQ59" s="402">
        <f t="shared" si="34"/>
        <v>0</v>
      </c>
      <c r="CR59" s="402">
        <f t="shared" si="18"/>
        <v>0</v>
      </c>
      <c r="CS59" s="402">
        <f t="shared" si="31"/>
        <v>0</v>
      </c>
      <c r="CT59"/>
      <c r="CU59" s="79">
        <f t="shared" si="27"/>
        <v>2069</v>
      </c>
      <c r="CV59" s="299">
        <f>scenarios!K65</f>
        <v>-0.24538355739202058</v>
      </c>
      <c r="CW59" s="407">
        <f>scenarios!T65</f>
        <v>-0.41695380529942494</v>
      </c>
      <c r="CX59" s="211">
        <f>scenarios!AC65</f>
        <v>-0.41695380529942494</v>
      </c>
      <c r="CY59" s="407">
        <f>scenarios!AL65</f>
        <v>-0.41695380529942494</v>
      </c>
      <c r="CZ59" s="407">
        <f>scenarios!AU65</f>
        <v>-0.41695380529942494</v>
      </c>
      <c r="DA59" s="407">
        <f>scenarios!BD65</f>
        <v>-0.41695380529942494</v>
      </c>
      <c r="DB59" s="407">
        <f>scenarios!BM65</f>
        <v>2.3233196259123283E-4</v>
      </c>
      <c r="DD59" s="79">
        <f t="shared" si="35"/>
        <v>2061</v>
      </c>
      <c r="DE59" s="299">
        <f t="shared" si="36"/>
        <v>-3.9727973881394707E-2</v>
      </c>
      <c r="DF59" s="211">
        <f t="shared" si="37"/>
        <v>-4.3499999999999996</v>
      </c>
      <c r="DG59" s="211">
        <f t="shared" si="38"/>
        <v>-4.3499999999999996</v>
      </c>
      <c r="DH59" s="211">
        <f t="shared" si="39"/>
        <v>-4.3499999999999996</v>
      </c>
      <c r="DI59" s="211">
        <f t="shared" si="40"/>
        <v>-3.2157068830347404</v>
      </c>
      <c r="DJ59" s="211">
        <f t="shared" si="40"/>
        <v>-4.3499999999999996</v>
      </c>
      <c r="DK59" s="293">
        <f t="shared" si="41"/>
        <v>1.5154148224542634E-2</v>
      </c>
    </row>
    <row r="60" spans="1:115" s="311" customFormat="1" x14ac:dyDescent="0.25">
      <c r="A60"/>
      <c r="B60"/>
      <c r="C60"/>
      <c r="D60"/>
      <c r="E60"/>
      <c r="F60"/>
      <c r="G60"/>
      <c r="H60"/>
      <c r="I60"/>
      <c r="J60"/>
      <c r="K60"/>
      <c r="L60"/>
      <c r="M60"/>
      <c r="N60"/>
      <c r="O60"/>
      <c r="P60"/>
      <c r="Q60"/>
      <c r="R60"/>
      <c r="S60"/>
      <c r="T60"/>
      <c r="U60"/>
      <c r="V60"/>
      <c r="W60"/>
      <c r="X60"/>
      <c r="Y60"/>
      <c r="Z60"/>
      <c r="AA60"/>
      <c r="AB60"/>
      <c r="AC60"/>
      <c r="AO60" s="327"/>
      <c r="AP60" s="327"/>
      <c r="AQ60" s="327"/>
      <c r="AR60" s="327"/>
      <c r="AS60" s="327"/>
      <c r="AT60" s="327"/>
      <c r="AU60" s="327"/>
      <c r="AV60" s="327"/>
      <c r="AW60" s="327"/>
      <c r="AX60" s="327"/>
      <c r="AY60" s="327"/>
      <c r="AZ60" s="327"/>
      <c r="BA60" s="327"/>
      <c r="BB60" s="327"/>
      <c r="BJ60" s="327"/>
      <c r="BK60" s="327"/>
      <c r="BL60" s="327"/>
      <c r="BM60" s="327"/>
      <c r="BN60" s="327"/>
      <c r="BO60" s="327"/>
      <c r="BP60" s="327"/>
      <c r="BQ60" s="327"/>
      <c r="BR60" s="79"/>
      <c r="BS60" s="79">
        <v>2070</v>
      </c>
      <c r="BT60" s="79">
        <f t="shared" si="13"/>
        <v>2070</v>
      </c>
      <c r="BU60" s="280">
        <f>scenarios!E66</f>
        <v>-2.8750791514913621</v>
      </c>
      <c r="BV60" s="280">
        <f>scenarios!M66</f>
        <v>-4.3499999999999996</v>
      </c>
      <c r="BW60" s="280">
        <f>scenarios!V66</f>
        <v>-4.3499999999999996</v>
      </c>
      <c r="BX60" s="399">
        <f>scenarios!AE66</f>
        <v>-4.3499999999999996</v>
      </c>
      <c r="BY60" s="399">
        <f>scenarios!AN66</f>
        <v>-4.3499999999999996</v>
      </c>
      <c r="BZ60" s="399">
        <f>scenarios!AW66</f>
        <v>-4.3499999999999996</v>
      </c>
      <c r="CA60" s="399">
        <f>scenarios!BF66</f>
        <v>1.9242418703228478E-3</v>
      </c>
      <c r="CB60"/>
      <c r="CC60" s="79">
        <f t="shared" si="32"/>
        <v>2070</v>
      </c>
      <c r="CD60" s="278" t="e">
        <f>IF($BU59&gt;'goal seek'!$F$31,$BU60/$BU59-1,#N/A)</f>
        <v>#N/A</v>
      </c>
      <c r="CE60" s="278" t="e">
        <f>IF(BV59&gt;'goal seek'!$F$28,BV60/BV59-1,#N/A)</f>
        <v>#N/A</v>
      </c>
      <c r="CF60" s="278" t="e">
        <f>IF(BW59&gt;'goal seek'!$F$28,BW60/BW59-1,#N/A)</f>
        <v>#N/A</v>
      </c>
      <c r="CG60" s="402" t="e">
        <f>IF(BX59&gt;'goal seek'!$F$28,BX60/BX59-1,#N/A)</f>
        <v>#N/A</v>
      </c>
      <c r="CH60" s="402" t="e">
        <f>IF(BY59&gt;'goal seek'!$F$28,BY60/BY59-1,#N/A)</f>
        <v>#N/A</v>
      </c>
      <c r="CI60" s="402" t="e">
        <f>IF(BZ59&gt;'goal seek'!$F$28,BZ60/BZ59-1,#N/A)</f>
        <v>#N/A</v>
      </c>
      <c r="CJ60" s="402" t="e">
        <f>IF(CA59&gt;'goal seek'!$F$28,CA60/CA59-1,#N/A)</f>
        <v>#N/A</v>
      </c>
      <c r="CK60"/>
      <c r="CL60" s="79">
        <f t="shared" si="15"/>
        <v>2070</v>
      </c>
      <c r="CM60" s="278">
        <f t="shared" si="28"/>
        <v>0</v>
      </c>
      <c r="CN60" s="278">
        <f t="shared" si="29"/>
        <v>0</v>
      </c>
      <c r="CO60" s="278">
        <f t="shared" si="30"/>
        <v>0</v>
      </c>
      <c r="CP60" s="402">
        <f t="shared" si="33"/>
        <v>0</v>
      </c>
      <c r="CQ60" s="402">
        <f t="shared" si="34"/>
        <v>0</v>
      </c>
      <c r="CR60" s="402">
        <f t="shared" si="18"/>
        <v>0</v>
      </c>
      <c r="CS60" s="402">
        <f t="shared" si="31"/>
        <v>0</v>
      </c>
      <c r="CT60"/>
      <c r="CU60" s="79">
        <f t="shared" si="27"/>
        <v>2070</v>
      </c>
      <c r="CV60" s="299">
        <f>scenarios!K66</f>
        <v>-0.27488643554696779</v>
      </c>
      <c r="CW60" s="407">
        <f>scenarios!T66</f>
        <v>-0.41590367834188041</v>
      </c>
      <c r="CX60" s="211">
        <f>scenarios!AC66</f>
        <v>-0.41590367834188041</v>
      </c>
      <c r="CY60" s="407">
        <f>scenarios!AL66</f>
        <v>-0.41590367834188041</v>
      </c>
      <c r="CZ60" s="407">
        <f>scenarios!AU66</f>
        <v>-0.41590367834188041</v>
      </c>
      <c r="DA60" s="407">
        <f>scenarios!BD66</f>
        <v>-0.41590367834188041</v>
      </c>
      <c r="DB60" s="407">
        <f>scenarios!BM66</f>
        <v>1.8397684411189242E-4</v>
      </c>
      <c r="DD60" s="79">
        <f t="shared" si="35"/>
        <v>2062</v>
      </c>
      <c r="DE60" s="299">
        <f t="shared" si="36"/>
        <v>-0.35476699361583552</v>
      </c>
      <c r="DF60" s="211">
        <f t="shared" si="37"/>
        <v>-4.3499999999999996</v>
      </c>
      <c r="DG60" s="211">
        <f t="shared" si="38"/>
        <v>-4.3499999999999996</v>
      </c>
      <c r="DH60" s="211">
        <f t="shared" si="39"/>
        <v>-4.3499999999999996</v>
      </c>
      <c r="DI60" s="211">
        <f t="shared" si="40"/>
        <v>-3.6476053975825229</v>
      </c>
      <c r="DJ60" s="211">
        <f t="shared" si="40"/>
        <v>-4.3499999999999996</v>
      </c>
      <c r="DK60" s="293">
        <f t="shared" si="41"/>
        <v>1.2069122650795593E-2</v>
      </c>
    </row>
    <row r="61" spans="1:115" s="311" customFormat="1" x14ac:dyDescent="0.25">
      <c r="A61"/>
      <c r="B61"/>
      <c r="C61"/>
      <c r="D61"/>
      <c r="E61"/>
      <c r="F61"/>
      <c r="G61"/>
      <c r="H61"/>
      <c r="I61"/>
      <c r="J61"/>
      <c r="K61"/>
      <c r="L61"/>
      <c r="M61"/>
      <c r="N61"/>
      <c r="O61"/>
      <c r="P61"/>
      <c r="Q61"/>
      <c r="R61"/>
      <c r="S61"/>
      <c r="T61"/>
      <c r="U61"/>
      <c r="V61"/>
      <c r="W61"/>
      <c r="X61"/>
      <c r="Y61"/>
      <c r="Z61"/>
      <c r="AA61"/>
      <c r="AB61"/>
      <c r="AC61"/>
      <c r="AO61" s="327"/>
      <c r="AP61" s="327"/>
      <c r="AQ61" s="327"/>
      <c r="AR61" s="327"/>
      <c r="AS61" s="327"/>
      <c r="AT61" s="327"/>
      <c r="AU61" s="327"/>
      <c r="AV61" s="327"/>
      <c r="AW61" s="327"/>
      <c r="AX61" s="327"/>
      <c r="AY61" s="327"/>
      <c r="AZ61" s="327"/>
      <c r="BA61" s="327"/>
      <c r="BB61" s="327"/>
      <c r="BJ61" s="327"/>
      <c r="BK61" s="327"/>
      <c r="BL61" s="327"/>
      <c r="BM61" s="327"/>
      <c r="BN61" s="327"/>
      <c r="BO61" s="327"/>
      <c r="BP61" s="327"/>
      <c r="BQ61" s="327"/>
      <c r="BR61" s="79"/>
      <c r="BS61" s="79"/>
      <c r="BT61" s="79">
        <f t="shared" si="13"/>
        <v>2071</v>
      </c>
      <c r="BU61" s="280">
        <f>scenarios!E67</f>
        <v>-3.1901181712258029</v>
      </c>
      <c r="BV61" s="280">
        <f>scenarios!M67</f>
        <v>-4.3499999999999996</v>
      </c>
      <c r="BW61" s="280">
        <f>scenarios!V67</f>
        <v>-4.3499999999999996</v>
      </c>
      <c r="BX61" s="399">
        <f>scenarios!AE67</f>
        <v>-4.3499999999999996</v>
      </c>
      <c r="BY61" s="399">
        <f>scenarios!AN67</f>
        <v>-4.3499999999999996</v>
      </c>
      <c r="BZ61" s="399">
        <f>scenarios!AW67</f>
        <v>-4.3499999999999996</v>
      </c>
      <c r="CA61" s="399">
        <f>scenarios!BF67</f>
        <v>1.5270849293665132E-3</v>
      </c>
      <c r="CB61"/>
      <c r="CC61" s="79">
        <f t="shared" si="32"/>
        <v>2071</v>
      </c>
      <c r="CD61" s="278" t="e">
        <f>IF($BU60&gt;'goal seek'!$F$31,$BU61/$BU60-1,#N/A)</f>
        <v>#N/A</v>
      </c>
      <c r="CE61" s="278" t="e">
        <f>IF(BV60&gt;'goal seek'!$F$28,BV61/BV60-1,#N/A)</f>
        <v>#N/A</v>
      </c>
      <c r="CF61" s="278" t="e">
        <f>IF(BW60&gt;'goal seek'!$F$28,BW61/BW60-1,#N/A)</f>
        <v>#N/A</v>
      </c>
      <c r="CG61" s="402" t="e">
        <f>IF(BX60&gt;'goal seek'!$F$28,BX61/BX60-1,#N/A)</f>
        <v>#N/A</v>
      </c>
      <c r="CH61" s="402" t="e">
        <f>IF(BY60&gt;'goal seek'!$F$28,BY61/BY60-1,#N/A)</f>
        <v>#N/A</v>
      </c>
      <c r="CI61" s="402" t="e">
        <f>IF(BZ60&gt;'goal seek'!$F$28,BZ61/BZ60-1,#N/A)</f>
        <v>#N/A</v>
      </c>
      <c r="CJ61" s="402" t="e">
        <f>IF(CA60&gt;'goal seek'!$F$28,CA61/CA60-1,#N/A)</f>
        <v>#N/A</v>
      </c>
      <c r="CK61"/>
      <c r="CL61" s="79">
        <f t="shared" si="15"/>
        <v>2071</v>
      </c>
      <c r="CM61" s="278">
        <f t="shared" si="28"/>
        <v>0</v>
      </c>
      <c r="CN61" s="278">
        <f t="shared" si="29"/>
        <v>0</v>
      </c>
      <c r="CO61" s="278">
        <f t="shared" si="30"/>
        <v>0</v>
      </c>
      <c r="CP61" s="402">
        <f t="shared" si="33"/>
        <v>0</v>
      </c>
      <c r="CQ61" s="402">
        <f t="shared" si="34"/>
        <v>0</v>
      </c>
      <c r="CR61" s="402">
        <f t="shared" si="18"/>
        <v>0</v>
      </c>
      <c r="CS61" s="402">
        <f t="shared" si="31"/>
        <v>0</v>
      </c>
      <c r="CT61"/>
      <c r="CU61" s="79">
        <f t="shared" si="27"/>
        <v>2071</v>
      </c>
      <c r="CV61" s="299">
        <f>scenarios!K67</f>
        <v>-0.30426821528643644</v>
      </c>
      <c r="CW61" s="407">
        <f>scenarios!T67</f>
        <v>-0.4148958331494717</v>
      </c>
      <c r="CX61" s="211">
        <f>scenarios!AC67</f>
        <v>-0.4148958331494717</v>
      </c>
      <c r="CY61" s="407">
        <f>scenarios!AL67</f>
        <v>-0.4148958331494717</v>
      </c>
      <c r="CZ61" s="407">
        <f>scenarios!AU67</f>
        <v>-0.4148958331494717</v>
      </c>
      <c r="DA61" s="407">
        <f>scenarios!BD67</f>
        <v>-0.4148958331494717</v>
      </c>
      <c r="DB61" s="407">
        <f>scenarios!BM67</f>
        <v>1.4565084461138429E-4</v>
      </c>
      <c r="DD61" s="79">
        <f t="shared" si="35"/>
        <v>2063</v>
      </c>
      <c r="DE61" s="299">
        <f t="shared" si="36"/>
        <v>-0.66980601335027634</v>
      </c>
      <c r="DF61" s="211">
        <f t="shared" si="37"/>
        <v>-4.3499999999999996</v>
      </c>
      <c r="DG61" s="211">
        <f t="shared" si="38"/>
        <v>-4.3499999999999996</v>
      </c>
      <c r="DH61" s="211">
        <f t="shared" si="39"/>
        <v>-4.3499999999999996</v>
      </c>
      <c r="DI61" s="211">
        <f t="shared" si="40"/>
        <v>-4.0795039121303054</v>
      </c>
      <c r="DJ61" s="211">
        <f t="shared" si="40"/>
        <v>-4.3499999999999996</v>
      </c>
      <c r="DK61" s="293">
        <f t="shared" si="41"/>
        <v>9.6077035150404153E-3</v>
      </c>
    </row>
    <row r="62" spans="1:115" s="311" customFormat="1" x14ac:dyDescent="0.25">
      <c r="A62"/>
      <c r="B62"/>
      <c r="C62"/>
      <c r="D62"/>
      <c r="E62"/>
      <c r="F62"/>
      <c r="G62"/>
      <c r="H62"/>
      <c r="I62"/>
      <c r="J62"/>
      <c r="K62"/>
      <c r="L62"/>
      <c r="M62"/>
      <c r="N62"/>
      <c r="O62"/>
      <c r="P62"/>
      <c r="Q62"/>
      <c r="R62"/>
      <c r="S62"/>
      <c r="T62"/>
      <c r="U62"/>
      <c r="V62"/>
      <c r="W62"/>
      <c r="X62"/>
      <c r="Y62"/>
      <c r="Z62"/>
      <c r="AA62"/>
      <c r="AB62"/>
      <c r="AC62"/>
      <c r="AO62" s="327"/>
      <c r="AP62" s="327"/>
      <c r="AQ62" s="327"/>
      <c r="AR62" s="327"/>
      <c r="AS62" s="327"/>
      <c r="AT62" s="327"/>
      <c r="AU62" s="327"/>
      <c r="AV62" s="327"/>
      <c r="AW62" s="327"/>
      <c r="AX62" s="327"/>
      <c r="AY62" s="327"/>
      <c r="AZ62" s="327"/>
      <c r="BA62" s="327"/>
      <c r="BB62" s="327"/>
      <c r="BJ62" s="327"/>
      <c r="BK62" s="327"/>
      <c r="BL62" s="327"/>
      <c r="BM62" s="327"/>
      <c r="BN62" s="327"/>
      <c r="BO62" s="327"/>
      <c r="BP62" s="327"/>
      <c r="BQ62" s="327"/>
      <c r="BR62" s="79"/>
      <c r="BS62" s="79"/>
      <c r="BT62" s="79">
        <f>BT61+1</f>
        <v>2072</v>
      </c>
      <c r="BU62" s="280">
        <f>scenarios!E68</f>
        <v>-3.5051571909602437</v>
      </c>
      <c r="BV62" s="280">
        <f>scenarios!M68</f>
        <v>-4.3499999999999996</v>
      </c>
      <c r="BW62" s="280">
        <f>scenarios!V68</f>
        <v>-4.3499999999999996</v>
      </c>
      <c r="BX62" s="399">
        <f>scenarios!AE68</f>
        <v>-4.3499999999999996</v>
      </c>
      <c r="BY62" s="399">
        <f>scenarios!AN68</f>
        <v>-4.3499999999999996</v>
      </c>
      <c r="BZ62" s="399">
        <f>scenarios!AW68</f>
        <v>-4.3499999999999996</v>
      </c>
      <c r="CA62" s="399">
        <f>scenarios!BF68</f>
        <v>1.211507400511235E-3</v>
      </c>
      <c r="CB62"/>
      <c r="CC62" s="79">
        <f t="shared" si="32"/>
        <v>2072</v>
      </c>
      <c r="CD62" s="278" t="e">
        <f>IF($BU61&gt;'goal seek'!$F$31,$BU62/$BU61-1,#N/A)</f>
        <v>#N/A</v>
      </c>
      <c r="CE62" s="278" t="e">
        <f>IF(BV61&gt;'goal seek'!$F$28,BV62/BV61-1,#N/A)</f>
        <v>#N/A</v>
      </c>
      <c r="CF62" s="278" t="e">
        <f>IF(BW61&gt;'goal seek'!$F$28,BW62/BW61-1,#N/A)</f>
        <v>#N/A</v>
      </c>
      <c r="CG62" s="402" t="e">
        <f>IF(BX61&gt;'goal seek'!$F$28,BX62/BX61-1,#N/A)</f>
        <v>#N/A</v>
      </c>
      <c r="CH62" s="402" t="e">
        <f>IF(BY61&gt;'goal seek'!$F$28,BY62/BY61-1,#N/A)</f>
        <v>#N/A</v>
      </c>
      <c r="CI62" s="402" t="e">
        <f>IF(BZ61&gt;'goal seek'!$F$28,BZ62/BZ61-1,#N/A)</f>
        <v>#N/A</v>
      </c>
      <c r="CJ62" s="402" t="e">
        <f>IF(CA61&gt;'goal seek'!$F$28,CA62/CA61-1,#N/A)</f>
        <v>#N/A</v>
      </c>
      <c r="CK62"/>
      <c r="CL62" s="79">
        <f t="shared" si="15"/>
        <v>2072</v>
      </c>
      <c r="CM62" s="278">
        <f t="shared" si="28"/>
        <v>0</v>
      </c>
      <c r="CN62" s="278">
        <f t="shared" si="29"/>
        <v>0</v>
      </c>
      <c r="CO62" s="278">
        <f t="shared" si="30"/>
        <v>0</v>
      </c>
      <c r="CP62" s="402">
        <f t="shared" si="33"/>
        <v>0</v>
      </c>
      <c r="CQ62" s="402">
        <f t="shared" si="34"/>
        <v>0</v>
      </c>
      <c r="CR62" s="402">
        <f t="shared" si="18"/>
        <v>0</v>
      </c>
      <c r="CS62" s="402">
        <f t="shared" si="31"/>
        <v>0</v>
      </c>
      <c r="CT62"/>
      <c r="CU62" s="79">
        <f t="shared" si="27"/>
        <v>2072</v>
      </c>
      <c r="CV62" s="299">
        <f>scenarios!K68</f>
        <v>-0.33353713840975524</v>
      </c>
      <c r="CW62" s="407">
        <f>scenarios!T68</f>
        <v>-0.41392909733813177</v>
      </c>
      <c r="CX62" s="211">
        <f>scenarios!AC68</f>
        <v>-0.41392909733813177</v>
      </c>
      <c r="CY62" s="407">
        <f>scenarios!AL68</f>
        <v>-0.41392909733813177</v>
      </c>
      <c r="CZ62" s="407">
        <f>scenarios!AU68</f>
        <v>-0.41392909733813177</v>
      </c>
      <c r="DA62" s="407">
        <f>scenarios!BD68</f>
        <v>-0.41392909733813177</v>
      </c>
      <c r="DB62" s="407">
        <f>scenarios!BM68</f>
        <v>1.1528233671542113E-4</v>
      </c>
      <c r="DD62" s="79">
        <f t="shared" si="35"/>
        <v>2064</v>
      </c>
      <c r="DE62" s="299">
        <f t="shared" si="36"/>
        <v>-0.98484503308471716</v>
      </c>
      <c r="DF62" s="211">
        <f t="shared" si="37"/>
        <v>-4.3499999999999996</v>
      </c>
      <c r="DG62" s="211">
        <f t="shared" si="38"/>
        <v>-4.3499999999999996</v>
      </c>
      <c r="DH62" s="211">
        <f t="shared" si="39"/>
        <v>-4.3499999999999996</v>
      </c>
      <c r="DI62" s="211">
        <f t="shared" si="40"/>
        <v>-4.3499999999999996</v>
      </c>
      <c r="DJ62" s="211">
        <f t="shared" si="40"/>
        <v>-4.3499999999999996</v>
      </c>
      <c r="DK62" s="293">
        <f t="shared" si="41"/>
        <v>7.6448952630430445E-3</v>
      </c>
    </row>
    <row r="63" spans="1:115" s="311" customFormat="1" x14ac:dyDescent="0.25">
      <c r="A63"/>
      <c r="B63"/>
      <c r="C63"/>
      <c r="D63"/>
      <c r="E63"/>
      <c r="F63"/>
      <c r="G63"/>
      <c r="H63"/>
      <c r="I63"/>
      <c r="J63"/>
      <c r="K63"/>
      <c r="L63"/>
      <c r="M63"/>
      <c r="N63"/>
      <c r="O63"/>
      <c r="P63"/>
      <c r="Q63"/>
      <c r="R63"/>
      <c r="S63"/>
      <c r="T63"/>
      <c r="U63"/>
      <c r="V63"/>
      <c r="W63"/>
      <c r="X63"/>
      <c r="Y63"/>
      <c r="Z63"/>
      <c r="AA63"/>
      <c r="AB63"/>
      <c r="AC63"/>
      <c r="AO63" s="327"/>
      <c r="AP63" s="327"/>
      <c r="AQ63" s="327"/>
      <c r="AR63" s="327"/>
      <c r="AS63" s="327"/>
      <c r="AT63" s="327"/>
      <c r="AU63" s="327"/>
      <c r="AV63" s="327"/>
      <c r="AW63" s="327"/>
      <c r="AX63" s="327"/>
      <c r="AY63" s="327"/>
      <c r="AZ63" s="327"/>
      <c r="BA63" s="327"/>
      <c r="BB63" s="327"/>
      <c r="BJ63" s="327"/>
      <c r="BK63" s="327"/>
      <c r="BL63" s="327"/>
      <c r="BM63" s="327"/>
      <c r="BN63" s="327"/>
      <c r="BO63" s="327"/>
      <c r="BP63" s="327"/>
      <c r="BQ63" s="327"/>
      <c r="BR63" s="79"/>
      <c r="BS63" s="79"/>
      <c r="BT63" s="79">
        <f>BT62+1</f>
        <v>2073</v>
      </c>
      <c r="BU63" s="280">
        <f>scenarios!E69</f>
        <v>-3.8201962106946845</v>
      </c>
      <c r="BV63" s="280">
        <f>scenarios!M69</f>
        <v>-4.3499999999999996</v>
      </c>
      <c r="BW63" s="280">
        <f>scenarios!V69</f>
        <v>-4.3499999999999996</v>
      </c>
      <c r="BX63" s="399">
        <f>scenarios!AE69</f>
        <v>-4.3499999999999996</v>
      </c>
      <c r="BY63" s="399">
        <f>scenarios!AN69</f>
        <v>-4.3499999999999996</v>
      </c>
      <c r="BZ63" s="399">
        <f>scenarios!AW69</f>
        <v>-4.3499999999999996</v>
      </c>
      <c r="CA63" s="399">
        <f>scenarios!BF69</f>
        <v>9.6084476937006134E-4</v>
      </c>
      <c r="CB63"/>
      <c r="CC63" s="79">
        <f>CC62+1</f>
        <v>2073</v>
      </c>
      <c r="CD63" s="278" t="e">
        <f>IF($BU62&gt;'goal seek'!$F$31,$BU63/$BU62-1,#N/A)</f>
        <v>#N/A</v>
      </c>
      <c r="CE63" s="278" t="e">
        <f>IF(BV62&gt;'goal seek'!$F$28,BV63/BV62-1,#N/A)</f>
        <v>#N/A</v>
      </c>
      <c r="CF63" s="278" t="e">
        <f>IF(BW62&gt;'goal seek'!$F$28,BW63/BW62-1,#N/A)</f>
        <v>#N/A</v>
      </c>
      <c r="CG63" s="402" t="e">
        <f>IF(BX62&gt;'goal seek'!$F$28,BX63/BX62-1,#N/A)</f>
        <v>#N/A</v>
      </c>
      <c r="CH63" s="402" t="e">
        <f>IF(BY62&gt;'goal seek'!$F$28,BY63/BY62-1,#N/A)</f>
        <v>#N/A</v>
      </c>
      <c r="CI63" s="402" t="e">
        <f>IF(BZ62&gt;'goal seek'!$F$28,BZ63/BZ62-1,#N/A)</f>
        <v>#N/A</v>
      </c>
      <c r="CJ63" s="402" t="e">
        <f>IF(CA62&gt;'goal seek'!$F$28,CA63/CA62-1,#N/A)</f>
        <v>#N/A</v>
      </c>
      <c r="CK63"/>
      <c r="CL63" s="79">
        <f>CL62+1</f>
        <v>2073</v>
      </c>
      <c r="CM63" s="278">
        <f t="shared" si="28"/>
        <v>0</v>
      </c>
      <c r="CN63" s="278">
        <f t="shared" si="29"/>
        <v>0</v>
      </c>
      <c r="CO63" s="278">
        <f t="shared" si="30"/>
        <v>0</v>
      </c>
      <c r="CP63" s="402">
        <f t="shared" si="33"/>
        <v>0</v>
      </c>
      <c r="CQ63" s="402">
        <f t="shared" si="34"/>
        <v>0</v>
      </c>
      <c r="CR63" s="402">
        <f t="shared" si="18"/>
        <v>0</v>
      </c>
      <c r="CS63" s="402">
        <f t="shared" si="31"/>
        <v>0</v>
      </c>
      <c r="CT63"/>
      <c r="CU63" s="79">
        <f t="shared" si="27"/>
        <v>2073</v>
      </c>
      <c r="CV63" s="299">
        <f>scenarios!K69</f>
        <v>-0.36270108782675631</v>
      </c>
      <c r="CW63" s="407">
        <f>scenarios!T69</f>
        <v>-0.41300227659235433</v>
      </c>
      <c r="CX63" s="211">
        <f>scenarios!AC69</f>
        <v>-0.41300227659235433</v>
      </c>
      <c r="CY63" s="407">
        <f>scenarios!AL69</f>
        <v>-0.41300227659235433</v>
      </c>
      <c r="CZ63" s="407">
        <f>scenarios!AU69</f>
        <v>-0.41300227659235433</v>
      </c>
      <c r="DA63" s="407">
        <f>scenarios!BD69</f>
        <v>-0.41300227659235433</v>
      </c>
      <c r="DB63" s="407">
        <f>scenarios!BM69</f>
        <v>9.1225534988894475E-5</v>
      </c>
      <c r="DD63" s="79">
        <f t="shared" si="35"/>
        <v>2065</v>
      </c>
      <c r="DE63" s="299">
        <f t="shared" si="36"/>
        <v>-1.299884052819158</v>
      </c>
      <c r="DF63" s="211">
        <f t="shared" si="37"/>
        <v>-4.3499999999999996</v>
      </c>
      <c r="DG63" s="211">
        <f t="shared" si="38"/>
        <v>-4.3499999999999996</v>
      </c>
      <c r="DH63" s="211">
        <f t="shared" si="39"/>
        <v>-4.3499999999999996</v>
      </c>
      <c r="DI63" s="211">
        <f t="shared" si="40"/>
        <v>-4.3499999999999996</v>
      </c>
      <c r="DJ63" s="211">
        <f t="shared" si="40"/>
        <v>-4.3499999999999996</v>
      </c>
      <c r="DK63" s="293">
        <f t="shared" si="41"/>
        <v>6.0805010261560204E-3</v>
      </c>
    </row>
    <row r="64" spans="1:115" s="311" customFormat="1"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s="327"/>
      <c r="AP64" s="327"/>
      <c r="AQ64" s="327"/>
      <c r="AR64" s="327"/>
      <c r="AS64" s="327"/>
      <c r="AT64" s="327"/>
      <c r="AU64" s="327"/>
      <c r="AV64" s="327"/>
      <c r="AW64" s="327"/>
      <c r="AX64" s="327"/>
      <c r="AY64" s="327"/>
      <c r="AZ64" s="327"/>
      <c r="BA64" s="327"/>
      <c r="BB64" s="327"/>
      <c r="BC64"/>
      <c r="BD64"/>
      <c r="BE64"/>
      <c r="BF64"/>
      <c r="BG64"/>
      <c r="BH64"/>
      <c r="BJ64" s="327"/>
      <c r="BK64" s="327"/>
      <c r="BL64" s="327"/>
      <c r="BM64" s="327"/>
      <c r="BN64" s="327"/>
      <c r="BO64" s="327"/>
      <c r="BP64" s="327"/>
      <c r="BQ64" s="327"/>
      <c r="BR64" s="79"/>
      <c r="BS64" s="79"/>
      <c r="BT64" s="79">
        <f t="shared" si="13"/>
        <v>2074</v>
      </c>
      <c r="BU64" s="280">
        <f>scenarios!E70</f>
        <v>-4.1352352304291253</v>
      </c>
      <c r="BV64" s="280">
        <f>scenarios!M70</f>
        <v>-4.3499999999999996</v>
      </c>
      <c r="BW64" s="280">
        <f>scenarios!V70</f>
        <v>-4.3499999999999996</v>
      </c>
      <c r="BX64" s="399">
        <f>scenarios!AE70</f>
        <v>-4.3499999999999996</v>
      </c>
      <c r="BY64" s="399">
        <f>scenarios!AN70</f>
        <v>-4.3499999999999996</v>
      </c>
      <c r="BZ64" s="399">
        <f>scenarios!AW70</f>
        <v>-4.3499999999999996</v>
      </c>
      <c r="CA64" s="399">
        <f>scenarios!BF70</f>
        <v>7.61814689302157E-4</v>
      </c>
      <c r="CB64"/>
      <c r="CC64" s="79">
        <f t="shared" si="32"/>
        <v>2074</v>
      </c>
      <c r="CD64" s="278" t="e">
        <f>IF($BU63&gt;'goal seek'!$F$31,$BU64/$BU63-1,#N/A)</f>
        <v>#N/A</v>
      </c>
      <c r="CE64" s="278" t="e">
        <f>IF(BV63&gt;'goal seek'!$F$28,BV64/BV63-1,#N/A)</f>
        <v>#N/A</v>
      </c>
      <c r="CF64" s="278" t="e">
        <f>IF(BW63&gt;'goal seek'!$F$28,BW64/BW63-1,#N/A)</f>
        <v>#N/A</v>
      </c>
      <c r="CG64" s="402" t="e">
        <f>IF(BX63&gt;'goal seek'!$F$28,BX64/BX63-1,#N/A)</f>
        <v>#N/A</v>
      </c>
      <c r="CH64" s="402" t="e">
        <f>IF(BY63&gt;'goal seek'!$F$28,BY64/BY63-1,#N/A)</f>
        <v>#N/A</v>
      </c>
      <c r="CI64" s="402" t="e">
        <f>IF(BZ63&gt;'goal seek'!$F$28,BZ64/BZ63-1,#N/A)</f>
        <v>#N/A</v>
      </c>
      <c r="CJ64" s="402" t="e">
        <f>IF(CA63&gt;'goal seek'!$F$28,CA64/CA63-1,#N/A)</f>
        <v>#N/A</v>
      </c>
      <c r="CK64"/>
      <c r="CL64" s="79">
        <f t="shared" si="15"/>
        <v>2074</v>
      </c>
      <c r="CM64" s="278">
        <f t="shared" si="28"/>
        <v>0</v>
      </c>
      <c r="CN64" s="278">
        <f t="shared" si="29"/>
        <v>0</v>
      </c>
      <c r="CO64" s="278">
        <f t="shared" si="30"/>
        <v>0</v>
      </c>
      <c r="CP64" s="402">
        <f t="shared" si="33"/>
        <v>0</v>
      </c>
      <c r="CQ64" s="402">
        <f t="shared" si="34"/>
        <v>0</v>
      </c>
      <c r="CR64" s="402">
        <f t="shared" si="18"/>
        <v>0</v>
      </c>
      <c r="CS64" s="402">
        <f t="shared" si="31"/>
        <v>0</v>
      </c>
      <c r="CT64"/>
      <c r="CU64" s="79">
        <f t="shared" si="27"/>
        <v>2074</v>
      </c>
      <c r="CV64" s="299">
        <f>scenarios!K70</f>
        <v>-0.39176759961197793</v>
      </c>
      <c r="CW64" s="407">
        <f>scenarios!T70</f>
        <v>-0.41211417569956599</v>
      </c>
      <c r="CX64" s="211">
        <f>scenarios!AC70</f>
        <v>-0.41211417569956599</v>
      </c>
      <c r="CY64" s="407">
        <f>scenarios!AL70</f>
        <v>-0.41211417569956599</v>
      </c>
      <c r="CZ64" s="407">
        <f>scenarios!AU70</f>
        <v>-0.41211417569956599</v>
      </c>
      <c r="DA64" s="407">
        <f>scenarios!BD70</f>
        <v>-0.41211417569956599</v>
      </c>
      <c r="DB64" s="407">
        <f>scenarios!BM70</f>
        <v>7.2173478785650451E-5</v>
      </c>
      <c r="DD64" s="79">
        <f t="shared" si="35"/>
        <v>2066</v>
      </c>
      <c r="DE64" s="299">
        <f t="shared" si="36"/>
        <v>-1.6149230725535988</v>
      </c>
      <c r="DF64" s="211">
        <f t="shared" si="37"/>
        <v>-4.3499999999999996</v>
      </c>
      <c r="DG64" s="211">
        <f t="shared" si="38"/>
        <v>-4.3499999999999996</v>
      </c>
      <c r="DH64" s="211">
        <f t="shared" si="39"/>
        <v>-4.3499999999999996</v>
      </c>
      <c r="DI64" s="211">
        <f t="shared" si="40"/>
        <v>-4.3499999999999996</v>
      </c>
      <c r="DJ64" s="211">
        <f t="shared" si="40"/>
        <v>-4.3499999999999996</v>
      </c>
      <c r="DK64" s="293">
        <f t="shared" si="41"/>
        <v>4.8342646991232363E-3</v>
      </c>
    </row>
    <row r="65" spans="70:115" x14ac:dyDescent="0.25">
      <c r="BR65" s="79"/>
      <c r="BS65" s="79"/>
      <c r="BT65" s="79">
        <f t="shared" si="13"/>
        <v>2075</v>
      </c>
      <c r="BU65" s="280">
        <f>scenarios!E71</f>
        <v>-4.3499999999999996</v>
      </c>
      <c r="BV65" s="280">
        <f>scenarios!M71</f>
        <v>-4.3499999999999996</v>
      </c>
      <c r="BW65" s="280">
        <f>scenarios!V71</f>
        <v>-4.3499999999999996</v>
      </c>
      <c r="BX65" s="399">
        <f>scenarios!AE71</f>
        <v>-4.3499999999999996</v>
      </c>
      <c r="BY65" s="399">
        <f>scenarios!AN71</f>
        <v>-4.3499999999999996</v>
      </c>
      <c r="BZ65" s="399">
        <f>scenarios!AW71</f>
        <v>-4.3499999999999996</v>
      </c>
      <c r="CA65" s="399">
        <f>scenarios!BF71</f>
        <v>6.0383578242502933E-4</v>
      </c>
      <c r="CB65" s="314"/>
      <c r="CC65" s="79">
        <f t="shared" si="32"/>
        <v>2075</v>
      </c>
      <c r="CD65" s="278" t="e">
        <f>IF($BU64&gt;'goal seek'!$F$31,$BU65/$BU64-1,#N/A)</f>
        <v>#N/A</v>
      </c>
      <c r="CE65" s="278" t="e">
        <f>IF(BV64&gt;'goal seek'!$F$28,BV65/BV64-1,#N/A)</f>
        <v>#N/A</v>
      </c>
      <c r="CF65" s="278" t="e">
        <f>IF(BW64&gt;'goal seek'!$F$28,BW65/BW64-1,#N/A)</f>
        <v>#N/A</v>
      </c>
      <c r="CG65" s="402" t="e">
        <f>IF(BX64&gt;'goal seek'!$F$28,BX65/BX64-1,#N/A)</f>
        <v>#N/A</v>
      </c>
      <c r="CH65" s="402" t="e">
        <f>IF(BY64&gt;'goal seek'!$F$28,BY65/BY64-1,#N/A)</f>
        <v>#N/A</v>
      </c>
      <c r="CI65" s="402" t="e">
        <f>IF(BZ64&gt;'goal seek'!$F$28,BZ65/BZ64-1,#N/A)</f>
        <v>#N/A</v>
      </c>
      <c r="CJ65" s="402" t="e">
        <f>IF(CA64&gt;'goal seek'!$F$28,CA65/CA64-1,#N/A)</f>
        <v>#N/A</v>
      </c>
      <c r="CK65" s="314"/>
      <c r="CL65" s="79">
        <f t="shared" si="15"/>
        <v>2075</v>
      </c>
      <c r="CM65" s="278">
        <f t="shared" si="28"/>
        <v>0</v>
      </c>
      <c r="CN65" s="278">
        <f t="shared" si="29"/>
        <v>0</v>
      </c>
      <c r="CO65" s="278">
        <f t="shared" si="30"/>
        <v>0</v>
      </c>
      <c r="CP65" s="402">
        <f t="shared" si="33"/>
        <v>0</v>
      </c>
      <c r="CQ65" s="402">
        <f t="shared" si="34"/>
        <v>0</v>
      </c>
      <c r="CR65" s="402">
        <f t="shared" si="18"/>
        <v>0</v>
      </c>
      <c r="CS65" s="402">
        <f t="shared" si="31"/>
        <v>0</v>
      </c>
      <c r="CU65" s="79">
        <f t="shared" si="27"/>
        <v>2075</v>
      </c>
      <c r="CV65" s="299">
        <f>scenarios!K71</f>
        <v>-0.41126367481488102</v>
      </c>
      <c r="CW65" s="407">
        <f>scenarios!T71</f>
        <v>-0.41126367481488102</v>
      </c>
      <c r="CX65" s="211">
        <f>scenarios!AC71</f>
        <v>-0.41126367481488102</v>
      </c>
      <c r="CY65" s="407">
        <f>scenarios!AL71</f>
        <v>-0.41126367481488102</v>
      </c>
      <c r="CZ65" s="407">
        <f>scenarios!AU71</f>
        <v>-0.41126367481488102</v>
      </c>
      <c r="DA65" s="407">
        <f>scenarios!BD71</f>
        <v>-0.41126367481488102</v>
      </c>
      <c r="DB65" s="407">
        <f>scenarios!BM71</f>
        <v>5.7088671922950926E-5</v>
      </c>
      <c r="DD65" s="79">
        <f t="shared" si="35"/>
        <v>2067</v>
      </c>
      <c r="DE65" s="299">
        <f t="shared" si="36"/>
        <v>-1.9299620922880396</v>
      </c>
      <c r="DF65" s="211">
        <f t="shared" si="37"/>
        <v>-4.3499999999999996</v>
      </c>
      <c r="DG65" s="211">
        <f t="shared" si="38"/>
        <v>-4.3499999999999996</v>
      </c>
      <c r="DH65" s="211">
        <f t="shared" si="39"/>
        <v>-4.3499999999999996</v>
      </c>
      <c r="DI65" s="211">
        <f t="shared" si="40"/>
        <v>-4.3499999999999996</v>
      </c>
      <c r="DJ65" s="211">
        <f t="shared" si="40"/>
        <v>-4.3499999999999996</v>
      </c>
      <c r="DK65" s="293">
        <f t="shared" si="41"/>
        <v>3.8419494262553113E-3</v>
      </c>
    </row>
    <row r="66" spans="70:115" x14ac:dyDescent="0.25">
      <c r="BR66" s="79"/>
      <c r="BS66" s="79"/>
      <c r="BT66" s="79">
        <f t="shared" si="13"/>
        <v>2076</v>
      </c>
      <c r="BU66" s="280">
        <f>scenarios!E72</f>
        <v>-4.3499999999999996</v>
      </c>
      <c r="BV66" s="280">
        <f>scenarios!M72</f>
        <v>-4.3499999999999996</v>
      </c>
      <c r="BW66" s="280">
        <f>scenarios!V72</f>
        <v>-4.3499999999999996</v>
      </c>
      <c r="BX66" s="399">
        <f>scenarios!AE72</f>
        <v>-4.3499999999999996</v>
      </c>
      <c r="BY66" s="399">
        <f>scenarios!AN72</f>
        <v>-4.3499999999999996</v>
      </c>
      <c r="BZ66" s="399">
        <f>scenarios!AW72</f>
        <v>-4.3499999999999996</v>
      </c>
      <c r="CA66" s="399">
        <f>scenarios!BF72</f>
        <v>4.784823845500471E-4</v>
      </c>
      <c r="CB66" s="314"/>
      <c r="CC66" s="79">
        <f t="shared" si="32"/>
        <v>2076</v>
      </c>
      <c r="CD66" s="278" t="e">
        <f>IF($BU65&gt;'goal seek'!$F$31,$BU66/$BU65-1,#N/A)</f>
        <v>#N/A</v>
      </c>
      <c r="CE66" s="278" t="e">
        <f>IF(BV65&gt;'goal seek'!$F$28,BV66/BV65-1,#N/A)</f>
        <v>#N/A</v>
      </c>
      <c r="CF66" s="278" t="e">
        <f>IF(BW65&gt;'goal seek'!$F$28,BW66/BW65-1,#N/A)</f>
        <v>#N/A</v>
      </c>
      <c r="CG66" s="402" t="e">
        <f>IF(BX65&gt;'goal seek'!$F$28,BX66/BX65-1,#N/A)</f>
        <v>#N/A</v>
      </c>
      <c r="CH66" s="402" t="e">
        <f>IF(BY65&gt;'goal seek'!$F$28,BY66/BY65-1,#N/A)</f>
        <v>#N/A</v>
      </c>
      <c r="CI66" s="402" t="e">
        <f>IF(BZ65&gt;'goal seek'!$F$28,BZ66/BZ65-1,#N/A)</f>
        <v>#N/A</v>
      </c>
      <c r="CJ66" s="402" t="e">
        <f>IF(CA65&gt;'goal seek'!$F$28,CA66/CA65-1,#N/A)</f>
        <v>#N/A</v>
      </c>
      <c r="CK66" s="314"/>
      <c r="CL66" s="79">
        <f t="shared" si="15"/>
        <v>2076</v>
      </c>
      <c r="CM66" s="278">
        <f t="shared" si="28"/>
        <v>0</v>
      </c>
      <c r="CN66" s="278">
        <f t="shared" si="29"/>
        <v>0</v>
      </c>
      <c r="CO66" s="278">
        <f t="shared" si="30"/>
        <v>0</v>
      </c>
      <c r="CP66" s="402">
        <f t="shared" si="33"/>
        <v>0</v>
      </c>
      <c r="CQ66" s="402">
        <f t="shared" si="34"/>
        <v>0</v>
      </c>
      <c r="CR66" s="402">
        <f t="shared" si="18"/>
        <v>0</v>
      </c>
      <c r="CS66" s="402">
        <f t="shared" si="31"/>
        <v>0</v>
      </c>
      <c r="CU66" s="79">
        <f t="shared" si="27"/>
        <v>2076</v>
      </c>
      <c r="CV66" s="299">
        <f>scenarios!K72</f>
        <v>-0.41044969219470817</v>
      </c>
      <c r="CW66" s="407">
        <f>scenarios!T72</f>
        <v>-0.41044969219470817</v>
      </c>
      <c r="CX66" s="211">
        <f>scenarios!AC72</f>
        <v>-0.41044969219470817</v>
      </c>
      <c r="CY66" s="407">
        <f>scenarios!AL72</f>
        <v>-0.41044969219470817</v>
      </c>
      <c r="CZ66" s="407">
        <f>scenarios!AU72</f>
        <v>-0.41044969219470817</v>
      </c>
      <c r="DA66" s="407">
        <f>scenarios!BD72</f>
        <v>-0.41044969219470817</v>
      </c>
      <c r="DB66" s="407">
        <f>scenarios!BM72</f>
        <v>4.5147804013599269E-5</v>
      </c>
      <c r="DD66" s="79">
        <f t="shared" si="35"/>
        <v>2068</v>
      </c>
      <c r="DE66" s="299">
        <f t="shared" si="36"/>
        <v>-2.2450011120224804</v>
      </c>
      <c r="DF66" s="211">
        <f t="shared" si="37"/>
        <v>-4.3499999999999996</v>
      </c>
      <c r="DG66" s="211">
        <f t="shared" si="38"/>
        <v>-4.3499999999999996</v>
      </c>
      <c r="DH66" s="211">
        <f t="shared" si="39"/>
        <v>-4.3499999999999996</v>
      </c>
      <c r="DI66" s="211">
        <f t="shared" si="40"/>
        <v>-4.3499999999999996</v>
      </c>
      <c r="DJ66" s="211">
        <f t="shared" si="40"/>
        <v>-4.3499999999999996</v>
      </c>
      <c r="DK66" s="293">
        <f t="shared" si="41"/>
        <v>3.0521757811871712E-3</v>
      </c>
    </row>
    <row r="67" spans="70:115" x14ac:dyDescent="0.25">
      <c r="BR67" s="79"/>
      <c r="BS67" s="79"/>
      <c r="BT67" s="79">
        <f t="shared" si="13"/>
        <v>2077</v>
      </c>
      <c r="BU67" s="280">
        <f>scenarios!E73</f>
        <v>-4.3499999999999996</v>
      </c>
      <c r="BV67" s="280">
        <f>scenarios!M73</f>
        <v>-4.3499999999999996</v>
      </c>
      <c r="BW67" s="280">
        <f>scenarios!V73</f>
        <v>-4.3499999999999996</v>
      </c>
      <c r="BX67" s="399">
        <f>scenarios!AE73</f>
        <v>-4.3499999999999996</v>
      </c>
      <c r="BY67" s="399">
        <f>scenarios!AN73</f>
        <v>-4.3499999999999996</v>
      </c>
      <c r="BZ67" s="399">
        <f>scenarios!AW73</f>
        <v>-4.3499999999999996</v>
      </c>
      <c r="CA67" s="399">
        <f>scenarios!BF73</f>
        <v>3.7904840791133545E-4</v>
      </c>
      <c r="CB67" s="314"/>
      <c r="CC67" s="79">
        <f t="shared" si="32"/>
        <v>2077</v>
      </c>
      <c r="CD67" s="278" t="e">
        <f>IF($BU66&gt;'goal seek'!$F$31,$BU67/$BU66-1,#N/A)</f>
        <v>#N/A</v>
      </c>
      <c r="CE67" s="278" t="e">
        <f>IF(BV66&gt;'goal seek'!$F$28,BV67/BV66-1,#N/A)</f>
        <v>#N/A</v>
      </c>
      <c r="CF67" s="278" t="e">
        <f>IF(BW66&gt;'goal seek'!$F$28,BW67/BW66-1,#N/A)</f>
        <v>#N/A</v>
      </c>
      <c r="CG67" s="402" t="e">
        <f>IF(BX66&gt;'goal seek'!$F$28,BX67/BX66-1,#N/A)</f>
        <v>#N/A</v>
      </c>
      <c r="CH67" s="402" t="e">
        <f>IF(BY66&gt;'goal seek'!$F$28,BY67/BY66-1,#N/A)</f>
        <v>#N/A</v>
      </c>
      <c r="CI67" s="402" t="e">
        <f>IF(BZ66&gt;'goal seek'!$F$28,BZ67/BZ66-1,#N/A)</f>
        <v>#N/A</v>
      </c>
      <c r="CJ67" s="402" t="e">
        <f>IF(CA66&gt;'goal seek'!$F$28,CA67/CA66-1,#N/A)</f>
        <v>#N/A</v>
      </c>
      <c r="CK67" s="314"/>
      <c r="CL67" s="79">
        <f t="shared" si="15"/>
        <v>2077</v>
      </c>
      <c r="CM67" s="278">
        <f t="shared" si="28"/>
        <v>0</v>
      </c>
      <c r="CN67" s="278">
        <f t="shared" si="29"/>
        <v>0</v>
      </c>
      <c r="CO67" s="278">
        <f t="shared" si="30"/>
        <v>0</v>
      </c>
      <c r="CP67" s="402">
        <f t="shared" si="33"/>
        <v>0</v>
      </c>
      <c r="CQ67" s="402">
        <f t="shared" si="34"/>
        <v>0</v>
      </c>
      <c r="CR67" s="402">
        <f t="shared" si="18"/>
        <v>0</v>
      </c>
      <c r="CS67" s="402">
        <f t="shared" si="31"/>
        <v>0</v>
      </c>
      <c r="CU67" s="79">
        <f t="shared" si="27"/>
        <v>2077</v>
      </c>
      <c r="CV67" s="299">
        <f>scenarios!K73</f>
        <v>-0.40967131961440889</v>
      </c>
      <c r="CW67" s="407">
        <f>scenarios!T73</f>
        <v>-0.40967131961440889</v>
      </c>
      <c r="CX67" s="211">
        <f>scenarios!AC73</f>
        <v>-0.40967131961440889</v>
      </c>
      <c r="CY67" s="407">
        <f>scenarios!AL73</f>
        <v>-0.40967131961440889</v>
      </c>
      <c r="CZ67" s="407">
        <f>scenarios!AU73</f>
        <v>-0.40967131961440889</v>
      </c>
      <c r="DA67" s="407">
        <f>scenarios!BD73</f>
        <v>-0.40967131961440889</v>
      </c>
      <c r="DB67" s="407">
        <f>scenarios!BM73</f>
        <v>3.5697761256730471E-5</v>
      </c>
      <c r="DD67" s="79">
        <f t="shared" si="35"/>
        <v>2069</v>
      </c>
      <c r="DE67" s="299">
        <f t="shared" si="36"/>
        <v>-2.5600401317569212</v>
      </c>
      <c r="DF67" s="211">
        <f t="shared" si="37"/>
        <v>-4.3499999999999996</v>
      </c>
      <c r="DG67" s="211">
        <f t="shared" si="38"/>
        <v>-4.3499999999999996</v>
      </c>
      <c r="DH67" s="211">
        <f t="shared" si="39"/>
        <v>-4.3499999999999996</v>
      </c>
      <c r="DI67" s="211">
        <f t="shared" si="40"/>
        <v>-4.3499999999999996</v>
      </c>
      <c r="DJ67" s="211">
        <f t="shared" si="40"/>
        <v>-4.3499999999999996</v>
      </c>
      <c r="DK67" s="293">
        <f t="shared" si="41"/>
        <v>2.4238753176652125E-3</v>
      </c>
    </row>
    <row r="68" spans="70:115" x14ac:dyDescent="0.25">
      <c r="BR68" s="79"/>
      <c r="BS68" s="79"/>
      <c r="BT68" s="79">
        <f t="shared" si="13"/>
        <v>2078</v>
      </c>
      <c r="BU68" s="280">
        <f>scenarios!E74</f>
        <v>-4.3499999999999996</v>
      </c>
      <c r="BV68" s="280">
        <f>scenarios!M74</f>
        <v>-4.3499999999999996</v>
      </c>
      <c r="BW68" s="280">
        <f>scenarios!V74</f>
        <v>-4.3499999999999996</v>
      </c>
      <c r="BX68" s="399">
        <f>scenarios!AE74</f>
        <v>-4.3499999999999996</v>
      </c>
      <c r="BY68" s="399">
        <f>scenarios!AN74</f>
        <v>-4.3499999999999996</v>
      </c>
      <c r="BZ68" s="399">
        <f>scenarios!AW74</f>
        <v>-4.3499999999999996</v>
      </c>
      <c r="CA68" s="399">
        <f>scenarios!BF74</f>
        <v>3.0019871513347349E-4</v>
      </c>
      <c r="CB68" s="314"/>
      <c r="CC68" s="79">
        <f t="shared" si="32"/>
        <v>2078</v>
      </c>
      <c r="CD68" s="278" t="e">
        <f>IF($BU67&gt;'goal seek'!$F$31,$BU68/$BU67-1,#N/A)</f>
        <v>#N/A</v>
      </c>
      <c r="CE68" s="278" t="e">
        <f>IF(BV67&gt;'goal seek'!$F$28,BV68/BV67-1,#N/A)</f>
        <v>#N/A</v>
      </c>
      <c r="CF68" s="278" t="e">
        <f>IF(BW67&gt;'goal seek'!$F$28,BW68/BW67-1,#N/A)</f>
        <v>#N/A</v>
      </c>
      <c r="CG68" s="402" t="e">
        <f>IF(BX67&gt;'goal seek'!$F$28,BX68/BX67-1,#N/A)</f>
        <v>#N/A</v>
      </c>
      <c r="CH68" s="402" t="e">
        <f>IF(BY67&gt;'goal seek'!$F$28,BY68/BY67-1,#N/A)</f>
        <v>#N/A</v>
      </c>
      <c r="CI68" s="402" t="e">
        <f>IF(BZ67&gt;'goal seek'!$F$28,BZ68/BZ67-1,#N/A)</f>
        <v>#N/A</v>
      </c>
      <c r="CJ68" s="402" t="e">
        <f>IF(CA67&gt;'goal seek'!$F$28,CA68/CA67-1,#N/A)</f>
        <v>#N/A</v>
      </c>
      <c r="CK68" s="314"/>
      <c r="CL68" s="79">
        <f t="shared" si="15"/>
        <v>2078</v>
      </c>
      <c r="CM68" s="278">
        <f t="shared" si="28"/>
        <v>0</v>
      </c>
      <c r="CN68" s="278">
        <f t="shared" si="29"/>
        <v>0</v>
      </c>
      <c r="CO68" s="278">
        <f t="shared" si="30"/>
        <v>0</v>
      </c>
      <c r="CP68" s="402">
        <f t="shared" si="33"/>
        <v>0</v>
      </c>
      <c r="CQ68" s="402">
        <f t="shared" si="34"/>
        <v>0</v>
      </c>
      <c r="CR68" s="402">
        <f t="shared" si="18"/>
        <v>0</v>
      </c>
      <c r="CS68" s="402">
        <f t="shared" si="31"/>
        <v>0</v>
      </c>
      <c r="CU68" s="79">
        <f t="shared" si="27"/>
        <v>2078</v>
      </c>
      <c r="CV68" s="299">
        <f>scenarios!K74</f>
        <v>-0.4089278288137877</v>
      </c>
      <c r="CW68" s="407">
        <f>scenarios!T74</f>
        <v>-0.4089278288137877</v>
      </c>
      <c r="CX68" s="211">
        <f>scenarios!AC74</f>
        <v>-0.4089278288137877</v>
      </c>
      <c r="CY68" s="407">
        <f>scenarios!AL74</f>
        <v>-0.4089278288137877</v>
      </c>
      <c r="CZ68" s="407">
        <f>scenarios!AU74</f>
        <v>-0.4089278288137877</v>
      </c>
      <c r="DA68" s="407">
        <f>scenarios!BD74</f>
        <v>-0.4089278288137877</v>
      </c>
      <c r="DB68" s="407">
        <f>scenarios!BM74</f>
        <v>2.8220599722349443E-5</v>
      </c>
      <c r="DD68" s="79">
        <f t="shared" si="35"/>
        <v>2070</v>
      </c>
      <c r="DE68" s="299">
        <f t="shared" si="36"/>
        <v>-2.8750791514913621</v>
      </c>
      <c r="DF68" s="211">
        <f t="shared" si="37"/>
        <v>-4.3499999999999996</v>
      </c>
      <c r="DG68" s="211">
        <f t="shared" si="38"/>
        <v>-4.3499999999999996</v>
      </c>
      <c r="DH68" s="211">
        <f t="shared" si="39"/>
        <v>-4.3499999999999996</v>
      </c>
      <c r="DI68" s="211">
        <f t="shared" si="40"/>
        <v>-4.3499999999999996</v>
      </c>
      <c r="DJ68" s="211">
        <f t="shared" si="40"/>
        <v>-4.3499999999999996</v>
      </c>
      <c r="DK68" s="293">
        <f t="shared" si="41"/>
        <v>1.9242418703228478E-3</v>
      </c>
    </row>
    <row r="69" spans="70:115" x14ac:dyDescent="0.25">
      <c r="BR69" s="79"/>
      <c r="BS69" s="79"/>
      <c r="BT69" s="79">
        <f t="shared" si="13"/>
        <v>2079</v>
      </c>
      <c r="BU69" s="280">
        <f>scenarios!E75</f>
        <v>-4.3499999999999996</v>
      </c>
      <c r="BV69" s="280">
        <f>scenarios!M75</f>
        <v>-4.3499999999999996</v>
      </c>
      <c r="BW69" s="280">
        <f>scenarios!V75</f>
        <v>-4.3499999999999996</v>
      </c>
      <c r="BX69" s="399">
        <f>scenarios!AE75</f>
        <v>-4.3499999999999996</v>
      </c>
      <c r="BY69" s="399">
        <f>scenarios!AN75</f>
        <v>-4.3499999999999996</v>
      </c>
      <c r="BZ69" s="399">
        <f>scenarios!AW75</f>
        <v>-4.3499999999999996</v>
      </c>
      <c r="CA69" s="399">
        <f>scenarios!BF75</f>
        <v>2.3769062016652581E-4</v>
      </c>
      <c r="CB69" s="314"/>
      <c r="CC69" s="79">
        <f t="shared" si="32"/>
        <v>2079</v>
      </c>
      <c r="CD69" s="278" t="e">
        <f>IF($BU68&gt;'goal seek'!$F$31,$BU69/$BU68-1,#N/A)</f>
        <v>#N/A</v>
      </c>
      <c r="CE69" s="278" t="e">
        <f>IF(BV68&gt;'goal seek'!$F$28,BV69/BV68-1,#N/A)</f>
        <v>#N/A</v>
      </c>
      <c r="CF69" s="278" t="e">
        <f>IF(BW68&gt;'goal seek'!$F$28,BW69/BW68-1,#N/A)</f>
        <v>#N/A</v>
      </c>
      <c r="CG69" s="402" t="e">
        <f>IF(BX68&gt;'goal seek'!$F$28,BX69/BX68-1,#N/A)</f>
        <v>#N/A</v>
      </c>
      <c r="CH69" s="402" t="e">
        <f>IF(BY68&gt;'goal seek'!$F$28,BY69/BY68-1,#N/A)</f>
        <v>#N/A</v>
      </c>
      <c r="CI69" s="402" t="e">
        <f>IF(BZ68&gt;'goal seek'!$F$28,BZ69/BZ68-1,#N/A)</f>
        <v>#N/A</v>
      </c>
      <c r="CJ69" s="402" t="e">
        <f>IF(CA68&gt;'goal seek'!$F$28,CA69/CA68-1,#N/A)</f>
        <v>#N/A</v>
      </c>
      <c r="CK69" s="314"/>
      <c r="CL69" s="79">
        <f t="shared" si="15"/>
        <v>2079</v>
      </c>
      <c r="CM69" s="278">
        <f t="shared" si="28"/>
        <v>0</v>
      </c>
      <c r="CN69" s="278">
        <f t="shared" si="29"/>
        <v>0</v>
      </c>
      <c r="CO69" s="278">
        <f t="shared" si="30"/>
        <v>0</v>
      </c>
      <c r="CP69" s="402">
        <f t="shared" si="33"/>
        <v>0</v>
      </c>
      <c r="CQ69" s="402">
        <f t="shared" si="34"/>
        <v>0</v>
      </c>
      <c r="CR69" s="402">
        <f t="shared" si="18"/>
        <v>0</v>
      </c>
      <c r="CS69" s="402">
        <f t="shared" si="31"/>
        <v>0</v>
      </c>
      <c r="CU69" s="79">
        <f t="shared" si="27"/>
        <v>2079</v>
      </c>
      <c r="CV69" s="299">
        <f>scenarios!K75</f>
        <v>-0.40821863507440415</v>
      </c>
      <c r="CW69" s="407">
        <f>scenarios!T75</f>
        <v>-0.40821863507440415</v>
      </c>
      <c r="CX69" s="211">
        <f>scenarios!AC75</f>
        <v>-0.40821863507440415</v>
      </c>
      <c r="CY69" s="407">
        <f>scenarios!AL75</f>
        <v>-0.40821863507440415</v>
      </c>
      <c r="CZ69" s="407">
        <f>scenarios!AU75</f>
        <v>-0.40821863507440415</v>
      </c>
      <c r="DA69" s="407">
        <f>scenarios!BD75</f>
        <v>-0.40821863507440415</v>
      </c>
      <c r="DB69" s="407">
        <f>scenarios!BM75</f>
        <v>2.2305687479165014E-5</v>
      </c>
      <c r="DD69" s="79">
        <f t="shared" si="35"/>
        <v>2071</v>
      </c>
      <c r="DE69" s="299">
        <f t="shared" si="36"/>
        <v>-3.1901181712258029</v>
      </c>
      <c r="DF69" s="211">
        <f t="shared" si="37"/>
        <v>-4.3499999999999996</v>
      </c>
      <c r="DG69" s="211">
        <f t="shared" si="38"/>
        <v>-4.3499999999999996</v>
      </c>
      <c r="DH69" s="211">
        <f t="shared" si="39"/>
        <v>-4.3499999999999996</v>
      </c>
      <c r="DI69" s="211">
        <f t="shared" si="40"/>
        <v>-4.3499999999999996</v>
      </c>
      <c r="DJ69" s="211">
        <f t="shared" si="40"/>
        <v>-4.3499999999999996</v>
      </c>
      <c r="DK69" s="293">
        <f t="shared" si="41"/>
        <v>1.5270849293665132E-3</v>
      </c>
    </row>
    <row r="70" spans="70:115" x14ac:dyDescent="0.25">
      <c r="BR70" s="79"/>
      <c r="BS70" s="79">
        <v>2080</v>
      </c>
      <c r="BT70" s="79">
        <f t="shared" si="13"/>
        <v>2080</v>
      </c>
      <c r="BU70" s="280">
        <f>scenarios!E76</f>
        <v>-4.3499999999999996</v>
      </c>
      <c r="BV70" s="280">
        <f>scenarios!M76</f>
        <v>-4.3499999999999996</v>
      </c>
      <c r="BW70" s="280">
        <f>scenarios!V76</f>
        <v>-4.3499999999999996</v>
      </c>
      <c r="BX70" s="399">
        <f>scenarios!AE76</f>
        <v>-4.3499999999999996</v>
      </c>
      <c r="BY70" s="399">
        <f>scenarios!AN76</f>
        <v>-4.3499999999999996</v>
      </c>
      <c r="BZ70" s="399">
        <f>scenarios!AW76</f>
        <v>-4.3499999999999996</v>
      </c>
      <c r="CA70" s="399">
        <f>scenarios!BF76</f>
        <v>1.8815154288200672E-4</v>
      </c>
      <c r="CB70" s="314"/>
      <c r="CC70" s="79">
        <f t="shared" si="32"/>
        <v>2080</v>
      </c>
      <c r="CD70" s="278" t="e">
        <f>IF($BU69&gt;'goal seek'!$F$31,$BU70/$BU69-1,#N/A)</f>
        <v>#N/A</v>
      </c>
      <c r="CE70" s="278" t="e">
        <f>IF(BV69&gt;'goal seek'!$F$28,BV70/BV69-1,#N/A)</f>
        <v>#N/A</v>
      </c>
      <c r="CF70" s="278" t="e">
        <f>IF(BW69&gt;'goal seek'!$F$28,BW70/BW69-1,#N/A)</f>
        <v>#N/A</v>
      </c>
      <c r="CG70" s="402" t="e">
        <f>IF(BX69&gt;'goal seek'!$F$28,BX70/BX69-1,#N/A)</f>
        <v>#N/A</v>
      </c>
      <c r="CH70" s="402" t="e">
        <f>IF(BY69&gt;'goal seek'!$F$28,BY70/BY69-1,#N/A)</f>
        <v>#N/A</v>
      </c>
      <c r="CI70" s="402" t="e">
        <f>IF(BZ69&gt;'goal seek'!$F$28,BZ70/BZ69-1,#N/A)</f>
        <v>#N/A</v>
      </c>
      <c r="CJ70" s="402" t="e">
        <f>IF(CA69&gt;'goal seek'!$F$28,CA70/CA69-1,#N/A)</f>
        <v>#N/A</v>
      </c>
      <c r="CK70" s="314"/>
      <c r="CL70" s="79">
        <f t="shared" si="15"/>
        <v>2080</v>
      </c>
      <c r="CM70" s="278">
        <f t="shared" si="28"/>
        <v>0</v>
      </c>
      <c r="CN70" s="278">
        <f t="shared" si="29"/>
        <v>0</v>
      </c>
      <c r="CO70" s="278">
        <f t="shared" si="30"/>
        <v>0</v>
      </c>
      <c r="CP70" s="402">
        <f t="shared" si="33"/>
        <v>0</v>
      </c>
      <c r="CQ70" s="402">
        <f t="shared" si="34"/>
        <v>0</v>
      </c>
      <c r="CR70" s="402">
        <f t="shared" si="18"/>
        <v>0</v>
      </c>
      <c r="CS70" s="402">
        <f t="shared" si="31"/>
        <v>0</v>
      </c>
      <c r="CU70" s="79">
        <f t="shared" si="27"/>
        <v>2080</v>
      </c>
      <c r="CV70" s="299">
        <f>scenarios!K76</f>
        <v>-0.40754303226687932</v>
      </c>
      <c r="CW70" s="407">
        <f>scenarios!T76</f>
        <v>-0.40754303226687932</v>
      </c>
      <c r="CX70" s="211">
        <f>scenarios!AC76</f>
        <v>-0.40754303226687932</v>
      </c>
      <c r="CY70" s="407">
        <f>scenarios!AL76</f>
        <v>-0.40754303226687932</v>
      </c>
      <c r="CZ70" s="407">
        <f>scenarios!AU76</f>
        <v>-0.40754303226687932</v>
      </c>
      <c r="DA70" s="407">
        <f>scenarios!BD76</f>
        <v>-0.40754303226687932</v>
      </c>
      <c r="DB70" s="407">
        <f>scenarios!BM76</f>
        <v>1.7627551795821789E-5</v>
      </c>
      <c r="DD70" s="79">
        <f t="shared" si="35"/>
        <v>2072</v>
      </c>
      <c r="DE70" s="299">
        <f t="shared" si="36"/>
        <v>-3.5051571909602437</v>
      </c>
      <c r="DF70" s="211">
        <f t="shared" si="37"/>
        <v>-4.3499999999999996</v>
      </c>
      <c r="DG70" s="211">
        <f t="shared" si="38"/>
        <v>-4.3499999999999996</v>
      </c>
      <c r="DH70" s="211">
        <f t="shared" si="39"/>
        <v>-4.3499999999999996</v>
      </c>
      <c r="DI70" s="211">
        <f t="shared" si="40"/>
        <v>-4.3499999999999996</v>
      </c>
      <c r="DJ70" s="211">
        <f t="shared" si="40"/>
        <v>-4.3499999999999996</v>
      </c>
      <c r="DK70" s="293">
        <f t="shared" si="41"/>
        <v>1.211507400511235E-3</v>
      </c>
    </row>
    <row r="71" spans="70:115" x14ac:dyDescent="0.25">
      <c r="BR71" s="79"/>
      <c r="BS71" s="79"/>
      <c r="BT71" s="79">
        <f t="shared" si="13"/>
        <v>2081</v>
      </c>
      <c r="BU71" s="280">
        <f>scenarios!E77</f>
        <v>-4.3499999999999996</v>
      </c>
      <c r="BV71" s="280">
        <f>scenarios!M77</f>
        <v>-4.3499999999999996</v>
      </c>
      <c r="BW71" s="280">
        <f>scenarios!V77</f>
        <v>-4.3499999999999996</v>
      </c>
      <c r="BX71" s="399">
        <f>scenarios!AE77</f>
        <v>-4.3499999999999996</v>
      </c>
      <c r="BY71" s="399">
        <f>scenarios!AN77</f>
        <v>-4.3499999999999996</v>
      </c>
      <c r="BZ71" s="399">
        <f>scenarios!AW77</f>
        <v>-4.3499999999999996</v>
      </c>
      <c r="CA71" s="399">
        <f>scenarios!BF77</f>
        <v>1.4890159613068659E-4</v>
      </c>
      <c r="CB71" s="314"/>
      <c r="CC71" s="79">
        <f t="shared" si="32"/>
        <v>2081</v>
      </c>
      <c r="CD71" s="278" t="e">
        <f>IF($BU70&gt;'goal seek'!$F$31,$BU71/$BU70-1,#N/A)</f>
        <v>#N/A</v>
      </c>
      <c r="CE71" s="278" t="e">
        <f>IF(BV70&gt;'goal seek'!$F$28,BV71/BV70-1,#N/A)</f>
        <v>#N/A</v>
      </c>
      <c r="CF71" s="278" t="e">
        <f>IF(BW70&gt;'goal seek'!$F$28,BW71/BW70-1,#N/A)</f>
        <v>#N/A</v>
      </c>
      <c r="CG71" s="402" t="e">
        <f>IF(BX70&gt;'goal seek'!$F$28,BX71/BX70-1,#N/A)</f>
        <v>#N/A</v>
      </c>
      <c r="CH71" s="402" t="e">
        <f>IF(BY70&gt;'goal seek'!$F$28,BY71/BY70-1,#N/A)</f>
        <v>#N/A</v>
      </c>
      <c r="CI71" s="402" t="e">
        <f>IF(BZ70&gt;'goal seek'!$F$28,BZ71/BZ70-1,#N/A)</f>
        <v>#N/A</v>
      </c>
      <c r="CJ71" s="402" t="e">
        <f>IF(CA70&gt;'goal seek'!$F$28,CA71/CA70-1,#N/A)</f>
        <v>#N/A</v>
      </c>
      <c r="CK71" s="314"/>
      <c r="CL71" s="79">
        <f t="shared" si="15"/>
        <v>2081</v>
      </c>
      <c r="CM71" s="278">
        <f t="shared" si="28"/>
        <v>0</v>
      </c>
      <c r="CN71" s="278">
        <f t="shared" si="29"/>
        <v>0</v>
      </c>
      <c r="CO71" s="278">
        <f t="shared" si="30"/>
        <v>0</v>
      </c>
      <c r="CP71" s="402">
        <f t="shared" si="33"/>
        <v>0</v>
      </c>
      <c r="CQ71" s="402">
        <f t="shared" si="34"/>
        <v>0</v>
      </c>
      <c r="CR71" s="402">
        <f t="shared" si="18"/>
        <v>0</v>
      </c>
      <c r="CS71" s="402">
        <f t="shared" si="31"/>
        <v>0</v>
      </c>
      <c r="CU71" s="79">
        <f t="shared" si="27"/>
        <v>2081</v>
      </c>
      <c r="CV71" s="299">
        <f>scenarios!K77</f>
        <v>-0.4069003958745831</v>
      </c>
      <c r="CW71" s="407">
        <f>scenarios!T77</f>
        <v>-0.4069003958745831</v>
      </c>
      <c r="CX71" s="211">
        <f>scenarios!AC77</f>
        <v>-0.4069003958745831</v>
      </c>
      <c r="CY71" s="407">
        <f>scenarios!AL77</f>
        <v>-0.4069003958745831</v>
      </c>
      <c r="CZ71" s="407">
        <f>scenarios!AU77</f>
        <v>-0.4069003958745831</v>
      </c>
      <c r="DA71" s="407">
        <f>scenarios!BD77</f>
        <v>-0.4069003958745831</v>
      </c>
      <c r="DB71" s="407">
        <f>scenarios!BM77</f>
        <v>1.392830308320314E-5</v>
      </c>
      <c r="DD71" s="79">
        <f t="shared" si="35"/>
        <v>2073</v>
      </c>
      <c r="DE71" s="299">
        <f t="shared" si="36"/>
        <v>-3.8201962106946845</v>
      </c>
      <c r="DF71" s="211">
        <f t="shared" si="37"/>
        <v>-4.3499999999999996</v>
      </c>
      <c r="DG71" s="211">
        <f t="shared" si="38"/>
        <v>-4.3499999999999996</v>
      </c>
      <c r="DH71" s="211">
        <f t="shared" si="39"/>
        <v>-4.3499999999999996</v>
      </c>
      <c r="DI71" s="211">
        <f t="shared" si="40"/>
        <v>-4.3499999999999996</v>
      </c>
      <c r="DJ71" s="211">
        <f t="shared" si="40"/>
        <v>-4.3499999999999996</v>
      </c>
      <c r="DK71" s="293">
        <f t="shared" si="41"/>
        <v>9.6084476937006134E-4</v>
      </c>
    </row>
    <row r="72" spans="70:115" x14ac:dyDescent="0.25">
      <c r="BR72" s="79"/>
      <c r="BS72" s="79"/>
      <c r="BT72" s="79">
        <f t="shared" si="13"/>
        <v>2082</v>
      </c>
      <c r="BU72" s="280">
        <f>scenarios!E78</f>
        <v>-4.3499999999999996</v>
      </c>
      <c r="BV72" s="280">
        <f>scenarios!M78</f>
        <v>-4.3499999999999996</v>
      </c>
      <c r="BW72" s="280">
        <f>scenarios!V78</f>
        <v>-4.3499999999999996</v>
      </c>
      <c r="BX72" s="399">
        <f>scenarios!AE78</f>
        <v>-4.3499999999999996</v>
      </c>
      <c r="BY72" s="399">
        <f>scenarios!AN78</f>
        <v>-4.3499999999999996</v>
      </c>
      <c r="BZ72" s="399">
        <f>scenarios!AW78</f>
        <v>-4.3499999999999996</v>
      </c>
      <c r="CA72" s="399">
        <f>scenarios!BF78</f>
        <v>1.1781210199380822E-4</v>
      </c>
      <c r="CB72" s="314"/>
      <c r="CC72" s="79">
        <f t="shared" si="32"/>
        <v>2082</v>
      </c>
      <c r="CD72" s="278" t="e">
        <f>IF($BU71&gt;'goal seek'!$F$31,$BU72/$BU71-1,#N/A)</f>
        <v>#N/A</v>
      </c>
      <c r="CE72" s="278" t="e">
        <f>IF(BV71&gt;'goal seek'!$F$28,BV72/BV71-1,#N/A)</f>
        <v>#N/A</v>
      </c>
      <c r="CF72" s="278" t="e">
        <f>IF(BW71&gt;'goal seek'!$F$28,BW72/BW71-1,#N/A)</f>
        <v>#N/A</v>
      </c>
      <c r="CG72" s="402" t="e">
        <f>IF(BX71&gt;'goal seek'!$F$28,BX72/BX71-1,#N/A)</f>
        <v>#N/A</v>
      </c>
      <c r="CH72" s="402" t="e">
        <f>IF(BY71&gt;'goal seek'!$F$28,BY72/BY71-1,#N/A)</f>
        <v>#N/A</v>
      </c>
      <c r="CI72" s="402" t="e">
        <f>IF(BZ71&gt;'goal seek'!$F$28,BZ72/BZ71-1,#N/A)</f>
        <v>#N/A</v>
      </c>
      <c r="CJ72" s="402" t="e">
        <f>IF(CA71&gt;'goal seek'!$F$28,CA72/CA71-1,#N/A)</f>
        <v>#N/A</v>
      </c>
      <c r="CK72" s="314"/>
      <c r="CL72" s="79">
        <f t="shared" si="15"/>
        <v>2082</v>
      </c>
      <c r="CM72" s="278">
        <f t="shared" si="28"/>
        <v>0</v>
      </c>
      <c r="CN72" s="278">
        <f t="shared" si="29"/>
        <v>0</v>
      </c>
      <c r="CO72" s="278">
        <f t="shared" si="30"/>
        <v>0</v>
      </c>
      <c r="CP72" s="402">
        <f t="shared" si="33"/>
        <v>0</v>
      </c>
      <c r="CQ72" s="402">
        <f t="shared" si="34"/>
        <v>0</v>
      </c>
      <c r="CR72" s="402">
        <f t="shared" si="18"/>
        <v>0</v>
      </c>
      <c r="CS72" s="402">
        <f t="shared" si="31"/>
        <v>0</v>
      </c>
      <c r="CU72" s="79">
        <f t="shared" si="27"/>
        <v>2082</v>
      </c>
      <c r="CV72" s="299">
        <f>scenarios!K78</f>
        <v>-0.4062897605754755</v>
      </c>
      <c r="CW72" s="407">
        <f>scenarios!T78</f>
        <v>-0.4062897605754755</v>
      </c>
      <c r="CX72" s="211">
        <f>scenarios!AC78</f>
        <v>-0.4062897605754755</v>
      </c>
      <c r="CY72" s="407">
        <f>scenarios!AL78</f>
        <v>-0.4062897605754755</v>
      </c>
      <c r="CZ72" s="407">
        <f>scenarios!AU78</f>
        <v>-0.4062897605754755</v>
      </c>
      <c r="DA72" s="407">
        <f>scenarios!BD78</f>
        <v>-0.4062897605754755</v>
      </c>
      <c r="DB72" s="407">
        <f>scenarios!BM78</f>
        <v>1.1003643841829388E-5</v>
      </c>
      <c r="DD72" s="79">
        <f t="shared" si="35"/>
        <v>2074</v>
      </c>
      <c r="DE72" s="299">
        <f t="shared" si="36"/>
        <v>-4.1352352304291253</v>
      </c>
      <c r="DF72" s="211">
        <f t="shared" si="37"/>
        <v>-4.3499999999999996</v>
      </c>
      <c r="DG72" s="211">
        <f t="shared" si="38"/>
        <v>-4.3499999999999996</v>
      </c>
      <c r="DH72" s="211">
        <f t="shared" si="39"/>
        <v>-4.3499999999999996</v>
      </c>
      <c r="DI72" s="211">
        <f t="shared" si="40"/>
        <v>-4.3499999999999996</v>
      </c>
      <c r="DJ72" s="211">
        <f t="shared" si="40"/>
        <v>-4.3499999999999996</v>
      </c>
      <c r="DK72" s="293">
        <f t="shared" si="41"/>
        <v>7.61814689302157E-4</v>
      </c>
    </row>
    <row r="73" spans="70:115" x14ac:dyDescent="0.25">
      <c r="BR73" s="79"/>
      <c r="BS73" s="79"/>
      <c r="BT73" s="79">
        <f t="shared" si="13"/>
        <v>2083</v>
      </c>
      <c r="BU73" s="280">
        <f>scenarios!E79</f>
        <v>-4.3499999999999996</v>
      </c>
      <c r="BV73" s="280">
        <f>scenarios!M79</f>
        <v>-4.3499999999999996</v>
      </c>
      <c r="BW73" s="280">
        <f>scenarios!V79</f>
        <v>-4.3499999999999996</v>
      </c>
      <c r="BX73" s="399">
        <f>scenarios!AE79</f>
        <v>-4.3499999999999996</v>
      </c>
      <c r="BY73" s="399">
        <f>scenarios!AN79</f>
        <v>-4.3499999999999996</v>
      </c>
      <c r="BZ73" s="399">
        <f>scenarios!AW79</f>
        <v>-4.3499999999999996</v>
      </c>
      <c r="CA73" s="399">
        <f>scenarios!BF79</f>
        <v>9.3192819451234812E-5</v>
      </c>
      <c r="CB73" s="314"/>
      <c r="CC73" s="79">
        <f t="shared" si="32"/>
        <v>2083</v>
      </c>
      <c r="CD73" s="278" t="e">
        <f>IF($BU72&gt;'goal seek'!$F$31,$BU73/$BU72-1,#N/A)</f>
        <v>#N/A</v>
      </c>
      <c r="CE73" s="278" t="e">
        <f>IF(BV72&gt;'goal seek'!$F$28,BV73/BV72-1,#N/A)</f>
        <v>#N/A</v>
      </c>
      <c r="CF73" s="278" t="e">
        <f>IF(BW72&gt;'goal seek'!$F$28,BW73/BW72-1,#N/A)</f>
        <v>#N/A</v>
      </c>
      <c r="CG73" s="402" t="e">
        <f>IF(BX72&gt;'goal seek'!$F$28,BX73/BX72-1,#N/A)</f>
        <v>#N/A</v>
      </c>
      <c r="CH73" s="402" t="e">
        <f>IF(BY72&gt;'goal seek'!$F$28,BY73/BY72-1,#N/A)</f>
        <v>#N/A</v>
      </c>
      <c r="CI73" s="402" t="e">
        <f>IF(BZ72&gt;'goal seek'!$F$28,BZ73/BZ72-1,#N/A)</f>
        <v>#N/A</v>
      </c>
      <c r="CJ73" s="402" t="e">
        <f>IF(CA72&gt;'goal seek'!$F$28,CA73/CA72-1,#N/A)</f>
        <v>#N/A</v>
      </c>
      <c r="CK73" s="314"/>
      <c r="CL73" s="79">
        <f t="shared" si="15"/>
        <v>2083</v>
      </c>
      <c r="CM73" s="278">
        <f t="shared" si="28"/>
        <v>0</v>
      </c>
      <c r="CN73" s="278">
        <f t="shared" si="29"/>
        <v>0</v>
      </c>
      <c r="CO73" s="278">
        <f t="shared" si="30"/>
        <v>0</v>
      </c>
      <c r="CP73" s="402">
        <f t="shared" si="33"/>
        <v>0</v>
      </c>
      <c r="CQ73" s="402">
        <f t="shared" si="34"/>
        <v>0</v>
      </c>
      <c r="CR73" s="402">
        <f t="shared" si="18"/>
        <v>0</v>
      </c>
      <c r="CS73" s="402">
        <f t="shared" si="31"/>
        <v>0</v>
      </c>
      <c r="CU73" s="79">
        <f t="shared" ref="CU73:CU90" si="42">BT73</f>
        <v>2083</v>
      </c>
      <c r="CV73" s="299">
        <f>scenarios!K79</f>
        <v>-0.40570973655936077</v>
      </c>
      <c r="CW73" s="407">
        <f>scenarios!T79</f>
        <v>-0.40570973655936077</v>
      </c>
      <c r="CX73" s="211">
        <f>scenarios!AC79</f>
        <v>-0.40570973655936077</v>
      </c>
      <c r="CY73" s="407">
        <f>scenarios!AL79</f>
        <v>-0.40570973655936077</v>
      </c>
      <c r="CZ73" s="407">
        <f>scenarios!AU79</f>
        <v>-0.40570973655936077</v>
      </c>
      <c r="DA73" s="407">
        <f>scenarios!BD79</f>
        <v>-0.40570973655936077</v>
      </c>
      <c r="DB73" s="407">
        <f>scenarios!BM79</f>
        <v>8.6917779836286304E-6</v>
      </c>
      <c r="DD73" s="79">
        <f t="shared" si="35"/>
        <v>2075</v>
      </c>
      <c r="DE73" s="299">
        <f t="shared" si="36"/>
        <v>-4.3499999999999996</v>
      </c>
      <c r="DF73" s="211">
        <f t="shared" si="37"/>
        <v>-4.3499999999999996</v>
      </c>
      <c r="DG73" s="211">
        <f t="shared" si="38"/>
        <v>-4.3499999999999996</v>
      </c>
      <c r="DH73" s="211">
        <f t="shared" si="39"/>
        <v>-4.3499999999999996</v>
      </c>
      <c r="DI73" s="211">
        <f t="shared" si="40"/>
        <v>-4.3499999999999996</v>
      </c>
      <c r="DJ73" s="211">
        <f t="shared" si="40"/>
        <v>-4.3499999999999996</v>
      </c>
      <c r="DK73" s="293">
        <f t="shared" si="41"/>
        <v>6.0383578242502933E-4</v>
      </c>
    </row>
    <row r="74" spans="70:115" x14ac:dyDescent="0.25">
      <c r="BR74" s="79"/>
      <c r="BS74" s="79"/>
      <c r="BT74" s="79">
        <f t="shared" si="13"/>
        <v>2084</v>
      </c>
      <c r="BU74" s="280">
        <f>scenarios!E80</f>
        <v>-4.3499999999999996</v>
      </c>
      <c r="BV74" s="280">
        <f>scenarios!M80</f>
        <v>-4.3499999999999996</v>
      </c>
      <c r="BW74" s="280">
        <f>scenarios!V80</f>
        <v>-4.3499999999999996</v>
      </c>
      <c r="BX74" s="399">
        <f>scenarios!AE80</f>
        <v>-4.3499999999999996</v>
      </c>
      <c r="BY74" s="399">
        <f>scenarios!AN80</f>
        <v>-4.3499999999999996</v>
      </c>
      <c r="BZ74" s="399">
        <f>scenarios!AW80</f>
        <v>-4.3499999999999996</v>
      </c>
      <c r="CA74" s="399">
        <f>scenarios!BF80</f>
        <v>7.3702101592273744E-5</v>
      </c>
      <c r="CB74" s="314"/>
      <c r="CC74" s="79">
        <f t="shared" si="32"/>
        <v>2084</v>
      </c>
      <c r="CD74" s="278" t="e">
        <f>IF($BU73&gt;'goal seek'!$F$31,$BU74/$BU73-1,#N/A)</f>
        <v>#N/A</v>
      </c>
      <c r="CE74" s="278" t="e">
        <f>IF(BV73&gt;'goal seek'!$F$28,BV74/BV73-1,#N/A)</f>
        <v>#N/A</v>
      </c>
      <c r="CF74" s="278" t="e">
        <f>IF(BW73&gt;'goal seek'!$F$28,BW74/BW73-1,#N/A)</f>
        <v>#N/A</v>
      </c>
      <c r="CG74" s="402" t="e">
        <f>IF(BX73&gt;'goal seek'!$F$28,BX74/BX73-1,#N/A)</f>
        <v>#N/A</v>
      </c>
      <c r="CH74" s="402" t="e">
        <f>IF(BY73&gt;'goal seek'!$F$28,BY74/BY73-1,#N/A)</f>
        <v>#N/A</v>
      </c>
      <c r="CI74" s="402" t="e">
        <f>IF(BZ73&gt;'goal seek'!$F$28,BZ74/BZ73-1,#N/A)</f>
        <v>#N/A</v>
      </c>
      <c r="CJ74" s="402" t="e">
        <f>IF(CA73&gt;'goal seek'!$F$28,CA74/CA73-1,#N/A)</f>
        <v>#N/A</v>
      </c>
      <c r="CK74" s="314"/>
      <c r="CL74" s="79">
        <f t="shared" si="15"/>
        <v>2084</v>
      </c>
      <c r="CM74" s="278">
        <f t="shared" ref="CM74:CM90" si="43">IF(ISNA(CD74),0,CD74)</f>
        <v>0</v>
      </c>
      <c r="CN74" s="278">
        <f t="shared" ref="CN74:CN90" si="44">IF(ISNA(CE74),0,CE74)</f>
        <v>0</v>
      </c>
      <c r="CO74" s="278">
        <f t="shared" ref="CO74:CO90" si="45">IF(ISNA(CF74),0,CF74)</f>
        <v>0</v>
      </c>
      <c r="CP74" s="402">
        <f t="shared" si="33"/>
        <v>0</v>
      </c>
      <c r="CQ74" s="402">
        <f t="shared" si="34"/>
        <v>0</v>
      </c>
      <c r="CR74" s="402">
        <f t="shared" si="18"/>
        <v>0</v>
      </c>
      <c r="CS74" s="402">
        <f t="shared" ref="CS74:CS90" si="46">IF(ISNA(CJ74),0,CJ74)</f>
        <v>0</v>
      </c>
      <c r="CU74" s="79">
        <f t="shared" si="42"/>
        <v>2084</v>
      </c>
      <c r="CV74" s="299">
        <f>scenarios!K80</f>
        <v>-0.40515872898775418</v>
      </c>
      <c r="CW74" s="407">
        <f>scenarios!T80</f>
        <v>-0.40515872898775418</v>
      </c>
      <c r="CX74" s="211">
        <f>scenarios!AC80</f>
        <v>-0.40515872898775418</v>
      </c>
      <c r="CY74" s="407">
        <f>scenarios!AL80</f>
        <v>-0.40515872898775418</v>
      </c>
      <c r="CZ74" s="407">
        <f>scenarios!AU80</f>
        <v>-0.40515872898775418</v>
      </c>
      <c r="DA74" s="407">
        <f>scenarios!BD80</f>
        <v>-0.40515872898775418</v>
      </c>
      <c r="DB74" s="407">
        <f>scenarios!BM80</f>
        <v>6.8646091505406813E-6</v>
      </c>
      <c r="DD74" s="79">
        <f t="shared" si="35"/>
        <v>2076</v>
      </c>
      <c r="DE74" s="299">
        <f t="shared" si="36"/>
        <v>-4.3499999999999996</v>
      </c>
      <c r="DF74" s="211">
        <f t="shared" si="37"/>
        <v>-4.3499999999999996</v>
      </c>
      <c r="DG74" s="211">
        <f t="shared" si="38"/>
        <v>-4.3499999999999996</v>
      </c>
      <c r="DH74" s="211">
        <f t="shared" si="39"/>
        <v>-4.3499999999999996</v>
      </c>
      <c r="DI74" s="211">
        <f t="shared" si="40"/>
        <v>-4.3499999999999996</v>
      </c>
      <c r="DJ74" s="211">
        <f t="shared" si="40"/>
        <v>-4.3499999999999996</v>
      </c>
      <c r="DK74" s="293">
        <f t="shared" si="41"/>
        <v>4.784823845500471E-4</v>
      </c>
    </row>
    <row r="75" spans="70:115" x14ac:dyDescent="0.25">
      <c r="BR75" s="79"/>
      <c r="BS75" s="79"/>
      <c r="BT75" s="79">
        <f t="shared" ref="BT75:BT90" si="47">BT74+1</f>
        <v>2085</v>
      </c>
      <c r="BU75" s="280">
        <f>scenarios!E81</f>
        <v>-4.3499999999999996</v>
      </c>
      <c r="BV75" s="280">
        <f>scenarios!M81</f>
        <v>-4.3499999999999996</v>
      </c>
      <c r="BW75" s="280">
        <f>scenarios!V81</f>
        <v>-4.3499999999999996</v>
      </c>
      <c r="BX75" s="399">
        <f>scenarios!AE81</f>
        <v>-4.3499999999999996</v>
      </c>
      <c r="BY75" s="399">
        <f>scenarios!AN81</f>
        <v>-4.3499999999999996</v>
      </c>
      <c r="BZ75" s="399">
        <f>scenarios!AW81</f>
        <v>-4.3499999999999996</v>
      </c>
      <c r="CA75" s="399">
        <f>scenarios!BF81</f>
        <v>5.8275354149733865E-5</v>
      </c>
      <c r="CB75" s="314"/>
      <c r="CC75" s="79">
        <f t="shared" si="32"/>
        <v>2085</v>
      </c>
      <c r="CD75" s="278" t="e">
        <f>IF($BU74&gt;'goal seek'!$F$31,$BU75/$BU74-1,#N/A)</f>
        <v>#N/A</v>
      </c>
      <c r="CE75" s="278" t="e">
        <f>IF(BV74&gt;'goal seek'!$F$28,BV75/BV74-1,#N/A)</f>
        <v>#N/A</v>
      </c>
      <c r="CF75" s="278" t="e">
        <f>IF(BW74&gt;'goal seek'!$F$28,BW75/BW74-1,#N/A)</f>
        <v>#N/A</v>
      </c>
      <c r="CG75" s="402" t="e">
        <f>IF(BX74&gt;'goal seek'!$F$28,BX75/BX74-1,#N/A)</f>
        <v>#N/A</v>
      </c>
      <c r="CH75" s="402" t="e">
        <f>IF(BY74&gt;'goal seek'!$F$28,BY75/BY74-1,#N/A)</f>
        <v>#N/A</v>
      </c>
      <c r="CI75" s="402" t="e">
        <f>IF(BZ74&gt;'goal seek'!$F$28,BZ75/BZ74-1,#N/A)</f>
        <v>#N/A</v>
      </c>
      <c r="CJ75" s="402" t="e">
        <f>IF(CA74&gt;'goal seek'!$F$28,CA75/CA74-1,#N/A)</f>
        <v>#N/A</v>
      </c>
      <c r="CK75" s="314"/>
      <c r="CL75" s="79">
        <f t="shared" ref="CL75:CL90" si="48">CL74+1</f>
        <v>2085</v>
      </c>
      <c r="CM75" s="278">
        <f t="shared" si="43"/>
        <v>0</v>
      </c>
      <c r="CN75" s="278">
        <f t="shared" si="44"/>
        <v>0</v>
      </c>
      <c r="CO75" s="278">
        <f t="shared" si="45"/>
        <v>0</v>
      </c>
      <c r="CP75" s="402">
        <f t="shared" ref="CP75:CP90" si="49">IF(ISNA(CG75),0,CG75)</f>
        <v>0</v>
      </c>
      <c r="CQ75" s="402">
        <f t="shared" ref="CQ75:CQ90" si="50">IF(ISNA(CH75),0,CH75)</f>
        <v>0</v>
      </c>
      <c r="CR75" s="402">
        <f t="shared" ref="CR75:CR90" si="51">IF(ISNA(CI75),0,CI75)</f>
        <v>0</v>
      </c>
      <c r="CS75" s="402">
        <f t="shared" si="46"/>
        <v>0</v>
      </c>
      <c r="CU75" s="79">
        <f t="shared" si="42"/>
        <v>2085</v>
      </c>
      <c r="CV75" s="299">
        <f>scenarios!K81</f>
        <v>-0.40463547652243254</v>
      </c>
      <c r="CW75" s="407">
        <f>scenarios!T81</f>
        <v>-0.40463547652243254</v>
      </c>
      <c r="CX75" s="211">
        <f>scenarios!AC81</f>
        <v>-0.40463547652243254</v>
      </c>
      <c r="CY75" s="407">
        <f>scenarios!AL81</f>
        <v>-0.40463547652243254</v>
      </c>
      <c r="CZ75" s="407">
        <f>scenarios!AU81</f>
        <v>-0.40463547652243254</v>
      </c>
      <c r="DA75" s="407">
        <f>scenarios!BD81</f>
        <v>-0.40463547652243254</v>
      </c>
      <c r="DB75" s="407">
        <f>scenarios!BM81</f>
        <v>5.4207530335381785E-6</v>
      </c>
      <c r="DD75" s="79">
        <f t="shared" si="35"/>
        <v>2077</v>
      </c>
      <c r="DE75" s="299">
        <f t="shared" si="36"/>
        <v>-4.3499999999999996</v>
      </c>
      <c r="DF75" s="211">
        <f t="shared" si="37"/>
        <v>-4.3499999999999996</v>
      </c>
      <c r="DG75" s="211">
        <f t="shared" si="38"/>
        <v>-4.3499999999999996</v>
      </c>
      <c r="DH75" s="211">
        <f t="shared" si="39"/>
        <v>-4.3499999999999996</v>
      </c>
      <c r="DI75" s="211">
        <f t="shared" si="40"/>
        <v>-4.3499999999999996</v>
      </c>
      <c r="DJ75" s="211">
        <f t="shared" si="40"/>
        <v>-4.3499999999999996</v>
      </c>
      <c r="DK75" s="293">
        <f t="shared" si="41"/>
        <v>3.7904840791133545E-4</v>
      </c>
    </row>
    <row r="76" spans="70:115" x14ac:dyDescent="0.25">
      <c r="BR76" s="79"/>
      <c r="BS76" s="79"/>
      <c r="BT76" s="79">
        <f t="shared" si="47"/>
        <v>2086</v>
      </c>
      <c r="BU76" s="280">
        <f>scenarios!E82</f>
        <v>-4.3499999999999996</v>
      </c>
      <c r="BV76" s="280">
        <f>scenarios!M82</f>
        <v>-4.3499999999999996</v>
      </c>
      <c r="BW76" s="280">
        <f>scenarios!V82</f>
        <v>-4.3499999999999996</v>
      </c>
      <c r="BX76" s="399">
        <f>scenarios!AE82</f>
        <v>-4.3499999999999996</v>
      </c>
      <c r="BY76" s="399">
        <f>scenarios!AN82</f>
        <v>-4.3499999999999996</v>
      </c>
      <c r="BZ76" s="399">
        <f>scenarios!AW82</f>
        <v>-4.3499999999999996</v>
      </c>
      <c r="CA76" s="399">
        <f>scenarios!BF82</f>
        <v>4.6068093190151281E-5</v>
      </c>
      <c r="CB76" s="314"/>
      <c r="CC76" s="79">
        <f t="shared" si="32"/>
        <v>2086</v>
      </c>
      <c r="CD76" s="278" t="e">
        <f>IF($BU75&gt;'goal seek'!$F$31,$BU76/$BU75-1,#N/A)</f>
        <v>#N/A</v>
      </c>
      <c r="CE76" s="278" t="e">
        <f>IF(BV75&gt;'goal seek'!$F$28,BV76/BV75-1,#N/A)</f>
        <v>#N/A</v>
      </c>
      <c r="CF76" s="278" t="e">
        <f>IF(BW75&gt;'goal seek'!$F$28,BW76/BW75-1,#N/A)</f>
        <v>#N/A</v>
      </c>
      <c r="CG76" s="402" t="e">
        <f>IF(BX75&gt;'goal seek'!$F$28,BX76/BX75-1,#N/A)</f>
        <v>#N/A</v>
      </c>
      <c r="CH76" s="402" t="e">
        <f>IF(BY75&gt;'goal seek'!$F$28,BY76/BY75-1,#N/A)</f>
        <v>#N/A</v>
      </c>
      <c r="CI76" s="402" t="e">
        <f>IF(BZ75&gt;'goal seek'!$F$28,BZ76/BZ75-1,#N/A)</f>
        <v>#N/A</v>
      </c>
      <c r="CJ76" s="402" t="e">
        <f>IF(CA75&gt;'goal seek'!$F$28,CA76/CA75-1,#N/A)</f>
        <v>#N/A</v>
      </c>
      <c r="CK76" s="314"/>
      <c r="CL76" s="79">
        <f t="shared" si="48"/>
        <v>2086</v>
      </c>
      <c r="CM76" s="278">
        <f t="shared" si="43"/>
        <v>0</v>
      </c>
      <c r="CN76" s="278">
        <f t="shared" si="44"/>
        <v>0</v>
      </c>
      <c r="CO76" s="278">
        <f t="shared" si="45"/>
        <v>0</v>
      </c>
      <c r="CP76" s="402">
        <f t="shared" si="49"/>
        <v>0</v>
      </c>
      <c r="CQ76" s="402">
        <f t="shared" si="50"/>
        <v>0</v>
      </c>
      <c r="CR76" s="402">
        <f t="shared" si="51"/>
        <v>0</v>
      </c>
      <c r="CS76" s="402">
        <f t="shared" si="46"/>
        <v>0</v>
      </c>
      <c r="CU76" s="79">
        <f t="shared" si="42"/>
        <v>2086</v>
      </c>
      <c r="CV76" s="299">
        <f>scenarios!K82</f>
        <v>-0.40413930761311961</v>
      </c>
      <c r="CW76" s="407">
        <f>scenarios!T82</f>
        <v>-0.40413930761311961</v>
      </c>
      <c r="CX76" s="211">
        <f>scenarios!AC82</f>
        <v>-0.40413930761311961</v>
      </c>
      <c r="CY76" s="407">
        <f>scenarios!AL82</f>
        <v>-0.40413930761311961</v>
      </c>
      <c r="CZ76" s="407">
        <f>scenarios!AU82</f>
        <v>-0.40413930761311961</v>
      </c>
      <c r="DA76" s="407">
        <f>scenarios!BD82</f>
        <v>-0.40413930761311961</v>
      </c>
      <c r="DB76" s="407">
        <f>scenarios!BM82</f>
        <v>4.2799832838906688E-6</v>
      </c>
      <c r="DD76" s="79">
        <f t="shared" si="35"/>
        <v>2078</v>
      </c>
      <c r="DE76" s="299">
        <f t="shared" si="36"/>
        <v>-4.3499999999999996</v>
      </c>
      <c r="DF76" s="211">
        <f t="shared" si="37"/>
        <v>-4.3499999999999996</v>
      </c>
      <c r="DG76" s="211">
        <f t="shared" si="38"/>
        <v>-4.3499999999999996</v>
      </c>
      <c r="DH76" s="211">
        <f t="shared" si="39"/>
        <v>-4.3499999999999996</v>
      </c>
      <c r="DI76" s="211">
        <f t="shared" si="40"/>
        <v>-4.3499999999999996</v>
      </c>
      <c r="DJ76" s="211">
        <f t="shared" si="40"/>
        <v>-4.3499999999999996</v>
      </c>
      <c r="DK76" s="293">
        <f t="shared" si="41"/>
        <v>3.0019871513347349E-4</v>
      </c>
    </row>
    <row r="77" spans="70:115" x14ac:dyDescent="0.25">
      <c r="BR77" s="79"/>
      <c r="BS77" s="79"/>
      <c r="BT77" s="79">
        <f t="shared" si="47"/>
        <v>2087</v>
      </c>
      <c r="BU77" s="280">
        <f>scenarios!E83</f>
        <v>-4.3499999999999996</v>
      </c>
      <c r="BV77" s="280">
        <f>scenarios!M83</f>
        <v>-4.3499999999999996</v>
      </c>
      <c r="BW77" s="280">
        <f>scenarios!V83</f>
        <v>-4.3499999999999996</v>
      </c>
      <c r="BX77" s="399">
        <f>scenarios!AE83</f>
        <v>-4.3499999999999996</v>
      </c>
      <c r="BY77" s="399">
        <f>scenarios!AN83</f>
        <v>-4.3499999999999996</v>
      </c>
      <c r="BZ77" s="399">
        <f>scenarios!AW83</f>
        <v>-4.3499999999999996</v>
      </c>
      <c r="CA77" s="399">
        <f>scenarios!BF83</f>
        <v>3.6410642515178335E-5</v>
      </c>
      <c r="CB77" s="314"/>
      <c r="CC77" s="79">
        <f t="shared" si="32"/>
        <v>2087</v>
      </c>
      <c r="CD77" s="278" t="e">
        <f>IF($BU76&gt;'goal seek'!$F$31,$BU77/$BU76-1,#N/A)</f>
        <v>#N/A</v>
      </c>
      <c r="CE77" s="278" t="e">
        <f>IF(BV76&gt;'goal seek'!$F$28,BV77/BV76-1,#N/A)</f>
        <v>#N/A</v>
      </c>
      <c r="CF77" s="278" t="e">
        <f>IF(BW76&gt;'goal seek'!$F$28,BW77/BW76-1,#N/A)</f>
        <v>#N/A</v>
      </c>
      <c r="CG77" s="402" t="e">
        <f>IF(BX76&gt;'goal seek'!$F$28,BX77/BX76-1,#N/A)</f>
        <v>#N/A</v>
      </c>
      <c r="CH77" s="402" t="e">
        <f>IF(BY76&gt;'goal seek'!$F$28,BY77/BY76-1,#N/A)</f>
        <v>#N/A</v>
      </c>
      <c r="CI77" s="402" t="e">
        <f>IF(BZ76&gt;'goal seek'!$F$28,BZ77/BZ76-1,#N/A)</f>
        <v>#N/A</v>
      </c>
      <c r="CJ77" s="402" t="e">
        <f>IF(CA76&gt;'goal seek'!$F$28,CA77/CA76-1,#N/A)</f>
        <v>#N/A</v>
      </c>
      <c r="CK77" s="314"/>
      <c r="CL77" s="79">
        <f t="shared" si="48"/>
        <v>2087</v>
      </c>
      <c r="CM77" s="278">
        <f t="shared" si="43"/>
        <v>0</v>
      </c>
      <c r="CN77" s="278">
        <f t="shared" si="44"/>
        <v>0</v>
      </c>
      <c r="CO77" s="278">
        <f t="shared" si="45"/>
        <v>0</v>
      </c>
      <c r="CP77" s="402">
        <f t="shared" si="49"/>
        <v>0</v>
      </c>
      <c r="CQ77" s="402">
        <f t="shared" si="50"/>
        <v>0</v>
      </c>
      <c r="CR77" s="402">
        <f t="shared" si="51"/>
        <v>0</v>
      </c>
      <c r="CS77" s="402">
        <f t="shared" si="46"/>
        <v>0</v>
      </c>
      <c r="CU77" s="79">
        <f t="shared" si="42"/>
        <v>2087</v>
      </c>
      <c r="CV77" s="299">
        <f>scenarios!K83</f>
        <v>-0.40366998663723264</v>
      </c>
      <c r="CW77" s="407">
        <f>scenarios!T83</f>
        <v>-0.40366998663723264</v>
      </c>
      <c r="CX77" s="211">
        <f>scenarios!AC83</f>
        <v>-0.40366998663723264</v>
      </c>
      <c r="CY77" s="407">
        <f>scenarios!AL83</f>
        <v>-0.40366998663723264</v>
      </c>
      <c r="CZ77" s="407">
        <f>scenarios!AU83</f>
        <v>-0.40366998663723264</v>
      </c>
      <c r="DA77" s="407">
        <f>scenarios!BD83</f>
        <v>-0.40366998663723264</v>
      </c>
      <c r="DB77" s="407">
        <f>scenarios!BM83</f>
        <v>3.3788238109322054E-6</v>
      </c>
      <c r="DD77" s="79">
        <f t="shared" si="35"/>
        <v>2079</v>
      </c>
      <c r="DE77" s="299">
        <f t="shared" si="36"/>
        <v>-4.3499999999999996</v>
      </c>
      <c r="DF77" s="211">
        <f t="shared" si="37"/>
        <v>-4.3499999999999996</v>
      </c>
      <c r="DG77" s="211">
        <f t="shared" si="38"/>
        <v>-4.3499999999999996</v>
      </c>
      <c r="DH77" s="211">
        <f t="shared" si="39"/>
        <v>-4.3499999999999996</v>
      </c>
      <c r="DI77" s="211">
        <f t="shared" si="40"/>
        <v>-4.3499999999999996</v>
      </c>
      <c r="DJ77" s="211">
        <f t="shared" si="40"/>
        <v>-4.3499999999999996</v>
      </c>
      <c r="DK77" s="293">
        <f t="shared" si="41"/>
        <v>2.3769062016652581E-4</v>
      </c>
    </row>
    <row r="78" spans="70:115" x14ac:dyDescent="0.25">
      <c r="BR78" s="79"/>
      <c r="BS78" s="79"/>
      <c r="BT78" s="79">
        <f t="shared" si="47"/>
        <v>2088</v>
      </c>
      <c r="BU78" s="280">
        <f>scenarios!E84</f>
        <v>-4.3499999999999996</v>
      </c>
      <c r="BV78" s="280">
        <f>scenarios!M84</f>
        <v>-4.3499999999999996</v>
      </c>
      <c r="BW78" s="280">
        <f>scenarios!V84</f>
        <v>-4.3499999999999996</v>
      </c>
      <c r="BX78" s="399">
        <f>scenarios!AE84</f>
        <v>-4.3499999999999996</v>
      </c>
      <c r="BY78" s="399">
        <f>scenarios!AN84</f>
        <v>-4.3499999999999996</v>
      </c>
      <c r="BZ78" s="399">
        <f>scenarios!AW84</f>
        <v>-4.3499999999999996</v>
      </c>
      <c r="CA78" s="399">
        <f>scenarios!BF84</f>
        <v>2.8772106537307176E-5</v>
      </c>
      <c r="CB78" s="314"/>
      <c r="CC78" s="79">
        <f t="shared" si="32"/>
        <v>2088</v>
      </c>
      <c r="CD78" s="278" t="e">
        <f>IF($BU77&gt;'goal seek'!$F$31,$BU78/$BU77-1,#N/A)</f>
        <v>#N/A</v>
      </c>
      <c r="CE78" s="278" t="e">
        <f>IF(BV77&gt;'goal seek'!$F$28,BV78/BV77-1,#N/A)</f>
        <v>#N/A</v>
      </c>
      <c r="CF78" s="278" t="e">
        <f>IF(BW77&gt;'goal seek'!$F$28,BW78/BW77-1,#N/A)</f>
        <v>#N/A</v>
      </c>
      <c r="CG78" s="402" t="e">
        <f>IF(BX77&gt;'goal seek'!$F$28,BX78/BX77-1,#N/A)</f>
        <v>#N/A</v>
      </c>
      <c r="CH78" s="402" t="e">
        <f>IF(BY77&gt;'goal seek'!$F$28,BY78/BY77-1,#N/A)</f>
        <v>#N/A</v>
      </c>
      <c r="CI78" s="402" t="e">
        <f>IF(BZ77&gt;'goal seek'!$F$28,BZ78/BZ77-1,#N/A)</f>
        <v>#N/A</v>
      </c>
      <c r="CJ78" s="402" t="e">
        <f>IF(CA77&gt;'goal seek'!$F$28,CA78/CA77-1,#N/A)</f>
        <v>#N/A</v>
      </c>
      <c r="CK78" s="314"/>
      <c r="CL78" s="79">
        <f t="shared" si="48"/>
        <v>2088</v>
      </c>
      <c r="CM78" s="278">
        <f t="shared" si="43"/>
        <v>0</v>
      </c>
      <c r="CN78" s="278">
        <f t="shared" si="44"/>
        <v>0</v>
      </c>
      <c r="CO78" s="278">
        <f t="shared" si="45"/>
        <v>0</v>
      </c>
      <c r="CP78" s="402">
        <f t="shared" si="49"/>
        <v>0</v>
      </c>
      <c r="CQ78" s="402">
        <f t="shared" si="50"/>
        <v>0</v>
      </c>
      <c r="CR78" s="402">
        <f t="shared" si="51"/>
        <v>0</v>
      </c>
      <c r="CS78" s="402">
        <f t="shared" si="46"/>
        <v>0</v>
      </c>
      <c r="CU78" s="79">
        <f t="shared" si="42"/>
        <v>2088</v>
      </c>
      <c r="CV78" s="299">
        <f>scenarios!K84</f>
        <v>-0.40322721486880642</v>
      </c>
      <c r="CW78" s="407">
        <f>scenarios!T84</f>
        <v>-0.40322721486880642</v>
      </c>
      <c r="CX78" s="211">
        <f>scenarios!AC84</f>
        <v>-0.40322721486880642</v>
      </c>
      <c r="CY78" s="407">
        <f>scenarios!AL84</f>
        <v>-0.40322721486880642</v>
      </c>
      <c r="CZ78" s="407">
        <f>scenarios!AU84</f>
        <v>-0.40322721486880642</v>
      </c>
      <c r="DA78" s="407">
        <f>scenarios!BD84</f>
        <v>-0.40322721486880642</v>
      </c>
      <c r="DB78" s="407">
        <f>scenarios!BM84</f>
        <v>2.6670566402176897E-6</v>
      </c>
      <c r="DD78" s="79">
        <f t="shared" si="35"/>
        <v>2080</v>
      </c>
      <c r="DE78" s="299">
        <f t="shared" si="36"/>
        <v>-4.3499999999999996</v>
      </c>
      <c r="DF78" s="211">
        <f t="shared" si="37"/>
        <v>-4.3499999999999996</v>
      </c>
      <c r="DG78" s="211">
        <f t="shared" si="38"/>
        <v>-4.3499999999999996</v>
      </c>
      <c r="DH78" s="211">
        <f t="shared" si="39"/>
        <v>-4.3499999999999996</v>
      </c>
      <c r="DI78" s="211">
        <f t="shared" si="40"/>
        <v>-4.3499999999999996</v>
      </c>
      <c r="DJ78" s="211">
        <f t="shared" si="40"/>
        <v>-4.3499999999999996</v>
      </c>
      <c r="DK78" s="293">
        <f t="shared" si="41"/>
        <v>1.8815154288200672E-4</v>
      </c>
    </row>
    <row r="79" spans="70:115" x14ac:dyDescent="0.25">
      <c r="BR79" s="79"/>
      <c r="BS79" s="79"/>
      <c r="BT79" s="79">
        <f t="shared" si="47"/>
        <v>2089</v>
      </c>
      <c r="BU79" s="280">
        <f>scenarios!E85</f>
        <v>-4.3499999999999996</v>
      </c>
      <c r="BV79" s="280">
        <f>scenarios!M85</f>
        <v>-4.3499999999999996</v>
      </c>
      <c r="BW79" s="280">
        <f>scenarios!V85</f>
        <v>-4.3499999999999996</v>
      </c>
      <c r="BX79" s="399">
        <f>scenarios!AE85</f>
        <v>-4.3499999999999996</v>
      </c>
      <c r="BY79" s="399">
        <f>scenarios!AN85</f>
        <v>-4.3499999999999996</v>
      </c>
      <c r="BZ79" s="399">
        <f>scenarios!AW85</f>
        <v>-4.3499999999999996</v>
      </c>
      <c r="CA79" s="399">
        <f>scenarios!BF85</f>
        <v>2.2731731023758545E-5</v>
      </c>
      <c r="CB79" s="314"/>
      <c r="CC79" s="79">
        <f t="shared" si="32"/>
        <v>2089</v>
      </c>
      <c r="CD79" s="278" t="e">
        <f>IF($BU78&gt;'goal seek'!$F$31,$BU79/$BU78-1,#N/A)</f>
        <v>#N/A</v>
      </c>
      <c r="CE79" s="278" t="e">
        <f>IF(BV78&gt;'goal seek'!$F$28,BV79/BV78-1,#N/A)</f>
        <v>#N/A</v>
      </c>
      <c r="CF79" s="278" t="e">
        <f>IF(BW78&gt;'goal seek'!$F$28,BW79/BW78-1,#N/A)</f>
        <v>#N/A</v>
      </c>
      <c r="CG79" s="402" t="e">
        <f>IF(BX78&gt;'goal seek'!$F$28,BX79/BX78-1,#N/A)</f>
        <v>#N/A</v>
      </c>
      <c r="CH79" s="402" t="e">
        <f>IF(BY78&gt;'goal seek'!$F$28,BY79/BY78-1,#N/A)</f>
        <v>#N/A</v>
      </c>
      <c r="CI79" s="402" t="e">
        <f>IF(BZ78&gt;'goal seek'!$F$28,BZ79/BZ78-1,#N/A)</f>
        <v>#N/A</v>
      </c>
      <c r="CJ79" s="402" t="e">
        <f>IF(CA78&gt;'goal seek'!$F$28,CA79/CA78-1,#N/A)</f>
        <v>#N/A</v>
      </c>
      <c r="CK79" s="314"/>
      <c r="CL79" s="79">
        <f t="shared" si="48"/>
        <v>2089</v>
      </c>
      <c r="CM79" s="278">
        <f t="shared" si="43"/>
        <v>0</v>
      </c>
      <c r="CN79" s="278">
        <f t="shared" si="44"/>
        <v>0</v>
      </c>
      <c r="CO79" s="278">
        <f t="shared" si="45"/>
        <v>0</v>
      </c>
      <c r="CP79" s="402">
        <f t="shared" si="49"/>
        <v>0</v>
      </c>
      <c r="CQ79" s="402">
        <f t="shared" si="50"/>
        <v>0</v>
      </c>
      <c r="CR79" s="402">
        <f t="shared" si="51"/>
        <v>0</v>
      </c>
      <c r="CS79" s="402">
        <f t="shared" si="46"/>
        <v>0</v>
      </c>
      <c r="CU79" s="79">
        <f t="shared" si="42"/>
        <v>2089</v>
      </c>
      <c r="CV79" s="299">
        <f>scenarios!K85</f>
        <v>-0.40281089599451109</v>
      </c>
      <c r="CW79" s="407">
        <f>scenarios!T85</f>
        <v>-0.40281089599451109</v>
      </c>
      <c r="CX79" s="211">
        <f>scenarios!AC85</f>
        <v>-0.40281089599451109</v>
      </c>
      <c r="CY79" s="407">
        <f>scenarios!AL85</f>
        <v>-0.40281089599451109</v>
      </c>
      <c r="CZ79" s="407">
        <f>scenarios!AU85</f>
        <v>-0.40281089599451109</v>
      </c>
      <c r="DA79" s="407">
        <f>scenarios!BD85</f>
        <v>-0.40281089599451109</v>
      </c>
      <c r="DB79" s="407">
        <f>scenarios!BM85</f>
        <v>2.1049629749853804E-6</v>
      </c>
      <c r="DD79" s="79">
        <f t="shared" si="35"/>
        <v>2081</v>
      </c>
      <c r="DE79" s="299">
        <f t="shared" si="36"/>
        <v>-4.3499999999999996</v>
      </c>
      <c r="DF79" s="211">
        <f t="shared" si="37"/>
        <v>-4.3499999999999996</v>
      </c>
      <c r="DG79" s="211">
        <f t="shared" si="38"/>
        <v>-4.3499999999999996</v>
      </c>
      <c r="DH79" s="211">
        <f t="shared" si="39"/>
        <v>-4.3499999999999996</v>
      </c>
      <c r="DI79" s="211">
        <f t="shared" si="40"/>
        <v>-4.3499999999999996</v>
      </c>
      <c r="DJ79" s="211">
        <f t="shared" si="40"/>
        <v>-4.3499999999999996</v>
      </c>
      <c r="DK79" s="293">
        <f t="shared" si="41"/>
        <v>1.4890159613068659E-4</v>
      </c>
    </row>
    <row r="80" spans="70:115" x14ac:dyDescent="0.25">
      <c r="BR80" s="79"/>
      <c r="BS80" s="79">
        <v>2090</v>
      </c>
      <c r="BT80" s="79">
        <f t="shared" si="47"/>
        <v>2090</v>
      </c>
      <c r="BU80" s="280">
        <f>scenarios!E86</f>
        <v>-4.3499999999999996</v>
      </c>
      <c r="BV80" s="280">
        <f>scenarios!M86</f>
        <v>-4.3499999999999996</v>
      </c>
      <c r="BW80" s="280">
        <f>scenarios!V86</f>
        <v>-4.3499999999999996</v>
      </c>
      <c r="BX80" s="399">
        <f>scenarios!AE86</f>
        <v>-4.3499999999999996</v>
      </c>
      <c r="BY80" s="399">
        <f>scenarios!AN86</f>
        <v>-4.3499999999999996</v>
      </c>
      <c r="BZ80" s="399">
        <f>scenarios!AW86</f>
        <v>-4.3499999999999996</v>
      </c>
      <c r="CA80" s="399">
        <f>scenarios!BF86</f>
        <v>1.7956145504705306E-5</v>
      </c>
      <c r="CB80" s="314"/>
      <c r="CC80" s="79">
        <f t="shared" si="32"/>
        <v>2090</v>
      </c>
      <c r="CD80" s="278" t="e">
        <f>IF($BU79&gt;'goal seek'!$F$31,$BU80/$BU79-1,#N/A)</f>
        <v>#N/A</v>
      </c>
      <c r="CE80" s="278" t="e">
        <f>IF(BV79&gt;'goal seek'!$F$28,BV80/BV79-1,#N/A)</f>
        <v>#N/A</v>
      </c>
      <c r="CF80" s="278" t="e">
        <f>IF(BW79&gt;'goal seek'!$F$28,BW80/BW79-1,#N/A)</f>
        <v>#N/A</v>
      </c>
      <c r="CG80" s="402" t="e">
        <f>IF(BX79&gt;'goal seek'!$F$28,BX80/BX79-1,#N/A)</f>
        <v>#N/A</v>
      </c>
      <c r="CH80" s="402" t="e">
        <f>IF(BY79&gt;'goal seek'!$F$28,BY80/BY79-1,#N/A)</f>
        <v>#N/A</v>
      </c>
      <c r="CI80" s="402" t="e">
        <f>IF(BZ79&gt;'goal seek'!$F$28,BZ80/BZ79-1,#N/A)</f>
        <v>#N/A</v>
      </c>
      <c r="CJ80" s="402" t="e">
        <f>IF(CA79&gt;'goal seek'!$F$28,CA80/CA79-1,#N/A)</f>
        <v>#N/A</v>
      </c>
      <c r="CK80" s="314"/>
      <c r="CL80" s="79">
        <f t="shared" si="48"/>
        <v>2090</v>
      </c>
      <c r="CM80" s="278">
        <f t="shared" si="43"/>
        <v>0</v>
      </c>
      <c r="CN80" s="278">
        <f t="shared" si="44"/>
        <v>0</v>
      </c>
      <c r="CO80" s="278">
        <f t="shared" si="45"/>
        <v>0</v>
      </c>
      <c r="CP80" s="402">
        <f t="shared" si="49"/>
        <v>0</v>
      </c>
      <c r="CQ80" s="402">
        <f t="shared" si="50"/>
        <v>0</v>
      </c>
      <c r="CR80" s="402">
        <f t="shared" si="51"/>
        <v>0</v>
      </c>
      <c r="CS80" s="402">
        <f t="shared" si="46"/>
        <v>0</v>
      </c>
      <c r="CU80" s="79">
        <f t="shared" si="42"/>
        <v>2090</v>
      </c>
      <c r="CV80" s="299">
        <f>scenarios!K86</f>
        <v>-0.40242097189374981</v>
      </c>
      <c r="CW80" s="407">
        <f>scenarios!T86</f>
        <v>-0.40242097189374981</v>
      </c>
      <c r="CX80" s="211">
        <f>scenarios!AC86</f>
        <v>-0.40242097189374981</v>
      </c>
      <c r="CY80" s="407">
        <f>scenarios!AL86</f>
        <v>-0.40242097189374981</v>
      </c>
      <c r="CZ80" s="407">
        <f>scenarios!AU86</f>
        <v>-0.40242097189374981</v>
      </c>
      <c r="DA80" s="407">
        <f>scenarios!BD86</f>
        <v>-0.40242097189374981</v>
      </c>
      <c r="DB80" s="407">
        <f>scenarios!BM86</f>
        <v>1.661133224245769E-6</v>
      </c>
      <c r="DD80" s="79">
        <f t="shared" si="35"/>
        <v>2082</v>
      </c>
      <c r="DE80" s="299">
        <f t="shared" si="36"/>
        <v>-4.3499999999999996</v>
      </c>
      <c r="DF80" s="211">
        <f t="shared" si="37"/>
        <v>-4.3499999999999996</v>
      </c>
      <c r="DG80" s="211">
        <f t="shared" si="38"/>
        <v>-4.3499999999999996</v>
      </c>
      <c r="DH80" s="211">
        <f t="shared" si="39"/>
        <v>-4.3499999999999996</v>
      </c>
      <c r="DI80" s="211">
        <f t="shared" si="40"/>
        <v>-4.3499999999999996</v>
      </c>
      <c r="DJ80" s="211">
        <f t="shared" si="40"/>
        <v>-4.3499999999999996</v>
      </c>
      <c r="DK80" s="293">
        <f t="shared" si="41"/>
        <v>1.1781210199380822E-4</v>
      </c>
    </row>
    <row r="81" spans="70:115" x14ac:dyDescent="0.25">
      <c r="BR81" s="79"/>
      <c r="BS81" s="79"/>
      <c r="BT81" s="79">
        <f t="shared" si="47"/>
        <v>2091</v>
      </c>
      <c r="BU81" s="280">
        <f>scenarios!E87</f>
        <v>-4.3499999999999996</v>
      </c>
      <c r="BV81" s="280">
        <f>scenarios!M87</f>
        <v>-4.3499999999999996</v>
      </c>
      <c r="BW81" s="280">
        <f>scenarios!V87</f>
        <v>-4.3499999999999996</v>
      </c>
      <c r="BX81" s="399">
        <f>scenarios!AE87</f>
        <v>-4.3499999999999996</v>
      </c>
      <c r="BY81" s="399">
        <f>scenarios!AN87</f>
        <v>-4.3499999999999996</v>
      </c>
      <c r="BZ81" s="399">
        <f>scenarios!AW87</f>
        <v>-4.3499999999999996</v>
      </c>
      <c r="CA81" s="399">
        <f>scenarios!BF87</f>
        <v>1.4181286134081569E-5</v>
      </c>
      <c r="CB81" s="314"/>
      <c r="CC81" s="79">
        <f t="shared" si="32"/>
        <v>2091</v>
      </c>
      <c r="CD81" s="278" t="e">
        <f>IF($BU80&gt;'goal seek'!$F$31,$BU81/$BU80-1,#N/A)</f>
        <v>#N/A</v>
      </c>
      <c r="CE81" s="278" t="e">
        <f>IF(BV80&gt;'goal seek'!$F$28,BV81/BV80-1,#N/A)</f>
        <v>#N/A</v>
      </c>
      <c r="CF81" s="278" t="e">
        <f>IF(BW80&gt;'goal seek'!$F$28,BW81/BW80-1,#N/A)</f>
        <v>#N/A</v>
      </c>
      <c r="CG81" s="402" t="e">
        <f>IF(BX80&gt;'goal seek'!$F$28,BX81/BX80-1,#N/A)</f>
        <v>#N/A</v>
      </c>
      <c r="CH81" s="402" t="e">
        <f>IF(BY80&gt;'goal seek'!$F$28,BY81/BY80-1,#N/A)</f>
        <v>#N/A</v>
      </c>
      <c r="CI81" s="402" t="e">
        <f>IF(BZ80&gt;'goal seek'!$F$28,BZ81/BZ80-1,#N/A)</f>
        <v>#N/A</v>
      </c>
      <c r="CJ81" s="402" t="e">
        <f>IF(CA80&gt;'goal seek'!$F$28,CA81/CA80-1,#N/A)</f>
        <v>#N/A</v>
      </c>
      <c r="CK81" s="314"/>
      <c r="CL81" s="79">
        <f t="shared" si="48"/>
        <v>2091</v>
      </c>
      <c r="CM81" s="278">
        <f t="shared" si="43"/>
        <v>0</v>
      </c>
      <c r="CN81" s="278">
        <f t="shared" si="44"/>
        <v>0</v>
      </c>
      <c r="CO81" s="278">
        <f t="shared" si="45"/>
        <v>0</v>
      </c>
      <c r="CP81" s="402">
        <f t="shared" si="49"/>
        <v>0</v>
      </c>
      <c r="CQ81" s="402">
        <f t="shared" si="50"/>
        <v>0</v>
      </c>
      <c r="CR81" s="402">
        <f t="shared" si="51"/>
        <v>0</v>
      </c>
      <c r="CS81" s="402">
        <f t="shared" si="46"/>
        <v>0</v>
      </c>
      <c r="CU81" s="79">
        <f t="shared" si="42"/>
        <v>2091</v>
      </c>
      <c r="CV81" s="299">
        <f>scenarios!K87</f>
        <v>-0.40205740690561037</v>
      </c>
      <c r="CW81" s="407">
        <f>scenarios!T87</f>
        <v>-0.40205740690561037</v>
      </c>
      <c r="CX81" s="211">
        <f>scenarios!AC87</f>
        <v>-0.40205740690561037</v>
      </c>
      <c r="CY81" s="407">
        <f>scenarios!AL87</f>
        <v>-0.40205740690561037</v>
      </c>
      <c r="CZ81" s="407">
        <f>scenarios!AU87</f>
        <v>-0.40205740690561037</v>
      </c>
      <c r="DA81" s="407">
        <f>scenarios!BD87</f>
        <v>-0.40205740690561037</v>
      </c>
      <c r="DB81" s="407">
        <f>scenarios!BM87</f>
        <v>1.3107335930242122E-6</v>
      </c>
      <c r="DD81" s="79">
        <f t="shared" ref="DD81:DD93" si="52">BT73</f>
        <v>2083</v>
      </c>
      <c r="DE81" s="299">
        <f t="shared" ref="DE81:DE93" si="53">BU73</f>
        <v>-4.3499999999999996</v>
      </c>
      <c r="DF81" s="211">
        <f t="shared" ref="DF81:DF93" si="54">BV73</f>
        <v>-4.3499999999999996</v>
      </c>
      <c r="DG81" s="211">
        <f t="shared" ref="DG81:DG93" si="55">BW73</f>
        <v>-4.3499999999999996</v>
      </c>
      <c r="DH81" s="211">
        <f t="shared" ref="DH81:DH98" si="56">BX73</f>
        <v>-4.3499999999999996</v>
      </c>
      <c r="DI81" s="211">
        <f t="shared" ref="DI81:DJ98" si="57">BY73</f>
        <v>-4.3499999999999996</v>
      </c>
      <c r="DJ81" s="211">
        <f t="shared" si="57"/>
        <v>-4.3499999999999996</v>
      </c>
      <c r="DK81" s="293">
        <f t="shared" ref="DK81:DK93" si="58">CA73</f>
        <v>9.3192819451234812E-5</v>
      </c>
    </row>
    <row r="82" spans="70:115" x14ac:dyDescent="0.25">
      <c r="BR82" s="79"/>
      <c r="BS82" s="79"/>
      <c r="BT82" s="79">
        <f t="shared" si="47"/>
        <v>2092</v>
      </c>
      <c r="BU82" s="280">
        <f>scenarios!E88</f>
        <v>-4.3499999999999996</v>
      </c>
      <c r="BV82" s="280">
        <f>scenarios!M88</f>
        <v>-4.3499999999999996</v>
      </c>
      <c r="BW82" s="280">
        <f>scenarios!V88</f>
        <v>-4.3499999999999996</v>
      </c>
      <c r="BX82" s="399">
        <f>scenarios!AE88</f>
        <v>-4.3499999999999996</v>
      </c>
      <c r="BY82" s="399">
        <f>scenarios!AN88</f>
        <v>-4.3499999999999996</v>
      </c>
      <c r="BZ82" s="399">
        <f>scenarios!AW88</f>
        <v>-4.3499999999999996</v>
      </c>
      <c r="CA82" s="399">
        <f>scenarios!BF88</f>
        <v>1.1198041523564572E-5</v>
      </c>
      <c r="CB82" s="314"/>
      <c r="CC82" s="79">
        <f t="shared" si="32"/>
        <v>2092</v>
      </c>
      <c r="CD82" s="278" t="e">
        <f>IF($BU81&gt;'goal seek'!$F$31,$BU82/$BU81-1,#N/A)</f>
        <v>#N/A</v>
      </c>
      <c r="CE82" s="278" t="e">
        <f>IF(BV81&gt;'goal seek'!$F$28,BV82/BV81-1,#N/A)</f>
        <v>#N/A</v>
      </c>
      <c r="CF82" s="278" t="e">
        <f>IF(BW81&gt;'goal seek'!$F$28,BW82/BW81-1,#N/A)</f>
        <v>#N/A</v>
      </c>
      <c r="CG82" s="402" t="e">
        <f>IF(BX81&gt;'goal seek'!$F$28,BX82/BX81-1,#N/A)</f>
        <v>#N/A</v>
      </c>
      <c r="CH82" s="402" t="e">
        <f>IF(BY81&gt;'goal seek'!$F$28,BY82/BY81-1,#N/A)</f>
        <v>#N/A</v>
      </c>
      <c r="CI82" s="402" t="e">
        <f>IF(BZ81&gt;'goal seek'!$F$28,BZ82/BZ81-1,#N/A)</f>
        <v>#N/A</v>
      </c>
      <c r="CJ82" s="402" t="e">
        <f>IF(CA81&gt;'goal seek'!$F$28,CA82/CA81-1,#N/A)</f>
        <v>#N/A</v>
      </c>
      <c r="CK82" s="314"/>
      <c r="CL82" s="79">
        <f t="shared" si="48"/>
        <v>2092</v>
      </c>
      <c r="CM82" s="278">
        <f t="shared" si="43"/>
        <v>0</v>
      </c>
      <c r="CN82" s="278">
        <f t="shared" si="44"/>
        <v>0</v>
      </c>
      <c r="CO82" s="278">
        <f t="shared" si="45"/>
        <v>0</v>
      </c>
      <c r="CP82" s="402">
        <f t="shared" si="49"/>
        <v>0</v>
      </c>
      <c r="CQ82" s="402">
        <f t="shared" si="50"/>
        <v>0</v>
      </c>
      <c r="CR82" s="402">
        <f t="shared" si="51"/>
        <v>0</v>
      </c>
      <c r="CS82" s="402">
        <f t="shared" si="46"/>
        <v>0</v>
      </c>
      <c r="CU82" s="79">
        <f t="shared" si="42"/>
        <v>2092</v>
      </c>
      <c r="CV82" s="299">
        <f>scenarios!K88</f>
        <v>-0.4017201858572052</v>
      </c>
      <c r="CW82" s="407">
        <f>scenarios!T88</f>
        <v>-0.4017201858572052</v>
      </c>
      <c r="CX82" s="211">
        <f>scenarios!AC88</f>
        <v>-0.4017201858572052</v>
      </c>
      <c r="CY82" s="407">
        <f>scenarios!AL88</f>
        <v>-0.4017201858572052</v>
      </c>
      <c r="CZ82" s="407">
        <f>scenarios!AU88</f>
        <v>-0.4017201858572052</v>
      </c>
      <c r="DA82" s="407">
        <f>scenarios!BD88</f>
        <v>-0.4017201858572052</v>
      </c>
      <c r="DB82" s="407">
        <f>scenarios!BM88</f>
        <v>1.034133177490359E-6</v>
      </c>
      <c r="DD82" s="79">
        <f t="shared" si="52"/>
        <v>2084</v>
      </c>
      <c r="DE82" s="299">
        <f t="shared" si="53"/>
        <v>-4.3499999999999996</v>
      </c>
      <c r="DF82" s="211">
        <f t="shared" si="54"/>
        <v>-4.3499999999999996</v>
      </c>
      <c r="DG82" s="211">
        <f t="shared" si="55"/>
        <v>-4.3499999999999996</v>
      </c>
      <c r="DH82" s="211">
        <f t="shared" si="56"/>
        <v>-4.3499999999999996</v>
      </c>
      <c r="DI82" s="211">
        <f t="shared" si="57"/>
        <v>-4.3499999999999996</v>
      </c>
      <c r="DJ82" s="211">
        <f t="shared" si="57"/>
        <v>-4.3499999999999996</v>
      </c>
      <c r="DK82" s="293">
        <f t="shared" si="58"/>
        <v>7.3702101592273744E-5</v>
      </c>
    </row>
    <row r="83" spans="70:115" x14ac:dyDescent="0.25">
      <c r="BR83" s="79"/>
      <c r="BS83" s="79"/>
      <c r="BT83" s="79">
        <f t="shared" si="47"/>
        <v>2093</v>
      </c>
      <c r="BU83" s="280">
        <f>scenarios!E89</f>
        <v>-4.3499999999999996</v>
      </c>
      <c r="BV83" s="280">
        <f>scenarios!M89</f>
        <v>-4.3499999999999996</v>
      </c>
      <c r="BW83" s="280">
        <f>scenarios!V89</f>
        <v>-4.3499999999999996</v>
      </c>
      <c r="BX83" s="399">
        <f>scenarios!AE89</f>
        <v>-4.3499999999999996</v>
      </c>
      <c r="BY83" s="399">
        <f>scenarios!AN89</f>
        <v>-4.3499999999999996</v>
      </c>
      <c r="BZ83" s="399">
        <f>scenarios!AW89</f>
        <v>-4.3499999999999996</v>
      </c>
      <c r="CA83" s="399">
        <f>scenarios!BF89</f>
        <v>8.8408587273567027E-6</v>
      </c>
      <c r="CB83" s="314"/>
      <c r="CC83" s="79">
        <f t="shared" si="32"/>
        <v>2093</v>
      </c>
      <c r="CD83" s="278" t="e">
        <f>IF($BU82&gt;'goal seek'!$F$31,$BU83/$BU82-1,#N/A)</f>
        <v>#N/A</v>
      </c>
      <c r="CE83" s="278" t="e">
        <f>IF(BV82&gt;'goal seek'!$F$28,BV83/BV82-1,#N/A)</f>
        <v>#N/A</v>
      </c>
      <c r="CF83" s="278" t="e">
        <f>IF(BW82&gt;'goal seek'!$F$28,BW83/BW82-1,#N/A)</f>
        <v>#N/A</v>
      </c>
      <c r="CG83" s="402" t="e">
        <f>IF(BX82&gt;'goal seek'!$F$28,BX83/BX82-1,#N/A)</f>
        <v>#N/A</v>
      </c>
      <c r="CH83" s="402" t="e">
        <f>IF(BY82&gt;'goal seek'!$F$28,BY83/BY82-1,#N/A)</f>
        <v>#N/A</v>
      </c>
      <c r="CI83" s="402" t="e">
        <f>IF(BZ82&gt;'goal seek'!$F$28,BZ83/BZ82-1,#N/A)</f>
        <v>#N/A</v>
      </c>
      <c r="CJ83" s="402" t="e">
        <f>IF(CA82&gt;'goal seek'!$F$28,CA83/CA82-1,#N/A)</f>
        <v>#N/A</v>
      </c>
      <c r="CK83" s="314"/>
      <c r="CL83" s="79">
        <f t="shared" si="48"/>
        <v>2093</v>
      </c>
      <c r="CM83" s="278">
        <f t="shared" si="43"/>
        <v>0</v>
      </c>
      <c r="CN83" s="278">
        <f t="shared" si="44"/>
        <v>0</v>
      </c>
      <c r="CO83" s="278">
        <f t="shared" si="45"/>
        <v>0</v>
      </c>
      <c r="CP83" s="402">
        <f t="shared" si="49"/>
        <v>0</v>
      </c>
      <c r="CQ83" s="402">
        <f t="shared" si="50"/>
        <v>0</v>
      </c>
      <c r="CR83" s="402">
        <f t="shared" si="51"/>
        <v>0</v>
      </c>
      <c r="CS83" s="402">
        <f t="shared" si="46"/>
        <v>0</v>
      </c>
      <c r="CU83" s="79">
        <f t="shared" si="42"/>
        <v>2093</v>
      </c>
      <c r="CV83" s="299">
        <f>scenarios!K89</f>
        <v>-0.40140937415048711</v>
      </c>
      <c r="CW83" s="407">
        <f>scenarios!T89</f>
        <v>-0.40140937415048711</v>
      </c>
      <c r="CX83" s="211">
        <f>scenarios!AC89</f>
        <v>-0.40140937415048711</v>
      </c>
      <c r="CY83" s="407">
        <f>scenarios!AL89</f>
        <v>-0.40140937415048711</v>
      </c>
      <c r="CZ83" s="407">
        <f>scenarios!AU89</f>
        <v>-0.40140937415048711</v>
      </c>
      <c r="DA83" s="407">
        <f>scenarios!BD89</f>
        <v>-0.40140937415048711</v>
      </c>
      <c r="DB83" s="407">
        <f>scenarios!BM89</f>
        <v>8.1581691234508634E-7</v>
      </c>
      <c r="DD83" s="79">
        <f t="shared" si="52"/>
        <v>2085</v>
      </c>
      <c r="DE83" s="299">
        <f t="shared" si="53"/>
        <v>-4.3499999999999996</v>
      </c>
      <c r="DF83" s="211">
        <f t="shared" si="54"/>
        <v>-4.3499999999999996</v>
      </c>
      <c r="DG83" s="211">
        <f t="shared" si="55"/>
        <v>-4.3499999999999996</v>
      </c>
      <c r="DH83" s="211">
        <f t="shared" si="56"/>
        <v>-4.3499999999999996</v>
      </c>
      <c r="DI83" s="211">
        <f t="shared" si="57"/>
        <v>-4.3499999999999996</v>
      </c>
      <c r="DJ83" s="211">
        <f t="shared" si="57"/>
        <v>-4.3499999999999996</v>
      </c>
      <c r="DK83" s="293">
        <f t="shared" si="58"/>
        <v>5.8275354149733865E-5</v>
      </c>
    </row>
    <row r="84" spans="70:115" x14ac:dyDescent="0.25">
      <c r="BR84" s="79"/>
      <c r="BS84" s="79"/>
      <c r="BT84" s="79">
        <f t="shared" si="47"/>
        <v>2094</v>
      </c>
      <c r="BU84" s="280">
        <f>scenarios!E90</f>
        <v>-4.3499999999999996</v>
      </c>
      <c r="BV84" s="280">
        <f>scenarios!M90</f>
        <v>-4.3499999999999996</v>
      </c>
      <c r="BW84" s="280">
        <f>scenarios!V90</f>
        <v>-4.3499999999999996</v>
      </c>
      <c r="BX84" s="399">
        <f>scenarios!AE90</f>
        <v>-4.3499999999999996</v>
      </c>
      <c r="BY84" s="399">
        <f>scenarios!AN90</f>
        <v>-4.3499999999999996</v>
      </c>
      <c r="BZ84" s="399">
        <f>scenarios!AW90</f>
        <v>-4.3499999999999996</v>
      </c>
      <c r="CA84" s="399">
        <f>scenarios!BF90</f>
        <v>6.9787019274989334E-6</v>
      </c>
      <c r="CB84" s="314"/>
      <c r="CC84" s="79">
        <f t="shared" si="32"/>
        <v>2094</v>
      </c>
      <c r="CD84" s="278" t="e">
        <f>IF($BU83&gt;'goal seek'!$F$31,$BU84/$BU83-1,#N/A)</f>
        <v>#N/A</v>
      </c>
      <c r="CE84" s="278" t="e">
        <f>IF(BV83&gt;'goal seek'!$F$28,BV84/BV83-1,#N/A)</f>
        <v>#N/A</v>
      </c>
      <c r="CF84" s="278" t="e">
        <f>IF(BW83&gt;'goal seek'!$F$28,BW84/BW83-1,#N/A)</f>
        <v>#N/A</v>
      </c>
      <c r="CG84" s="402" t="e">
        <f>IF(BX83&gt;'goal seek'!$F$28,BX84/BX83-1,#N/A)</f>
        <v>#N/A</v>
      </c>
      <c r="CH84" s="402" t="e">
        <f>IF(BY83&gt;'goal seek'!$F$28,BY84/BY83-1,#N/A)</f>
        <v>#N/A</v>
      </c>
      <c r="CI84" s="402" t="e">
        <f>IF(BZ83&gt;'goal seek'!$F$28,BZ84/BZ83-1,#N/A)</f>
        <v>#N/A</v>
      </c>
      <c r="CJ84" s="402" t="e">
        <f>IF(CA83&gt;'goal seek'!$F$28,CA84/CA83-1,#N/A)</f>
        <v>#N/A</v>
      </c>
      <c r="CK84" s="314"/>
      <c r="CL84" s="79">
        <f t="shared" si="48"/>
        <v>2094</v>
      </c>
      <c r="CM84" s="278">
        <f t="shared" si="43"/>
        <v>0</v>
      </c>
      <c r="CN84" s="278">
        <f t="shared" si="44"/>
        <v>0</v>
      </c>
      <c r="CO84" s="278">
        <f t="shared" si="45"/>
        <v>0</v>
      </c>
      <c r="CP84" s="402">
        <f t="shared" si="49"/>
        <v>0</v>
      </c>
      <c r="CQ84" s="402">
        <f t="shared" si="50"/>
        <v>0</v>
      </c>
      <c r="CR84" s="402">
        <f t="shared" si="51"/>
        <v>0</v>
      </c>
      <c r="CS84" s="402">
        <f t="shared" si="46"/>
        <v>0</v>
      </c>
      <c r="CU84" s="79">
        <f t="shared" si="42"/>
        <v>2094</v>
      </c>
      <c r="CV84" s="299">
        <f>scenarios!K90</f>
        <v>-0.40112511533806333</v>
      </c>
      <c r="CW84" s="407">
        <f>scenarios!T90</f>
        <v>-0.40112511533806333</v>
      </c>
      <c r="CX84" s="211">
        <f>scenarios!AC90</f>
        <v>-0.40112511533806333</v>
      </c>
      <c r="CY84" s="407">
        <f>scenarios!AL90</f>
        <v>-0.40112511533806333</v>
      </c>
      <c r="CZ84" s="407">
        <f>scenarios!AU90</f>
        <v>-0.40112511533806333</v>
      </c>
      <c r="DA84" s="407">
        <f>scenarios!BD90</f>
        <v>-0.40112511533806333</v>
      </c>
      <c r="DB84" s="407">
        <f>scenarios!BM90</f>
        <v>6.4352473921332749E-7</v>
      </c>
      <c r="DD84" s="79">
        <f t="shared" si="52"/>
        <v>2086</v>
      </c>
      <c r="DE84" s="299">
        <f t="shared" si="53"/>
        <v>-4.3499999999999996</v>
      </c>
      <c r="DF84" s="211">
        <f t="shared" si="54"/>
        <v>-4.3499999999999996</v>
      </c>
      <c r="DG84" s="211">
        <f t="shared" si="55"/>
        <v>-4.3499999999999996</v>
      </c>
      <c r="DH84" s="211">
        <f t="shared" si="56"/>
        <v>-4.3499999999999996</v>
      </c>
      <c r="DI84" s="211">
        <f t="shared" si="57"/>
        <v>-4.3499999999999996</v>
      </c>
      <c r="DJ84" s="211">
        <f t="shared" si="57"/>
        <v>-4.3499999999999996</v>
      </c>
      <c r="DK84" s="293">
        <f t="shared" si="58"/>
        <v>4.6068093190151281E-5</v>
      </c>
    </row>
    <row r="85" spans="70:115" x14ac:dyDescent="0.25">
      <c r="BR85" s="79"/>
      <c r="BS85" s="79"/>
      <c r="BT85" s="79">
        <f t="shared" si="47"/>
        <v>2095</v>
      </c>
      <c r="BU85" s="280">
        <f>scenarios!E91</f>
        <v>-4.3499999999999996</v>
      </c>
      <c r="BV85" s="280">
        <f>scenarios!M91</f>
        <v>-4.3499999999999996</v>
      </c>
      <c r="BW85" s="280">
        <f>scenarios!V91</f>
        <v>-4.3499999999999996</v>
      </c>
      <c r="BX85" s="399">
        <f>scenarios!AE91</f>
        <v>-4.3499999999999996</v>
      </c>
      <c r="BY85" s="399">
        <f>scenarios!AN91</f>
        <v>-4.3499999999999996</v>
      </c>
      <c r="BZ85" s="399">
        <f>scenarios!AW91</f>
        <v>-4.3499999999999996</v>
      </c>
      <c r="CA85" s="399">
        <f>scenarios!BF91</f>
        <v>5.5078803155863027E-6</v>
      </c>
      <c r="CB85" s="314"/>
      <c r="CC85" s="79">
        <f t="shared" si="32"/>
        <v>2095</v>
      </c>
      <c r="CD85" s="278" t="e">
        <f>IF($BU84&gt;'goal seek'!$F$31,$BU85/$BU84-1,#N/A)</f>
        <v>#N/A</v>
      </c>
      <c r="CE85" s="278" t="e">
        <f>IF(BV84&gt;'goal seek'!$F$28,BV85/BV84-1,#N/A)</f>
        <v>#N/A</v>
      </c>
      <c r="CF85" s="278" t="e">
        <f>IF(BW84&gt;'goal seek'!$F$28,BW85/BW84-1,#N/A)</f>
        <v>#N/A</v>
      </c>
      <c r="CG85" s="402" t="e">
        <f>IF(BX84&gt;'goal seek'!$F$28,BX85/BX84-1,#N/A)</f>
        <v>#N/A</v>
      </c>
      <c r="CH85" s="402" t="e">
        <f>IF(BY84&gt;'goal seek'!$F$28,BY85/BY84-1,#N/A)</f>
        <v>#N/A</v>
      </c>
      <c r="CI85" s="402" t="e">
        <f>IF(BZ84&gt;'goal seek'!$F$28,BZ85/BZ84-1,#N/A)</f>
        <v>#N/A</v>
      </c>
      <c r="CJ85" s="402" t="e">
        <f>IF(CA84&gt;'goal seek'!$F$28,CA85/CA84-1,#N/A)</f>
        <v>#N/A</v>
      </c>
      <c r="CK85" s="314"/>
      <c r="CL85" s="79">
        <f t="shared" si="48"/>
        <v>2095</v>
      </c>
      <c r="CM85" s="278">
        <f t="shared" si="43"/>
        <v>0</v>
      </c>
      <c r="CN85" s="278">
        <f t="shared" si="44"/>
        <v>0</v>
      </c>
      <c r="CO85" s="278">
        <f t="shared" si="45"/>
        <v>0</v>
      </c>
      <c r="CP85" s="402">
        <f t="shared" si="49"/>
        <v>0</v>
      </c>
      <c r="CQ85" s="402">
        <f t="shared" si="50"/>
        <v>0</v>
      </c>
      <c r="CR85" s="402">
        <f t="shared" si="51"/>
        <v>0</v>
      </c>
      <c r="CS85" s="402">
        <f t="shared" si="46"/>
        <v>0</v>
      </c>
      <c r="CU85" s="79">
        <f t="shared" si="42"/>
        <v>2095</v>
      </c>
      <c r="CV85" s="299">
        <f>scenarios!K91</f>
        <v>-0.40086769528542576</v>
      </c>
      <c r="CW85" s="407">
        <f>scenarios!T91</f>
        <v>-0.40086769528542576</v>
      </c>
      <c r="CX85" s="211">
        <f>scenarios!AC91</f>
        <v>-0.40086769528542576</v>
      </c>
      <c r="CY85" s="407">
        <f>scenarios!AL91</f>
        <v>-0.40086769528542576</v>
      </c>
      <c r="CZ85" s="407">
        <f>scenarios!AU91</f>
        <v>-0.40086769528542576</v>
      </c>
      <c r="DA85" s="407">
        <f>scenarios!BD91</f>
        <v>-0.40086769528542576</v>
      </c>
      <c r="DB85" s="407">
        <f>scenarios!BM91</f>
        <v>5.0757041103840113E-7</v>
      </c>
      <c r="DD85" s="79">
        <f t="shared" si="52"/>
        <v>2087</v>
      </c>
      <c r="DE85" s="299">
        <f t="shared" si="53"/>
        <v>-4.3499999999999996</v>
      </c>
      <c r="DF85" s="211">
        <f t="shared" si="54"/>
        <v>-4.3499999999999996</v>
      </c>
      <c r="DG85" s="211">
        <f t="shared" si="55"/>
        <v>-4.3499999999999996</v>
      </c>
      <c r="DH85" s="211">
        <f t="shared" si="56"/>
        <v>-4.3499999999999996</v>
      </c>
      <c r="DI85" s="211">
        <f t="shared" si="57"/>
        <v>-4.3499999999999996</v>
      </c>
      <c r="DJ85" s="211">
        <f t="shared" si="57"/>
        <v>-4.3499999999999996</v>
      </c>
      <c r="DK85" s="293">
        <f t="shared" si="58"/>
        <v>3.6410642515178335E-5</v>
      </c>
    </row>
    <row r="86" spans="70:115" x14ac:dyDescent="0.25">
      <c r="BR86" s="79"/>
      <c r="BS86" s="79"/>
      <c r="BT86" s="79">
        <f t="shared" si="47"/>
        <v>2096</v>
      </c>
      <c r="BU86" s="280">
        <f>scenarios!E92</f>
        <v>-4.3499999999999996</v>
      </c>
      <c r="BV86" s="280">
        <f>scenarios!M92</f>
        <v>-4.3499999999999996</v>
      </c>
      <c r="BW86" s="280">
        <f>scenarios!V92</f>
        <v>-4.3499999999999996</v>
      </c>
      <c r="BX86" s="399">
        <f>scenarios!AE92</f>
        <v>-4.3499999999999996</v>
      </c>
      <c r="BY86" s="399">
        <f>scenarios!AN92</f>
        <v>-4.3499999999999996</v>
      </c>
      <c r="BZ86" s="399">
        <f>scenarios!AW92</f>
        <v>-4.3499999999999996</v>
      </c>
      <c r="CA86" s="399">
        <f>scenarios!BF92</f>
        <v>4.3463604906361032E-6</v>
      </c>
      <c r="CB86" s="314"/>
      <c r="CC86" s="79">
        <f t="shared" si="32"/>
        <v>2096</v>
      </c>
      <c r="CD86" s="278" t="e">
        <f>IF($BU85&gt;'goal seek'!$F$31,$BU86/$BU85-1,#N/A)</f>
        <v>#N/A</v>
      </c>
      <c r="CE86" s="278" t="e">
        <f>IF(BV85&gt;'goal seek'!$F$28,BV86/BV85-1,#N/A)</f>
        <v>#N/A</v>
      </c>
      <c r="CF86" s="278" t="e">
        <f>IF(BW85&gt;'goal seek'!$F$28,BW86/BW85-1,#N/A)</f>
        <v>#N/A</v>
      </c>
      <c r="CG86" s="402" t="e">
        <f>IF(BX85&gt;'goal seek'!$F$28,BX86/BX85-1,#N/A)</f>
        <v>#N/A</v>
      </c>
      <c r="CH86" s="402" t="e">
        <f>IF(BY85&gt;'goal seek'!$F$28,BY86/BY85-1,#N/A)</f>
        <v>#N/A</v>
      </c>
      <c r="CI86" s="402" t="e">
        <f>IF(BZ85&gt;'goal seek'!$F$28,BZ86/BZ85-1,#N/A)</f>
        <v>#N/A</v>
      </c>
      <c r="CJ86" s="402" t="e">
        <f>IF(CA85&gt;'goal seek'!$F$28,CA86/CA85-1,#N/A)</f>
        <v>#N/A</v>
      </c>
      <c r="CK86" s="314"/>
      <c r="CL86" s="79">
        <f t="shared" si="48"/>
        <v>2096</v>
      </c>
      <c r="CM86" s="278">
        <f t="shared" si="43"/>
        <v>0</v>
      </c>
      <c r="CN86" s="278">
        <f t="shared" si="44"/>
        <v>0</v>
      </c>
      <c r="CO86" s="278">
        <f t="shared" si="45"/>
        <v>0</v>
      </c>
      <c r="CP86" s="402">
        <f t="shared" si="49"/>
        <v>0</v>
      </c>
      <c r="CQ86" s="402">
        <f t="shared" si="50"/>
        <v>0</v>
      </c>
      <c r="CR86" s="402">
        <f t="shared" si="51"/>
        <v>0</v>
      </c>
      <c r="CS86" s="402">
        <f t="shared" si="46"/>
        <v>0</v>
      </c>
      <c r="CU86" s="79">
        <f t="shared" si="42"/>
        <v>2096</v>
      </c>
      <c r="CV86" s="299">
        <f>scenarios!K92</f>
        <v>-0.40063754792143252</v>
      </c>
      <c r="CW86" s="407">
        <f>scenarios!T92</f>
        <v>-0.40063754792143252</v>
      </c>
      <c r="CX86" s="211">
        <f>scenarios!AC92</f>
        <v>-0.40063754792143252</v>
      </c>
      <c r="CY86" s="407">
        <f>scenarios!AL92</f>
        <v>-0.40063754792143252</v>
      </c>
      <c r="CZ86" s="407">
        <f>scenarios!AU92</f>
        <v>-0.40063754792143252</v>
      </c>
      <c r="DA86" s="407">
        <f>scenarios!BD92</f>
        <v>-0.40063754792143252</v>
      </c>
      <c r="DB86" s="407">
        <f>scenarios!BM92</f>
        <v>4.0030234697725123E-7</v>
      </c>
      <c r="DD86" s="79">
        <f t="shared" si="52"/>
        <v>2088</v>
      </c>
      <c r="DE86" s="299">
        <f t="shared" si="53"/>
        <v>-4.3499999999999996</v>
      </c>
      <c r="DF86" s="211">
        <f t="shared" si="54"/>
        <v>-4.3499999999999996</v>
      </c>
      <c r="DG86" s="211">
        <f t="shared" si="55"/>
        <v>-4.3499999999999996</v>
      </c>
      <c r="DH86" s="211">
        <f t="shared" si="56"/>
        <v>-4.3499999999999996</v>
      </c>
      <c r="DI86" s="211">
        <f t="shared" si="57"/>
        <v>-4.3499999999999996</v>
      </c>
      <c r="DJ86" s="211">
        <f t="shared" si="57"/>
        <v>-4.3499999999999996</v>
      </c>
      <c r="DK86" s="293">
        <f t="shared" si="58"/>
        <v>2.8772106537307176E-5</v>
      </c>
    </row>
    <row r="87" spans="70:115" x14ac:dyDescent="0.25">
      <c r="BR87" s="79"/>
      <c r="BS87" s="79"/>
      <c r="BT87" s="79">
        <f t="shared" si="47"/>
        <v>2097</v>
      </c>
      <c r="BU87" s="280">
        <f>scenarios!E93</f>
        <v>-4.3499999999999996</v>
      </c>
      <c r="BV87" s="280">
        <f>scenarios!M93</f>
        <v>-4.3499999999999996</v>
      </c>
      <c r="BW87" s="280">
        <f>scenarios!V93</f>
        <v>-4.3499999999999996</v>
      </c>
      <c r="BX87" s="399">
        <f>scenarios!AE93</f>
        <v>-4.3499999999999996</v>
      </c>
      <c r="BY87" s="399">
        <f>scenarios!AN93</f>
        <v>-4.3499999999999996</v>
      </c>
      <c r="BZ87" s="399">
        <f>scenarios!AW93</f>
        <v>-4.3499999999999996</v>
      </c>
      <c r="CA87" s="399">
        <f>scenarios!BF93</f>
        <v>3.4292574462414513E-6</v>
      </c>
      <c r="CB87" s="314"/>
      <c r="CC87" s="79">
        <f t="shared" si="32"/>
        <v>2097</v>
      </c>
      <c r="CD87" s="278" t="e">
        <f>IF($BU86&gt;'goal seek'!$F$31,$BU87/$BU86-1,#N/A)</f>
        <v>#N/A</v>
      </c>
      <c r="CE87" s="278" t="e">
        <f>IF(BV86&gt;'goal seek'!$F$28,BV87/BV86-1,#N/A)</f>
        <v>#N/A</v>
      </c>
      <c r="CF87" s="278" t="e">
        <f>IF(BW86&gt;'goal seek'!$F$28,BW87/BW86-1,#N/A)</f>
        <v>#N/A</v>
      </c>
      <c r="CG87" s="402" t="e">
        <f>IF(BX86&gt;'goal seek'!$F$28,BX87/BX86-1,#N/A)</f>
        <v>#N/A</v>
      </c>
      <c r="CH87" s="402" t="e">
        <f>IF(BY86&gt;'goal seek'!$F$28,BY87/BY86-1,#N/A)</f>
        <v>#N/A</v>
      </c>
      <c r="CI87" s="402" t="e">
        <f>IF(BZ86&gt;'goal seek'!$F$28,BZ87/BZ86-1,#N/A)</f>
        <v>#N/A</v>
      </c>
      <c r="CJ87" s="402" t="e">
        <f>IF(CA86&gt;'goal seek'!$F$28,CA87/CA86-1,#N/A)</f>
        <v>#N/A</v>
      </c>
      <c r="CK87" s="314"/>
      <c r="CL87" s="79">
        <f t="shared" si="48"/>
        <v>2097</v>
      </c>
      <c r="CM87" s="278">
        <f t="shared" si="43"/>
        <v>0</v>
      </c>
      <c r="CN87" s="278">
        <f t="shared" si="44"/>
        <v>0</v>
      </c>
      <c r="CO87" s="278">
        <f t="shared" si="45"/>
        <v>0</v>
      </c>
      <c r="CP87" s="402">
        <f t="shared" si="49"/>
        <v>0</v>
      </c>
      <c r="CQ87" s="402">
        <f t="shared" si="50"/>
        <v>0</v>
      </c>
      <c r="CR87" s="402">
        <f t="shared" si="51"/>
        <v>0</v>
      </c>
      <c r="CS87" s="402">
        <f t="shared" si="46"/>
        <v>0</v>
      </c>
      <c r="CU87" s="79">
        <f t="shared" si="42"/>
        <v>2097</v>
      </c>
      <c r="CV87" s="299">
        <f>scenarios!K93</f>
        <v>-0.40043525238876759</v>
      </c>
      <c r="CW87" s="407">
        <f>scenarios!T93</f>
        <v>-0.40043525238876759</v>
      </c>
      <c r="CX87" s="211">
        <f>scenarios!AC93</f>
        <v>-0.40043525238876759</v>
      </c>
      <c r="CY87" s="407">
        <f>scenarios!AL93</f>
        <v>-0.40043525238876759</v>
      </c>
      <c r="CZ87" s="407">
        <f>scenarios!AU93</f>
        <v>-0.40043525238876759</v>
      </c>
      <c r="DA87" s="407">
        <f>scenarios!BD93</f>
        <v>-0.40043525238876759</v>
      </c>
      <c r="DB87" s="407">
        <f>scenarios!BM93</f>
        <v>3.1567714275672551E-7</v>
      </c>
      <c r="DD87" s="79">
        <f t="shared" si="52"/>
        <v>2089</v>
      </c>
      <c r="DE87" s="299">
        <f t="shared" si="53"/>
        <v>-4.3499999999999996</v>
      </c>
      <c r="DF87" s="211">
        <f t="shared" si="54"/>
        <v>-4.3499999999999996</v>
      </c>
      <c r="DG87" s="211">
        <f t="shared" si="55"/>
        <v>-4.3499999999999996</v>
      </c>
      <c r="DH87" s="211">
        <f t="shared" si="56"/>
        <v>-4.3499999999999996</v>
      </c>
      <c r="DI87" s="211">
        <f t="shared" si="57"/>
        <v>-4.3499999999999996</v>
      </c>
      <c r="DJ87" s="211">
        <f t="shared" si="57"/>
        <v>-4.3499999999999996</v>
      </c>
      <c r="DK87" s="293">
        <f t="shared" si="58"/>
        <v>2.2731731023758545E-5</v>
      </c>
    </row>
    <row r="88" spans="70:115" x14ac:dyDescent="0.25">
      <c r="BR88" s="79"/>
      <c r="BS88" s="79"/>
      <c r="BT88" s="79">
        <f t="shared" si="47"/>
        <v>2098</v>
      </c>
      <c r="BU88" s="280">
        <f>scenarios!E94</f>
        <v>-4.3499999999999996</v>
      </c>
      <c r="BV88" s="280">
        <f>scenarios!M94</f>
        <v>-4.3499999999999996</v>
      </c>
      <c r="BW88" s="280">
        <f>scenarios!V94</f>
        <v>-4.3499999999999996</v>
      </c>
      <c r="BX88" s="399">
        <f>scenarios!AE94</f>
        <v>-4.3499999999999996</v>
      </c>
      <c r="BY88" s="399">
        <f>scenarios!AN94</f>
        <v>-4.3499999999999996</v>
      </c>
      <c r="BZ88" s="399">
        <f>scenarios!AW94</f>
        <v>-4.3499999999999996</v>
      </c>
      <c r="CA88" s="399">
        <f>scenarios!BF94</f>
        <v>2.7052609487227185E-6</v>
      </c>
      <c r="CB88" s="314"/>
      <c r="CC88" s="79">
        <f t="shared" si="32"/>
        <v>2098</v>
      </c>
      <c r="CD88" s="278" t="e">
        <f>IF($BU87&gt;'goal seek'!$F$31,$BU88/$BU87-1,#N/A)</f>
        <v>#N/A</v>
      </c>
      <c r="CE88" s="278" t="e">
        <f>IF(BV87&gt;'goal seek'!$F$28,BV88/BV87-1,#N/A)</f>
        <v>#N/A</v>
      </c>
      <c r="CF88" s="278" t="e">
        <f>IF(BW87&gt;'goal seek'!$F$28,BW88/BW87-1,#N/A)</f>
        <v>#N/A</v>
      </c>
      <c r="CG88" s="402" t="e">
        <f>IF(BX87&gt;'goal seek'!$F$28,BX88/BX87-1,#N/A)</f>
        <v>#N/A</v>
      </c>
      <c r="CH88" s="402" t="e">
        <f>IF(BY87&gt;'goal seek'!$F$28,BY88/BY87-1,#N/A)</f>
        <v>#N/A</v>
      </c>
      <c r="CI88" s="402" t="e">
        <f>IF(BZ87&gt;'goal seek'!$F$28,BZ88/BZ87-1,#N/A)</f>
        <v>#N/A</v>
      </c>
      <c r="CJ88" s="402" t="e">
        <f>IF(CA87&gt;'goal seek'!$F$28,CA88/CA87-1,#N/A)</f>
        <v>#N/A</v>
      </c>
      <c r="CK88" s="314"/>
      <c r="CL88" s="79">
        <f t="shared" si="48"/>
        <v>2098</v>
      </c>
      <c r="CM88" s="278">
        <f t="shared" si="43"/>
        <v>0</v>
      </c>
      <c r="CN88" s="278">
        <f t="shared" si="44"/>
        <v>0</v>
      </c>
      <c r="CO88" s="278">
        <f t="shared" si="45"/>
        <v>0</v>
      </c>
      <c r="CP88" s="402">
        <f t="shared" si="49"/>
        <v>0</v>
      </c>
      <c r="CQ88" s="402">
        <f t="shared" si="50"/>
        <v>0</v>
      </c>
      <c r="CR88" s="402">
        <f t="shared" si="51"/>
        <v>0</v>
      </c>
      <c r="CS88" s="402">
        <f t="shared" si="46"/>
        <v>0</v>
      </c>
      <c r="CU88" s="79">
        <f t="shared" si="42"/>
        <v>2098</v>
      </c>
      <c r="CV88" s="299">
        <f>scenarios!K94</f>
        <v>-0.40026154661057195</v>
      </c>
      <c r="CW88" s="407">
        <f>scenarios!T94</f>
        <v>-0.40026154661057195</v>
      </c>
      <c r="CX88" s="211">
        <f>scenarios!AC94</f>
        <v>-0.40026154661057195</v>
      </c>
      <c r="CY88" s="407">
        <f>scenarios!AL94</f>
        <v>-0.40026154661057195</v>
      </c>
      <c r="CZ88" s="407">
        <f>scenarios!AU94</f>
        <v>-0.40026154661057195</v>
      </c>
      <c r="DA88" s="407">
        <f>scenarios!BD94</f>
        <v>-0.40026154661057195</v>
      </c>
      <c r="DB88" s="407">
        <f>scenarios!BM94</f>
        <v>2.4892228306228472E-7</v>
      </c>
      <c r="DD88" s="79">
        <f t="shared" si="52"/>
        <v>2090</v>
      </c>
      <c r="DE88" s="299">
        <f t="shared" si="53"/>
        <v>-4.3499999999999996</v>
      </c>
      <c r="DF88" s="211">
        <f t="shared" si="54"/>
        <v>-4.3499999999999996</v>
      </c>
      <c r="DG88" s="211">
        <f t="shared" si="55"/>
        <v>-4.3499999999999996</v>
      </c>
      <c r="DH88" s="211">
        <f t="shared" si="56"/>
        <v>-4.3499999999999996</v>
      </c>
      <c r="DI88" s="211">
        <f t="shared" si="57"/>
        <v>-4.3499999999999996</v>
      </c>
      <c r="DJ88" s="211">
        <f t="shared" si="57"/>
        <v>-4.3499999999999996</v>
      </c>
      <c r="DK88" s="293">
        <f t="shared" si="58"/>
        <v>1.7956145504705306E-5</v>
      </c>
    </row>
    <row r="89" spans="70:115" x14ac:dyDescent="0.25">
      <c r="BR89" s="79"/>
      <c r="BS89" s="79"/>
      <c r="BT89" s="79">
        <f t="shared" si="47"/>
        <v>2099</v>
      </c>
      <c r="BU89" s="280">
        <f>scenarios!E95</f>
        <v>-4.3499999999999996</v>
      </c>
      <c r="BV89" s="280">
        <f>scenarios!M95</f>
        <v>-4.3499999999999996</v>
      </c>
      <c r="BW89" s="280">
        <f>scenarios!V95</f>
        <v>-4.3499999999999996</v>
      </c>
      <c r="BX89" s="399">
        <f>scenarios!AE95</f>
        <v>-4.3499999999999996</v>
      </c>
      <c r="BY89" s="399">
        <f>scenarios!AN95</f>
        <v>-4.3499999999999996</v>
      </c>
      <c r="BZ89" s="399">
        <f>scenarios!AW95</f>
        <v>-4.3499999999999996</v>
      </c>
      <c r="CA89" s="399">
        <f>scenarios!BF95</f>
        <v>2.1338040491711256E-6</v>
      </c>
      <c r="CB89" s="314"/>
      <c r="CC89" s="79">
        <f t="shared" si="32"/>
        <v>2099</v>
      </c>
      <c r="CD89" s="278" t="e">
        <f>IF($BU88&gt;'goal seek'!$F$31,$BU89/$BU88-1,#N/A)</f>
        <v>#N/A</v>
      </c>
      <c r="CE89" s="278" t="e">
        <f>IF(BV88&gt;'goal seek'!$F$28,BV89/BV88-1,#N/A)</f>
        <v>#N/A</v>
      </c>
      <c r="CF89" s="278" t="e">
        <f>IF(BW88&gt;'goal seek'!$F$28,BW89/BW88-1,#N/A)</f>
        <v>#N/A</v>
      </c>
      <c r="CG89" s="402" t="e">
        <f>IF(BX88&gt;'goal seek'!$F$28,BX89/BX88-1,#N/A)</f>
        <v>#N/A</v>
      </c>
      <c r="CH89" s="402" t="e">
        <f>IF(BY88&gt;'goal seek'!$F$28,BY89/BY88-1,#N/A)</f>
        <v>#N/A</v>
      </c>
      <c r="CI89" s="402" t="e">
        <f>IF(BZ88&gt;'goal seek'!$F$28,BZ89/BZ88-1,#N/A)</f>
        <v>#N/A</v>
      </c>
      <c r="CJ89" s="402" t="e">
        <f>IF(CA88&gt;'goal seek'!$F$28,CA89/CA88-1,#N/A)</f>
        <v>#N/A</v>
      </c>
      <c r="CK89" s="314"/>
      <c r="CL89" s="79">
        <f t="shared" si="48"/>
        <v>2099</v>
      </c>
      <c r="CM89" s="278">
        <f t="shared" si="43"/>
        <v>0</v>
      </c>
      <c r="CN89" s="278">
        <f t="shared" si="44"/>
        <v>0</v>
      </c>
      <c r="CO89" s="278">
        <f t="shared" si="45"/>
        <v>0</v>
      </c>
      <c r="CP89" s="402">
        <f t="shared" si="49"/>
        <v>0</v>
      </c>
      <c r="CQ89" s="402">
        <f t="shared" si="50"/>
        <v>0</v>
      </c>
      <c r="CR89" s="402">
        <f t="shared" si="51"/>
        <v>0</v>
      </c>
      <c r="CS89" s="402">
        <f t="shared" si="46"/>
        <v>0</v>
      </c>
      <c r="CU89" s="79">
        <f t="shared" si="42"/>
        <v>2099</v>
      </c>
      <c r="CV89" s="299">
        <f>scenarios!K95</f>
        <v>-0.40011731336609185</v>
      </c>
      <c r="CW89" s="407">
        <f>scenarios!T95</f>
        <v>-0.40011731336609185</v>
      </c>
      <c r="CX89" s="211">
        <f>scenarios!AC95</f>
        <v>-0.40011731336609185</v>
      </c>
      <c r="CY89" s="407">
        <f>scenarios!AL95</f>
        <v>-0.40011731336609185</v>
      </c>
      <c r="CZ89" s="407">
        <f>scenarios!AU95</f>
        <v>-0.40011731336609185</v>
      </c>
      <c r="DA89" s="407">
        <f>scenarios!BD95</f>
        <v>-0.40011731336609185</v>
      </c>
      <c r="DB89" s="407">
        <f>scenarios!BM95</f>
        <v>1.9626941227679052E-7</v>
      </c>
      <c r="DD89" s="79">
        <f t="shared" si="52"/>
        <v>2091</v>
      </c>
      <c r="DE89" s="299">
        <f t="shared" si="53"/>
        <v>-4.3499999999999996</v>
      </c>
      <c r="DF89" s="211">
        <f t="shared" si="54"/>
        <v>-4.3499999999999996</v>
      </c>
      <c r="DG89" s="211">
        <f t="shared" si="55"/>
        <v>-4.3499999999999996</v>
      </c>
      <c r="DH89" s="211">
        <f t="shared" si="56"/>
        <v>-4.3499999999999996</v>
      </c>
      <c r="DI89" s="211">
        <f t="shared" si="57"/>
        <v>-4.3499999999999996</v>
      </c>
      <c r="DJ89" s="211">
        <f t="shared" si="57"/>
        <v>-4.3499999999999996</v>
      </c>
      <c r="DK89" s="293">
        <f t="shared" si="58"/>
        <v>1.4181286134081569E-5</v>
      </c>
    </row>
    <row r="90" spans="70:115" x14ac:dyDescent="0.25">
      <c r="BR90" s="80"/>
      <c r="BS90" s="80">
        <v>2100</v>
      </c>
      <c r="BT90" s="80">
        <f t="shared" si="47"/>
        <v>2100</v>
      </c>
      <c r="BU90" s="301">
        <f>scenarios!E96</f>
        <v>-4.3499999999999996</v>
      </c>
      <c r="BV90" s="301">
        <f>scenarios!M96</f>
        <v>-4.3499999999999996</v>
      </c>
      <c r="BW90" s="301">
        <f>scenarios!V96</f>
        <v>-4.3499999999999996</v>
      </c>
      <c r="BX90" s="401">
        <f>scenarios!AE96</f>
        <v>-4.3499999999999996</v>
      </c>
      <c r="BY90" s="401">
        <f>scenarios!AN96</f>
        <v>-4.3499999999999996</v>
      </c>
      <c r="BZ90" s="401">
        <f>scenarios!AW96</f>
        <v>-4.3499999999999996</v>
      </c>
      <c r="CA90" s="401">
        <f>scenarios!BF96</f>
        <v>1.6828202150896504E-6</v>
      </c>
      <c r="CB90" s="79"/>
      <c r="CC90" s="80">
        <f t="shared" si="32"/>
        <v>2100</v>
      </c>
      <c r="CD90" s="404" t="e">
        <f>IF($BU89&gt;'goal seek'!$F$31,$BU90/$BU89-1,#N/A)</f>
        <v>#N/A</v>
      </c>
      <c r="CE90" s="312" t="e">
        <f>IF(BV89&gt;'goal seek'!$F$28,BV90/BV89-1,#N/A)</f>
        <v>#N/A</v>
      </c>
      <c r="CF90" s="312" t="e">
        <f>IF(BW89&gt;'goal seek'!$F$28,BW90/BW89-1,#N/A)</f>
        <v>#N/A</v>
      </c>
      <c r="CG90" s="404" t="e">
        <f>IF(BX89&gt;'goal seek'!$F$28,BX90/BX89-1,#N/A)</f>
        <v>#N/A</v>
      </c>
      <c r="CH90" s="404" t="e">
        <f>IF(BY89&gt;'goal seek'!$F$28,BY90/BY89-1,#N/A)</f>
        <v>#N/A</v>
      </c>
      <c r="CI90" s="402" t="e">
        <f>IF(BZ89&gt;'goal seek'!$F$28,BZ90/BZ89-1,#N/A)</f>
        <v>#N/A</v>
      </c>
      <c r="CJ90" s="404" t="e">
        <f>IF(CA89&gt;'goal seek'!$F$28,CA90/CA89-1,#N/A)</f>
        <v>#N/A</v>
      </c>
      <c r="CK90" s="186"/>
      <c r="CL90" s="80">
        <f t="shared" si="48"/>
        <v>2100</v>
      </c>
      <c r="CM90" s="312">
        <f t="shared" si="43"/>
        <v>0</v>
      </c>
      <c r="CN90" s="312">
        <f t="shared" si="44"/>
        <v>0</v>
      </c>
      <c r="CO90" s="312">
        <f t="shared" si="45"/>
        <v>0</v>
      </c>
      <c r="CP90" s="404">
        <f t="shared" si="49"/>
        <v>0</v>
      </c>
      <c r="CQ90" s="404">
        <f t="shared" si="50"/>
        <v>0</v>
      </c>
      <c r="CR90" s="402">
        <f t="shared" si="51"/>
        <v>0</v>
      </c>
      <c r="CS90" s="404">
        <f t="shared" si="46"/>
        <v>0</v>
      </c>
      <c r="CU90" s="80">
        <f t="shared" si="42"/>
        <v>2100</v>
      </c>
      <c r="CV90" s="298">
        <f>scenarios!K96</f>
        <v>-0.40000359293342208</v>
      </c>
      <c r="CW90" s="409">
        <f>scenarios!T96</f>
        <v>-0.40000359293342208</v>
      </c>
      <c r="CX90" s="295">
        <f>scenarios!AC96</f>
        <v>-0.40000359293342208</v>
      </c>
      <c r="CY90" s="409">
        <f>scenarios!AL96</f>
        <v>-0.40000359293342208</v>
      </c>
      <c r="CZ90" s="409">
        <f>scenarios!AU96</f>
        <v>-0.40000359293342208</v>
      </c>
      <c r="DA90" s="409">
        <f>scenarios!BD96</f>
        <v>-0.40000359293342208</v>
      </c>
      <c r="DB90" s="409">
        <f>scenarios!BM96</f>
        <v>1.5474347868893201E-7</v>
      </c>
      <c r="DD90" s="79">
        <f t="shared" si="52"/>
        <v>2092</v>
      </c>
      <c r="DE90" s="299">
        <f t="shared" si="53"/>
        <v>-4.3499999999999996</v>
      </c>
      <c r="DF90" s="211">
        <f t="shared" si="54"/>
        <v>-4.3499999999999996</v>
      </c>
      <c r="DG90" s="211">
        <f t="shared" si="55"/>
        <v>-4.3499999999999996</v>
      </c>
      <c r="DH90" s="211">
        <f t="shared" si="56"/>
        <v>-4.3499999999999996</v>
      </c>
      <c r="DI90" s="211">
        <f t="shared" si="57"/>
        <v>-4.3499999999999996</v>
      </c>
      <c r="DJ90" s="211">
        <f t="shared" si="57"/>
        <v>-4.3499999999999996</v>
      </c>
      <c r="DK90" s="293">
        <f t="shared" si="58"/>
        <v>1.1198041523564572E-5</v>
      </c>
    </row>
    <row r="91" spans="70:115" x14ac:dyDescent="0.25">
      <c r="CK91" s="186"/>
      <c r="DD91" s="79">
        <f t="shared" si="52"/>
        <v>2093</v>
      </c>
      <c r="DE91" s="299">
        <f t="shared" si="53"/>
        <v>-4.3499999999999996</v>
      </c>
      <c r="DF91" s="211">
        <f t="shared" si="54"/>
        <v>-4.3499999999999996</v>
      </c>
      <c r="DG91" s="211">
        <f t="shared" si="55"/>
        <v>-4.3499999999999996</v>
      </c>
      <c r="DH91" s="211">
        <f t="shared" si="56"/>
        <v>-4.3499999999999996</v>
      </c>
      <c r="DI91" s="211">
        <f t="shared" si="57"/>
        <v>-4.3499999999999996</v>
      </c>
      <c r="DJ91" s="211">
        <f t="shared" si="57"/>
        <v>-4.3499999999999996</v>
      </c>
      <c r="DK91" s="293">
        <f t="shared" si="58"/>
        <v>8.8408587273567027E-6</v>
      </c>
    </row>
    <row r="92" spans="70:115" x14ac:dyDescent="0.25">
      <c r="BT92" s="324"/>
      <c r="BU92" s="284" t="str">
        <f t="shared" ref="BU92:BZ92" si="59">CD92</f>
        <v>RM-1 const</v>
      </c>
      <c r="BV92" s="284" t="str">
        <f t="shared" si="59"/>
        <v>RM-2 exp</v>
      </c>
      <c r="BW92" s="284" t="str">
        <f t="shared" si="59"/>
        <v>RM-3 lin</v>
      </c>
      <c r="BX92" s="284" t="str">
        <f t="shared" si="59"/>
        <v>RM-4 quadr</v>
      </c>
      <c r="BY92" s="284" t="str">
        <f t="shared" si="59"/>
        <v>RM-5 rad</v>
      </c>
      <c r="BZ92" s="284" t="str">
        <f t="shared" si="59"/>
        <v>RM-6 abs</v>
      </c>
      <c r="CA92" s="284" t="str">
        <f t="shared" ref="CA92" si="60">CJ92</f>
        <v>SPM-R</v>
      </c>
      <c r="CC92" s="271"/>
      <c r="CD92" s="284" t="str">
        <f t="shared" ref="CD92:CJ92" si="61">CD9</f>
        <v>RM-1 const</v>
      </c>
      <c r="CE92" s="284" t="str">
        <f t="shared" si="61"/>
        <v>RM-2 exp</v>
      </c>
      <c r="CF92" s="284" t="str">
        <f t="shared" si="61"/>
        <v>RM-3 lin</v>
      </c>
      <c r="CG92" s="284" t="str">
        <f t="shared" si="61"/>
        <v>RM-4 quadr</v>
      </c>
      <c r="CH92" s="284" t="str">
        <f t="shared" si="61"/>
        <v>RM-5 rad</v>
      </c>
      <c r="CI92" s="284" t="str">
        <f t="shared" si="61"/>
        <v>RM-6 abs</v>
      </c>
      <c r="CJ92" s="284" t="str">
        <f t="shared" si="61"/>
        <v>SPM-R</v>
      </c>
      <c r="CL92" s="192"/>
      <c r="CM92" s="356"/>
      <c r="CN92" s="356"/>
      <c r="CO92" s="356"/>
      <c r="CP92" s="356"/>
      <c r="CQ92" s="356"/>
      <c r="CR92" s="356"/>
      <c r="CS92" s="356"/>
      <c r="DD92" s="79">
        <f t="shared" si="52"/>
        <v>2094</v>
      </c>
      <c r="DE92" s="299">
        <f t="shared" si="53"/>
        <v>-4.3499999999999996</v>
      </c>
      <c r="DF92" s="211">
        <f t="shared" si="54"/>
        <v>-4.3499999999999996</v>
      </c>
      <c r="DG92" s="211">
        <f t="shared" si="55"/>
        <v>-4.3499999999999996</v>
      </c>
      <c r="DH92" s="211">
        <f t="shared" si="56"/>
        <v>-4.3499999999999996</v>
      </c>
      <c r="DI92" s="211">
        <f t="shared" si="57"/>
        <v>-4.3499999999999996</v>
      </c>
      <c r="DJ92" s="211">
        <f t="shared" si="57"/>
        <v>-4.3499999999999996</v>
      </c>
      <c r="DK92" s="293">
        <f t="shared" si="58"/>
        <v>6.9787019274989334E-6</v>
      </c>
    </row>
    <row r="93" spans="70:115" x14ac:dyDescent="0.25">
      <c r="BT93" s="195">
        <v>2030</v>
      </c>
      <c r="BU93" s="325">
        <f>SUM(BU10:BU20)</f>
        <v>295.97621995355172</v>
      </c>
      <c r="BV93" s="325">
        <f t="shared" ref="BV93:BX93" si="62">SUM(BV10:BV20)</f>
        <v>397.47502271452493</v>
      </c>
      <c r="BW93" s="325">
        <f t="shared" si="62"/>
        <v>374.75441982620816</v>
      </c>
      <c r="BX93" s="325">
        <f t="shared" si="62"/>
        <v>400.47668954526711</v>
      </c>
      <c r="BY93" s="325">
        <f t="shared" ref="BY93:BZ93" si="63">SUM(BY10:BY20)</f>
        <v>352.08655016741528</v>
      </c>
      <c r="BZ93" s="325">
        <f t="shared" si="63"/>
        <v>364.49129319599632</v>
      </c>
      <c r="CA93" s="325">
        <f t="shared" ref="CA93" si="64">SUM(CA10:CA20)</f>
        <v>284.9884569956464</v>
      </c>
      <c r="CC93" s="195">
        <v>2030</v>
      </c>
      <c r="CD93" s="281">
        <f>graphs!BU$20/graphs!CD95-1</f>
        <v>-0.36806430159603609</v>
      </c>
      <c r="CE93" s="281">
        <f>graphs!BV$20/graphs!CE95-1</f>
        <v>4.3810121036561789E-2</v>
      </c>
      <c r="CF93" s="281">
        <f>graphs!BW$20/graphs!CF95-1</f>
        <v>-0.11087172559134273</v>
      </c>
      <c r="CG93" s="281">
        <f>graphs!BX$20/graphs!CG95-1</f>
        <v>4.2249198170037028E-2</v>
      </c>
      <c r="CH93" s="281">
        <f>graphs!BY$20/graphs!CH95-1</f>
        <v>-0.2182667105692786</v>
      </c>
      <c r="CI93" s="281">
        <f>graphs!BZ$20/graphs!CI95-1</f>
        <v>-7.349763035099699E-2</v>
      </c>
      <c r="CJ93" s="281">
        <f>graphs!CA$20/graphs!CJ95-1</f>
        <v>-0.59949121562917229</v>
      </c>
      <c r="CL93" s="186"/>
      <c r="CM93" s="357"/>
      <c r="CN93" s="357"/>
      <c r="CO93" s="357"/>
      <c r="CP93" s="357"/>
      <c r="CQ93" s="357"/>
      <c r="CR93" s="357"/>
      <c r="CS93" s="357"/>
      <c r="DD93" s="79">
        <f t="shared" si="52"/>
        <v>2095</v>
      </c>
      <c r="DE93" s="299">
        <f t="shared" si="53"/>
        <v>-4.3499999999999996</v>
      </c>
      <c r="DF93" s="211">
        <f t="shared" si="54"/>
        <v>-4.3499999999999996</v>
      </c>
      <c r="DG93" s="211">
        <f t="shared" si="55"/>
        <v>-4.3499999999999996</v>
      </c>
      <c r="DH93" s="211">
        <f t="shared" si="56"/>
        <v>-4.3499999999999996</v>
      </c>
      <c r="DI93" s="211">
        <f t="shared" si="57"/>
        <v>-4.3499999999999996</v>
      </c>
      <c r="DJ93" s="211">
        <f t="shared" si="57"/>
        <v>-4.3499999999999996</v>
      </c>
      <c r="DK93" s="293">
        <f t="shared" si="58"/>
        <v>5.5078803155863027E-6</v>
      </c>
    </row>
    <row r="94" spans="70:115" x14ac:dyDescent="0.25">
      <c r="BT94" s="191">
        <v>2050</v>
      </c>
      <c r="BU94" s="326">
        <f>SUM(BU10:BU40)</f>
        <v>461.41303190382342</v>
      </c>
      <c r="BV94" s="326">
        <f t="shared" ref="BV94:BX94" si="65">SUM(BV10:BV40)</f>
        <v>553.98930810728814</v>
      </c>
      <c r="BW94" s="326">
        <f t="shared" si="65"/>
        <v>541.71297840095508</v>
      </c>
      <c r="BX94" s="326">
        <f t="shared" si="65"/>
        <v>553.92674671038446</v>
      </c>
      <c r="BY94" s="326">
        <f t="shared" ref="BY94:BZ94" si="66">SUM(BY10:BY40)</f>
        <v>516.6081400254451</v>
      </c>
      <c r="BZ94" s="326">
        <f t="shared" si="66"/>
        <v>553.85188035443036</v>
      </c>
      <c r="CA94" s="326">
        <f t="shared" ref="CA94" si="67">SUM(CA10:CA40)</f>
        <v>335.28695334240194</v>
      </c>
      <c r="CC94" s="191">
        <v>2050</v>
      </c>
      <c r="CD94" s="282">
        <f>graphs!BU$40/graphs!CD95-1</f>
        <v>-0.87547790673960801</v>
      </c>
      <c r="CE94" s="282">
        <f>graphs!BV$40/graphs!CE95-1</f>
        <v>-1.1581197738005677</v>
      </c>
      <c r="CF94" s="282">
        <f>graphs!BW$40/graphs!CF95-1</f>
        <v>-1.0085576126134799</v>
      </c>
      <c r="CG94" s="282">
        <f>graphs!BX$40/graphs!CG95-1</f>
        <v>-1.1550607667856796</v>
      </c>
      <c r="CH94" s="282">
        <f>graphs!BY$40/graphs!CH95-1</f>
        <v>-0.94419728627087807</v>
      </c>
      <c r="CI94" s="282">
        <f>graphs!BZ$40/graphs!CI95-1</f>
        <v>-1.1581197738005677</v>
      </c>
      <c r="CJ94" s="282">
        <f>graphs!CA$40/graphs!CJ95-1</f>
        <v>-0.99351120789095893</v>
      </c>
      <c r="CL94" s="186"/>
      <c r="CM94" s="358"/>
      <c r="CN94" s="358"/>
      <c r="CO94" s="358"/>
      <c r="CP94" s="358"/>
      <c r="CQ94" s="358"/>
      <c r="CR94" s="358"/>
      <c r="CS94" s="358"/>
      <c r="DD94" s="79">
        <f t="shared" ref="DD94:DG98" si="68">BT86</f>
        <v>2096</v>
      </c>
      <c r="DE94" s="299">
        <f t="shared" si="68"/>
        <v>-4.3499999999999996</v>
      </c>
      <c r="DF94" s="211">
        <f t="shared" si="68"/>
        <v>-4.3499999999999996</v>
      </c>
      <c r="DG94" s="211">
        <f t="shared" si="68"/>
        <v>-4.3499999999999996</v>
      </c>
      <c r="DH94" s="211">
        <f t="shared" si="56"/>
        <v>-4.3499999999999996</v>
      </c>
      <c r="DI94" s="211">
        <f t="shared" si="57"/>
        <v>-4.3499999999999996</v>
      </c>
      <c r="DJ94" s="211">
        <f t="shared" si="57"/>
        <v>-4.3499999999999996</v>
      </c>
      <c r="DK94" s="293">
        <f t="shared" ref="DK94:DK98" si="69">CA86</f>
        <v>4.3463604906361032E-6</v>
      </c>
    </row>
    <row r="95" spans="70:115" x14ac:dyDescent="0.25">
      <c r="CC95" s="141">
        <v>1990</v>
      </c>
      <c r="CD95" s="283">
        <f>GCP!L51</f>
        <v>27.510790683817579</v>
      </c>
      <c r="CE95" s="279">
        <f>CD95</f>
        <v>27.510790683817579</v>
      </c>
      <c r="CF95" s="279">
        <f>CE95</f>
        <v>27.510790683817579</v>
      </c>
      <c r="CG95" s="279">
        <f>CF95</f>
        <v>27.510790683817579</v>
      </c>
      <c r="CH95" s="279">
        <f>CG95</f>
        <v>27.510790683817579</v>
      </c>
      <c r="CI95" s="279">
        <f>CH95</f>
        <v>27.510790683817579</v>
      </c>
      <c r="CJ95" s="279">
        <f>CG95</f>
        <v>27.510790683817579</v>
      </c>
      <c r="CL95" s="186"/>
      <c r="CM95" s="359"/>
      <c r="CN95" s="359"/>
      <c r="CO95" s="359"/>
      <c r="CP95" s="359"/>
      <c r="CQ95" s="359"/>
      <c r="CR95" s="359"/>
      <c r="CS95" s="359"/>
      <c r="DD95" s="79">
        <f t="shared" si="68"/>
        <v>2097</v>
      </c>
      <c r="DE95" s="299">
        <f t="shared" si="68"/>
        <v>-4.3499999999999996</v>
      </c>
      <c r="DF95" s="211">
        <f t="shared" si="68"/>
        <v>-4.3499999999999996</v>
      </c>
      <c r="DG95" s="211">
        <f t="shared" si="68"/>
        <v>-4.3499999999999996</v>
      </c>
      <c r="DH95" s="211">
        <f t="shared" si="56"/>
        <v>-4.3499999999999996</v>
      </c>
      <c r="DI95" s="211">
        <f t="shared" si="57"/>
        <v>-4.3499999999999996</v>
      </c>
      <c r="DJ95" s="211">
        <f t="shared" si="57"/>
        <v>-4.3499999999999996</v>
      </c>
      <c r="DK95" s="293">
        <f t="shared" si="69"/>
        <v>3.4292574462414513E-6</v>
      </c>
    </row>
    <row r="96" spans="70:115" x14ac:dyDescent="0.25">
      <c r="CL96" s="186"/>
      <c r="CM96" s="186"/>
      <c r="CN96" s="186"/>
      <c r="CO96" s="186"/>
      <c r="CP96" s="186"/>
      <c r="CQ96" s="186"/>
      <c r="CR96" s="186"/>
      <c r="CS96" s="186"/>
      <c r="DD96" s="79">
        <f t="shared" si="68"/>
        <v>2098</v>
      </c>
      <c r="DE96" s="299">
        <f t="shared" si="68"/>
        <v>-4.3499999999999996</v>
      </c>
      <c r="DF96" s="211">
        <f t="shared" si="68"/>
        <v>-4.3499999999999996</v>
      </c>
      <c r="DG96" s="211">
        <f t="shared" si="68"/>
        <v>-4.3499999999999996</v>
      </c>
      <c r="DH96" s="211">
        <f t="shared" si="56"/>
        <v>-4.3499999999999996</v>
      </c>
      <c r="DI96" s="211">
        <f t="shared" si="57"/>
        <v>-4.3499999999999996</v>
      </c>
      <c r="DJ96" s="211">
        <f t="shared" si="57"/>
        <v>-4.3499999999999996</v>
      </c>
      <c r="DK96" s="293">
        <f t="shared" si="69"/>
        <v>2.7052609487227185E-6</v>
      </c>
    </row>
    <row r="97" spans="81:115" x14ac:dyDescent="0.25">
      <c r="CC97" t="s">
        <v>43</v>
      </c>
      <c r="CL97" s="186"/>
      <c r="CM97" s="186"/>
      <c r="CN97" s="186"/>
      <c r="CO97" s="186"/>
      <c r="CP97" s="186"/>
      <c r="CQ97" s="186"/>
      <c r="CR97" s="186"/>
      <c r="CS97" s="186"/>
      <c r="DD97" s="79">
        <f t="shared" si="68"/>
        <v>2099</v>
      </c>
      <c r="DE97" s="299">
        <f t="shared" si="68"/>
        <v>-4.3499999999999996</v>
      </c>
      <c r="DF97" s="211">
        <f t="shared" si="68"/>
        <v>-4.3499999999999996</v>
      </c>
      <c r="DG97" s="211">
        <f t="shared" si="68"/>
        <v>-4.3499999999999996</v>
      </c>
      <c r="DH97" s="211">
        <f t="shared" si="56"/>
        <v>-4.3499999999999996</v>
      </c>
      <c r="DI97" s="211">
        <f t="shared" si="57"/>
        <v>-4.3499999999999996</v>
      </c>
      <c r="DJ97" s="211">
        <f t="shared" si="57"/>
        <v>-4.3499999999999996</v>
      </c>
      <c r="DK97" s="293">
        <f t="shared" si="69"/>
        <v>2.1338040491711256E-6</v>
      </c>
    </row>
    <row r="98" spans="81:115" x14ac:dyDescent="0.25">
      <c r="CC98" t="s">
        <v>15</v>
      </c>
      <c r="CE98" s="217" t="e">
        <f t="shared" ref="CE98:CJ98" si="70">AVERAGE(CE31:CE40)</f>
        <v>#N/A</v>
      </c>
      <c r="CF98" s="217" t="e">
        <f t="shared" si="70"/>
        <v>#N/A</v>
      </c>
      <c r="CG98" s="217" t="e">
        <f t="shared" si="70"/>
        <v>#N/A</v>
      </c>
      <c r="CH98" s="217" t="e">
        <f t="shared" si="70"/>
        <v>#N/A</v>
      </c>
      <c r="CI98" s="217" t="e">
        <f t="shared" si="70"/>
        <v>#N/A</v>
      </c>
      <c r="CJ98" s="217" t="e">
        <f t="shared" si="70"/>
        <v>#N/A</v>
      </c>
      <c r="CL98" s="186"/>
      <c r="CM98" s="186"/>
      <c r="CN98" s="360"/>
      <c r="CO98" s="360"/>
      <c r="CP98" s="360"/>
      <c r="CQ98" s="360"/>
      <c r="CR98" s="360"/>
      <c r="CS98" s="360"/>
      <c r="DD98" s="80">
        <f t="shared" si="68"/>
        <v>2100</v>
      </c>
      <c r="DE98" s="298">
        <f t="shared" si="68"/>
        <v>-4.3499999999999996</v>
      </c>
      <c r="DF98" s="295">
        <f t="shared" si="68"/>
        <v>-4.3499999999999996</v>
      </c>
      <c r="DG98" s="295">
        <f t="shared" si="68"/>
        <v>-4.3499999999999996</v>
      </c>
      <c r="DH98" s="295">
        <f t="shared" si="56"/>
        <v>-4.3499999999999996</v>
      </c>
      <c r="DI98" s="295">
        <f t="shared" si="57"/>
        <v>-4.3499999999999996</v>
      </c>
      <c r="DJ98" s="211">
        <f t="shared" si="57"/>
        <v>-4.3499999999999996</v>
      </c>
      <c r="DK98" s="294">
        <f t="shared" si="69"/>
        <v>1.6828202150896504E-6</v>
      </c>
    </row>
    <row r="99" spans="81:115" x14ac:dyDescent="0.25">
      <c r="CL99" s="186"/>
      <c r="CM99" s="186"/>
      <c r="CN99" s="186"/>
      <c r="CO99" s="186"/>
      <c r="CP99" s="186"/>
      <c r="CQ99" s="186"/>
      <c r="CR99" s="186"/>
      <c r="CS99" s="186"/>
      <c r="DD99" s="327"/>
      <c r="DE99" s="329"/>
      <c r="DF99" s="329"/>
      <c r="DG99" s="329"/>
      <c r="DH99" s="329"/>
      <c r="DI99" s="329"/>
      <c r="DJ99" s="329"/>
    </row>
    <row r="100" spans="81:115" x14ac:dyDescent="0.25">
      <c r="CC100" s="271"/>
      <c r="CD100" s="190" t="str">
        <f t="shared" ref="CD100:CJ100" si="71">CD92</f>
        <v>RM-1 const</v>
      </c>
      <c r="CE100" s="190" t="str">
        <f t="shared" si="71"/>
        <v>RM-2 exp</v>
      </c>
      <c r="CF100" s="190" t="str">
        <f t="shared" si="71"/>
        <v>RM-3 lin</v>
      </c>
      <c r="CG100" s="190" t="str">
        <f t="shared" si="71"/>
        <v>RM-4 quadr</v>
      </c>
      <c r="CH100" s="190" t="str">
        <f t="shared" si="71"/>
        <v>RM-5 rad</v>
      </c>
      <c r="CI100" s="190" t="str">
        <f t="shared" ref="CI100" si="72">CI92</f>
        <v>RM-6 abs</v>
      </c>
      <c r="CJ100" s="190" t="str">
        <f t="shared" si="71"/>
        <v>SPM-R</v>
      </c>
      <c r="CL100" s="192"/>
      <c r="CM100" s="134"/>
      <c r="CN100" s="134"/>
      <c r="CO100" s="134"/>
      <c r="CP100" s="134"/>
      <c r="CQ100" s="134"/>
      <c r="CR100" s="134"/>
      <c r="CS100" s="134"/>
      <c r="DD100" s="327"/>
      <c r="DE100" s="329"/>
      <c r="DF100" s="329"/>
      <c r="DG100" s="329"/>
      <c r="DH100" s="329"/>
      <c r="DI100" s="329"/>
      <c r="DJ100" s="329"/>
    </row>
    <row r="101" spans="81:115" x14ac:dyDescent="0.25">
      <c r="CC101" s="195">
        <v>2030</v>
      </c>
      <c r="CD101" s="281">
        <f>graphs!BU$20/graphs!CD103-1</f>
        <v>-0.54518600961554986</v>
      </c>
      <c r="CE101" s="281">
        <f>graphs!BV$20/graphs!CE103-1</f>
        <v>-0.24875355585808656</v>
      </c>
      <c r="CF101" s="281">
        <f>graphs!BW$20/graphs!CF103-1</f>
        <v>-0.36008049637205741</v>
      </c>
      <c r="CG101" s="281">
        <f>graphs!BX$20/graphs!CG103-1</f>
        <v>-0.24987697642033591</v>
      </c>
      <c r="CH101" s="281">
        <f>graphs!BY$20/graphs!CH103-1</f>
        <v>-0.43737434412975951</v>
      </c>
      <c r="CI101" s="281">
        <f>graphs!BZ$20/graphs!CI103-1</f>
        <v>-0.33318177639753876</v>
      </c>
      <c r="CJ101" s="281">
        <f>graphs!CA$20/graphs!CJ103-1</f>
        <v>-0.71174757358417517</v>
      </c>
      <c r="CL101" s="186"/>
      <c r="CM101" s="357"/>
      <c r="CN101" s="357"/>
      <c r="CO101" s="357"/>
      <c r="CP101" s="357"/>
      <c r="CQ101" s="357"/>
      <c r="CR101" s="357"/>
      <c r="CS101" s="357"/>
      <c r="DD101" s="327"/>
      <c r="DE101" s="329"/>
      <c r="DF101" s="329"/>
      <c r="DG101" s="329"/>
      <c r="DH101" s="329"/>
      <c r="DI101" s="329"/>
      <c r="DJ101" s="329"/>
    </row>
    <row r="102" spans="81:115" x14ac:dyDescent="0.25">
      <c r="CC102" s="191">
        <v>2050</v>
      </c>
      <c r="CD102" s="282">
        <f>graphs!BU$40/graphs!CD103-1</f>
        <v>-0.91037950495624631</v>
      </c>
      <c r="CE102" s="282">
        <f>graphs!BV$40/graphs!CE103-1</f>
        <v>-1.113801270386455</v>
      </c>
      <c r="CF102" s="282">
        <f>graphs!BW$40/graphs!CF103-1</f>
        <v>-1.0061590474327231</v>
      </c>
      <c r="CG102" s="282">
        <f>graphs!BX$40/graphs!CG103-1</f>
        <v>-1.1115996552687</v>
      </c>
      <c r="CH102" s="282">
        <f>graphs!BY$40/graphs!CH103-1</f>
        <v>-0.959837915519691</v>
      </c>
      <c r="CI102" s="282">
        <f>graphs!BZ$40/graphs!CI103-1</f>
        <v>-1.113801270386455</v>
      </c>
      <c r="CJ102" s="282">
        <f>graphs!CA$40/graphs!CJ103-1</f>
        <v>-0.99532991499081036</v>
      </c>
      <c r="CL102" s="186"/>
      <c r="CM102" s="358"/>
      <c r="CN102" s="358"/>
      <c r="CO102" s="358"/>
      <c r="CP102" s="358"/>
      <c r="CQ102" s="358"/>
      <c r="CR102" s="358"/>
      <c r="CS102" s="358"/>
      <c r="DD102" s="327"/>
      <c r="DE102" s="329"/>
      <c r="DF102" s="329"/>
      <c r="DG102" s="329"/>
      <c r="DH102" s="329"/>
      <c r="DI102" s="329"/>
      <c r="DJ102" s="329"/>
    </row>
    <row r="103" spans="81:115" x14ac:dyDescent="0.25">
      <c r="CC103" s="141">
        <v>2010</v>
      </c>
      <c r="CD103" s="283">
        <f>'base data'!$D$18</f>
        <v>38.224529350401248</v>
      </c>
      <c r="CE103" s="283">
        <f>'base data'!$D$18</f>
        <v>38.224529350401248</v>
      </c>
      <c r="CF103" s="283">
        <f>'base data'!$D$18</f>
        <v>38.224529350401248</v>
      </c>
      <c r="CG103" s="283">
        <f>'base data'!$D$18</f>
        <v>38.224529350401248</v>
      </c>
      <c r="CH103" s="283">
        <f>'base data'!$D$18</f>
        <v>38.224529350401248</v>
      </c>
      <c r="CI103" s="283">
        <f>'base data'!$D$18</f>
        <v>38.224529350401248</v>
      </c>
      <c r="CJ103" s="283">
        <f>'base data'!$D$18</f>
        <v>38.224529350401248</v>
      </c>
      <c r="CL103" s="186"/>
      <c r="CM103" s="359"/>
      <c r="CN103" s="359"/>
      <c r="CO103" s="359"/>
      <c r="CP103" s="359"/>
      <c r="CQ103" s="359"/>
      <c r="CR103" s="359"/>
      <c r="CS103" s="359"/>
      <c r="DD103" s="327"/>
      <c r="DE103" s="329"/>
      <c r="DF103" s="329"/>
      <c r="DG103" s="329"/>
      <c r="DH103" s="329"/>
      <c r="DI103" s="329"/>
      <c r="DJ103" s="329"/>
    </row>
    <row r="104" spans="81:115" x14ac:dyDescent="0.25">
      <c r="DD104" s="327"/>
      <c r="DE104" s="329"/>
      <c r="DF104" s="329"/>
      <c r="DG104" s="329"/>
      <c r="DH104" s="329"/>
      <c r="DI104" s="329"/>
      <c r="DJ104" s="329"/>
    </row>
    <row r="105" spans="81:115" x14ac:dyDescent="0.25">
      <c r="DD105" s="327"/>
      <c r="DE105" s="329"/>
      <c r="DF105" s="329"/>
      <c r="DG105" s="329"/>
      <c r="DH105" s="329"/>
      <c r="DI105" s="329"/>
      <c r="DJ105" s="329"/>
    </row>
    <row r="106" spans="81:115" x14ac:dyDescent="0.25">
      <c r="DD106" s="327"/>
      <c r="DE106" s="329"/>
      <c r="DF106" s="329"/>
      <c r="DG106" s="329"/>
      <c r="DH106" s="329"/>
      <c r="DI106" s="329"/>
      <c r="DJ106" s="329"/>
    </row>
    <row r="107" spans="81:115" x14ac:dyDescent="0.25">
      <c r="DD107" s="327"/>
      <c r="DE107" s="329"/>
      <c r="DF107" s="329"/>
      <c r="DG107" s="329"/>
      <c r="DH107" s="329"/>
      <c r="DI107" s="329"/>
      <c r="DJ107" s="329"/>
    </row>
    <row r="122" spans="81:97" x14ac:dyDescent="0.25">
      <c r="CC122" s="192"/>
      <c r="CD122" s="134"/>
      <c r="CE122" s="134"/>
      <c r="CF122" s="134"/>
      <c r="CG122" s="134"/>
      <c r="CH122" s="134"/>
      <c r="CI122" s="134"/>
      <c r="CJ122" s="134"/>
      <c r="CL122" s="192"/>
      <c r="CM122" s="134"/>
      <c r="CN122" s="134"/>
      <c r="CO122" s="134"/>
      <c r="CP122" s="134"/>
      <c r="CQ122" s="134"/>
      <c r="CR122" s="134"/>
      <c r="CS122" s="134"/>
    </row>
    <row r="123" spans="81:97" x14ac:dyDescent="0.25">
      <c r="CC123" s="186"/>
      <c r="CD123" s="193"/>
      <c r="CE123" s="193"/>
      <c r="CF123" s="193"/>
      <c r="CG123" s="193"/>
      <c r="CH123" s="193"/>
      <c r="CI123" s="193"/>
      <c r="CJ123" s="193"/>
      <c r="CL123" s="186"/>
      <c r="CM123" s="193"/>
      <c r="CN123" s="193"/>
      <c r="CO123" s="193"/>
      <c r="CP123" s="193"/>
      <c r="CQ123" s="193"/>
      <c r="CR123" s="193"/>
      <c r="CS123" s="193"/>
    </row>
    <row r="124" spans="81:97" x14ac:dyDescent="0.25">
      <c r="CC124" s="186"/>
      <c r="CD124" s="194"/>
      <c r="CE124" s="194"/>
      <c r="CF124" s="194"/>
      <c r="CG124" s="194"/>
      <c r="CH124" s="194"/>
      <c r="CI124" s="194"/>
      <c r="CJ124" s="194"/>
      <c r="CL124" s="186"/>
      <c r="CM124" s="194"/>
      <c r="CN124" s="194"/>
      <c r="CO124" s="194"/>
      <c r="CP124" s="194"/>
      <c r="CQ124" s="194"/>
      <c r="CR124" s="194"/>
      <c r="CS124" s="194"/>
    </row>
  </sheetData>
  <customSheetViews>
    <customSheetView guid="{314CBECC-1AE9-4578-9B87-473AB0B3A698}" fitToPage="1" hiddenColumns="1" topLeftCell="A4">
      <pageMargins left="0.74803149606299213" right="0.74803149606299213" top="0.98425196850393704" bottom="0.98425196850393704" header="0.51181102362204722" footer="0.51181102362204722"/>
      <printOptions horizontalCentered="1" verticalCentered="1"/>
      <pageSetup paperSize="9" firstPageNumber="0" orientation="landscape" r:id="rId1"/>
      <headerFooter alignWithMargins="0">
        <oddHeader>&amp;LRegensburger Modell&amp;RAnlage  1.2.2</oddHeader>
        <oddFooter>&amp;LSargl/Wolfsteiner/Wittmann&amp;R&amp;A</oddFooter>
      </headerFooter>
    </customSheetView>
    <customSheetView guid="{7B9C85BD-D1BB-4F3C-98F5-6414F32599ED}" fitToPage="1" hiddenColumns="1" topLeftCell="A4">
      <pageMargins left="0.74803149606299213" right="0.74803149606299213" top="0.98425196850393704" bottom="0.98425196850393704" header="0.51181102362204722" footer="0.51181102362204722"/>
      <printOptions horizontalCentered="1" verticalCentered="1"/>
      <pageSetup paperSize="9" firstPageNumber="0" orientation="landscape" r:id="rId2"/>
      <headerFooter alignWithMargins="0">
        <oddHeader>&amp;LRegensburger Modell&amp;RAnlage  1.2.2</oddHeader>
        <oddFooter>&amp;LSargl/Wolfsteiner/Wittmann&amp;R&amp;A</oddFooter>
      </headerFooter>
    </customSheetView>
  </customSheetViews>
  <mergeCells count="11">
    <mergeCell ref="B42:C42"/>
    <mergeCell ref="B37:C37"/>
    <mergeCell ref="B38:C38"/>
    <mergeCell ref="B39:C39"/>
    <mergeCell ref="B40:C40"/>
    <mergeCell ref="B41:C41"/>
    <mergeCell ref="F4:I4"/>
    <mergeCell ref="F5:I5"/>
    <mergeCell ref="T5:Z5"/>
    <mergeCell ref="CD7:CJ7"/>
    <mergeCell ref="CM7:CS7"/>
  </mergeCells>
  <phoneticPr fontId="9" type="noConversion"/>
  <conditionalFormatting sqref="C45:E45 P45:S45 F44:O44">
    <cfRule type="cellIs" dxfId="51" priority="17" stopIfTrue="1" operator="equal">
      <formula>"nein"</formula>
    </cfRule>
    <cfRule type="cellIs" dxfId="50" priority="18" stopIfTrue="1" operator="equal">
      <formula>"ja"</formula>
    </cfRule>
  </conditionalFormatting>
  <conditionalFormatting sqref="CD10:CJ90">
    <cfRule type="cellIs" dxfId="49" priority="16" operator="equal">
      <formula>"#NV"</formula>
    </cfRule>
  </conditionalFormatting>
  <conditionalFormatting sqref="J4:P4">
    <cfRule type="cellIs" dxfId="48" priority="5" stopIfTrue="1" operator="equal">
      <formula>"no"</formula>
    </cfRule>
    <cfRule type="cellIs" dxfId="47" priority="6" stopIfTrue="1" operator="equal">
      <formula>"yes"</formula>
    </cfRule>
  </conditionalFormatting>
  <conditionalFormatting sqref="CM10:CS90">
    <cfRule type="cellIs" dxfId="46" priority="1" operator="equal">
      <formula>"#NV"</formula>
    </cfRule>
  </conditionalFormatting>
  <printOptions horizontalCentered="1" verticalCentered="1"/>
  <pageMargins left="0.74803149606299213" right="0.74803149606299213" top="0.98425196850393704" bottom="0.98425196850393704" header="0.51181102362204722" footer="0.51181102362204722"/>
  <pageSetup paperSize="9" firstPageNumber="0" orientation="landscape" r:id="rId3"/>
  <headerFooter alignWithMargins="0">
    <oddHeader>&amp;LRegensburger Modell&amp;RAnlage  1.2.2</oddHeader>
    <oddFooter>&amp;LSargl/Wolfsteiner/Wittmann&amp;R&amp;A</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tabColor rgb="FFFFC000"/>
  </sheetPr>
  <dimension ref="A1:X52"/>
  <sheetViews>
    <sheetView zoomScaleNormal="100" workbookViewId="0">
      <selection activeCell="Q18" sqref="Q18"/>
    </sheetView>
  </sheetViews>
  <sheetFormatPr baseColWidth="10" defaultColWidth="10.85546875" defaultRowHeight="15" x14ac:dyDescent="0.25"/>
  <cols>
    <col min="1" max="1" width="33.42578125" style="56" customWidth="1"/>
    <col min="2" max="2" width="5.28515625" style="56" customWidth="1"/>
    <col min="3" max="3" width="13.140625" style="56" customWidth="1"/>
    <col min="4" max="4" width="14.28515625" style="56" customWidth="1"/>
    <col min="5" max="5" width="13.42578125" style="56" customWidth="1"/>
    <col min="6" max="8" width="16" style="56" customWidth="1"/>
    <col min="9" max="9" width="11" style="56" customWidth="1"/>
    <col min="10" max="10" width="9.42578125" style="56" bestFit="1" customWidth="1"/>
    <col min="11" max="11" width="7.5703125" style="56" customWidth="1"/>
    <col min="12" max="12" width="7.140625" style="56" customWidth="1"/>
    <col min="13" max="13" width="9.28515625" style="56" customWidth="1"/>
    <col min="14" max="14" width="11.140625" style="56" customWidth="1"/>
    <col min="15" max="15" width="9.85546875" style="56" customWidth="1"/>
    <col min="16" max="16" width="10.7109375" style="56" customWidth="1"/>
    <col min="17" max="17" width="10.85546875" style="56"/>
    <col min="18" max="20" width="9.7109375" style="56" bestFit="1" customWidth="1"/>
    <col min="21" max="25" width="10.85546875" style="56"/>
    <col min="26" max="26" width="8.85546875" style="56" customWidth="1"/>
    <col min="27" max="16384" width="10.85546875" style="56"/>
  </cols>
  <sheetData>
    <row r="1" spans="1:24" s="69" customFormat="1" ht="24.6" customHeight="1" x14ac:dyDescent="0.25">
      <c r="A1" s="375" t="s">
        <v>75</v>
      </c>
      <c r="K1" s="218"/>
      <c r="L1" s="218"/>
      <c r="M1" s="218"/>
      <c r="N1" s="218"/>
      <c r="O1" s="216"/>
    </row>
    <row r="2" spans="1:24" x14ac:dyDescent="0.25">
      <c r="E2" s="376" t="s">
        <v>31</v>
      </c>
      <c r="F2" s="377" t="s">
        <v>32</v>
      </c>
      <c r="G2" s="429"/>
      <c r="H2" s="430"/>
      <c r="I2" s="430"/>
      <c r="J2" s="448"/>
    </row>
    <row r="3" spans="1:24" s="374" customFormat="1" ht="14.45" customHeight="1" x14ac:dyDescent="0.25">
      <c r="A3" s="382" t="s">
        <v>24</v>
      </c>
      <c r="B3" s="891" t="s">
        <v>33</v>
      </c>
      <c r="C3" s="892"/>
      <c r="D3" s="893"/>
      <c r="E3" s="900" t="s">
        <v>36</v>
      </c>
      <c r="F3" s="901"/>
      <c r="G3" s="429"/>
      <c r="H3" s="430"/>
      <c r="I3" s="430"/>
      <c r="M3" s="276"/>
      <c r="N3" s="276"/>
      <c r="O3" s="276"/>
      <c r="P3" s="276"/>
      <c r="Q3" s="276"/>
      <c r="R3" s="276"/>
      <c r="S3" s="276"/>
      <c r="T3" s="276"/>
      <c r="U3" s="276"/>
    </row>
    <row r="4" spans="1:24" ht="9" customHeight="1" x14ac:dyDescent="0.25">
      <c r="C4" s="912"/>
      <c r="D4" s="912"/>
      <c r="E4" s="912"/>
      <c r="F4" s="912"/>
      <c r="G4" s="428"/>
      <c r="H4" s="428"/>
      <c r="I4" s="428"/>
    </row>
    <row r="5" spans="1:24" x14ac:dyDescent="0.25">
      <c r="C5" s="425" t="str">
        <f>scenarios!$E$2</f>
        <v>RM-1 const</v>
      </c>
      <c r="D5" s="447" t="str">
        <f>scenarios!$M$2</f>
        <v>RM-2 exp</v>
      </c>
      <c r="E5" s="426" t="str">
        <f>scenarios!V2</f>
        <v>RM-3 lin</v>
      </c>
      <c r="F5" s="447" t="str">
        <f>scenarios!$AE$2</f>
        <v>RM-4 quadr</v>
      </c>
      <c r="G5" s="559" t="str">
        <f>scenarios!AN2</f>
        <v>RM-5 rad</v>
      </c>
      <c r="H5" s="687" t="str">
        <f>scenarios!AW2</f>
        <v>RM-6 abs</v>
      </c>
      <c r="I5" s="427" t="str">
        <f>scenarios!BF2</f>
        <v>SPM-R</v>
      </c>
      <c r="J5" s="930" t="s">
        <v>384</v>
      </c>
      <c r="K5" s="55"/>
      <c r="L5" s="55"/>
      <c r="M5" s="139"/>
      <c r="O5" s="55"/>
      <c r="P5" s="55"/>
      <c r="Q5" s="55"/>
    </row>
    <row r="6" spans="1:24" s="58" customFormat="1" ht="15.6" customHeight="1" x14ac:dyDescent="0.25">
      <c r="A6" s="57" t="s">
        <v>37</v>
      </c>
      <c r="B6" s="57"/>
      <c r="C6" s="365" t="s">
        <v>96</v>
      </c>
      <c r="D6" s="370" t="s">
        <v>97</v>
      </c>
      <c r="E6" s="366" t="s">
        <v>98</v>
      </c>
      <c r="F6" s="367" t="s">
        <v>99</v>
      </c>
      <c r="G6" s="563" t="s">
        <v>173</v>
      </c>
      <c r="H6" s="692" t="s">
        <v>335</v>
      </c>
      <c r="I6" s="562" t="s">
        <v>109</v>
      </c>
      <c r="J6" s="931"/>
      <c r="K6" s="55"/>
      <c r="L6" s="55"/>
      <c r="M6" s="149"/>
      <c r="O6" s="274"/>
      <c r="P6" s="274"/>
      <c r="Q6" s="274"/>
      <c r="R6" s="204"/>
      <c r="S6" s="204"/>
      <c r="T6" s="204"/>
    </row>
    <row r="7" spans="1:24" s="60" customFormat="1" ht="16.149999999999999" customHeight="1" x14ac:dyDescent="0.25">
      <c r="A7" s="59"/>
      <c r="B7" s="184"/>
      <c r="C7" s="62"/>
      <c r="D7" s="913" t="s">
        <v>34</v>
      </c>
      <c r="E7" s="922" t="s">
        <v>35</v>
      </c>
      <c r="F7" s="923"/>
      <c r="G7" s="924"/>
      <c r="H7" s="688"/>
      <c r="I7" s="913" t="s">
        <v>157</v>
      </c>
      <c r="J7" s="931"/>
      <c r="K7" s="149"/>
      <c r="L7" s="203"/>
      <c r="M7" s="203"/>
      <c r="N7" s="203"/>
      <c r="O7" s="274"/>
      <c r="P7" s="274"/>
      <c r="Q7" s="274"/>
      <c r="W7" s="289"/>
      <c r="X7" s="289"/>
    </row>
    <row r="8" spans="1:24" ht="18.600000000000001" customHeight="1" x14ac:dyDescent="0.25">
      <c r="A8" s="145"/>
      <c r="B8" s="183"/>
      <c r="C8" s="148"/>
      <c r="D8" s="914"/>
      <c r="E8" s="925"/>
      <c r="F8" s="926"/>
      <c r="G8" s="927"/>
      <c r="H8" s="680"/>
      <c r="I8" s="914"/>
      <c r="J8" s="914"/>
      <c r="K8" s="203"/>
      <c r="L8" s="203"/>
      <c r="M8" s="203"/>
      <c r="N8" s="203"/>
      <c r="O8" s="274"/>
      <c r="P8" s="274"/>
      <c r="Q8" s="274"/>
      <c r="R8" s="275"/>
      <c r="S8" s="275"/>
      <c r="T8" s="275"/>
      <c r="U8" s="275"/>
      <c r="W8" s="289"/>
      <c r="X8" s="289"/>
    </row>
    <row r="9" spans="1:24" ht="15.6" customHeight="1" x14ac:dyDescent="0.25">
      <c r="A9" s="144" t="s">
        <v>110</v>
      </c>
      <c r="B9" s="116"/>
      <c r="C9" s="556">
        <f>C12</f>
        <v>-7.7676569107411844E-2</v>
      </c>
      <c r="D9" s="697">
        <v>-1.6E-2</v>
      </c>
      <c r="E9" s="698">
        <v>-1.6E-2</v>
      </c>
      <c r="F9" s="699">
        <v>-1.6E-2</v>
      </c>
      <c r="G9" s="700">
        <v>-1.6E-2</v>
      </c>
      <c r="H9" s="815">
        <f>scenarios!AY16</f>
        <v>-3.6144907258855219E-2</v>
      </c>
      <c r="I9" s="434"/>
      <c r="J9" s="813">
        <f>AVERAGE('base data'!J16:L16)</f>
        <v>5.0562691475311006E-3</v>
      </c>
      <c r="K9" s="203"/>
      <c r="L9" s="203"/>
      <c r="M9" s="203"/>
      <c r="N9" s="203"/>
      <c r="O9" s="274"/>
      <c r="P9" s="274"/>
      <c r="Q9" s="274"/>
      <c r="R9" s="275"/>
      <c r="S9" s="275"/>
      <c r="T9" s="275"/>
      <c r="U9" s="275"/>
      <c r="W9" s="289"/>
      <c r="X9" s="289"/>
    </row>
    <row r="10" spans="1:24" s="319" customFormat="1" ht="16.899999999999999" customHeight="1" x14ac:dyDescent="0.2">
      <c r="A10" s="915" t="s">
        <v>100</v>
      </c>
      <c r="B10" s="916"/>
      <c r="C10" s="693">
        <v>-0.01</v>
      </c>
      <c r="D10" s="694">
        <v>0.01</v>
      </c>
      <c r="E10" s="694">
        <v>-0.01</v>
      </c>
      <c r="F10" s="695">
        <v>0</v>
      </c>
      <c r="G10" s="695">
        <v>0</v>
      </c>
      <c r="H10" s="696">
        <v>-3</v>
      </c>
      <c r="I10" s="512"/>
      <c r="K10" s="320"/>
      <c r="L10" s="320"/>
      <c r="M10" s="320"/>
      <c r="N10" s="320"/>
      <c r="O10" s="321"/>
      <c r="P10" s="321"/>
      <c r="Q10" s="321"/>
      <c r="R10" s="322"/>
      <c r="S10" s="322"/>
      <c r="T10" s="322"/>
      <c r="U10" s="322"/>
      <c r="W10" s="322"/>
      <c r="X10" s="322"/>
    </row>
    <row r="11" spans="1:24" x14ac:dyDescent="0.25">
      <c r="A11" s="917"/>
      <c r="B11" s="918"/>
      <c r="C11" s="372" t="s">
        <v>102</v>
      </c>
      <c r="D11" s="373" t="s">
        <v>87</v>
      </c>
      <c r="E11" s="373" t="s">
        <v>12</v>
      </c>
      <c r="F11" s="373" t="s">
        <v>1</v>
      </c>
      <c r="G11" s="373" t="s">
        <v>1</v>
      </c>
      <c r="H11" s="373" t="s">
        <v>8</v>
      </c>
      <c r="I11" s="431"/>
      <c r="K11" s="203"/>
      <c r="L11" s="203"/>
      <c r="M11" s="203"/>
      <c r="N11" s="203"/>
      <c r="O11" s="273"/>
      <c r="P11" s="273"/>
      <c r="Q11" s="273"/>
    </row>
    <row r="12" spans="1:24" ht="14.1" customHeight="1" x14ac:dyDescent="0.25">
      <c r="A12" s="908" t="s">
        <v>67</v>
      </c>
      <c r="B12" s="909"/>
      <c r="C12" s="187">
        <v>-7.7676569107411844E-2</v>
      </c>
      <c r="D12" s="187">
        <v>0.14531195227010096</v>
      </c>
      <c r="E12" s="323">
        <v>-6.4754234438373619E-3</v>
      </c>
      <c r="F12" s="150">
        <v>-8.2446864864690785E+303</v>
      </c>
      <c r="G12" s="560"/>
      <c r="H12" s="689"/>
      <c r="I12" s="432"/>
      <c r="K12" s="203"/>
      <c r="L12" s="203"/>
      <c r="M12" s="203"/>
      <c r="N12" s="203"/>
      <c r="R12" s="95"/>
    </row>
    <row r="13" spans="1:24" x14ac:dyDescent="0.25">
      <c r="A13" s="910"/>
      <c r="B13" s="911"/>
      <c r="C13" s="152"/>
      <c r="D13" s="151">
        <v>-3.7778706683311344E+16</v>
      </c>
      <c r="E13" s="151"/>
      <c r="F13" s="213">
        <v>-5.3130963051560294E-4</v>
      </c>
      <c r="G13" s="213">
        <v>-2.2606036944277836E-2</v>
      </c>
      <c r="H13" s="814">
        <v>-1.5293518698504489</v>
      </c>
      <c r="I13" s="433"/>
      <c r="K13" s="203"/>
      <c r="L13" s="203"/>
      <c r="M13" s="203"/>
      <c r="N13" s="203"/>
      <c r="O13" s="63"/>
      <c r="P13" s="63"/>
      <c r="Q13" s="63"/>
      <c r="R13" s="147"/>
      <c r="S13" s="899"/>
      <c r="T13" s="899"/>
      <c r="U13" s="219"/>
    </row>
    <row r="14" spans="1:24" x14ac:dyDescent="0.25">
      <c r="A14" s="58"/>
      <c r="C14" s="919" t="s">
        <v>174</v>
      </c>
      <c r="D14" s="920"/>
      <c r="E14" s="920"/>
      <c r="F14" s="920"/>
      <c r="G14" s="920"/>
      <c r="H14" s="921"/>
      <c r="I14" s="450">
        <v>-5.0000000000000001E-3</v>
      </c>
      <c r="K14" s="203"/>
      <c r="L14" s="203"/>
      <c r="M14" s="203"/>
      <c r="N14" s="203"/>
    </row>
    <row r="15" spans="1:24" ht="14.1" customHeight="1" x14ac:dyDescent="0.25">
      <c r="A15" s="142" t="s">
        <v>38</v>
      </c>
      <c r="B15" s="68" t="s">
        <v>11</v>
      </c>
      <c r="C15" s="368">
        <f>scenarios!K6</f>
        <v>336</v>
      </c>
      <c r="D15" s="368">
        <f>scenarios!$T$6</f>
        <v>336</v>
      </c>
      <c r="E15" s="368">
        <f>scenarios!$AC$6</f>
        <v>336</v>
      </c>
      <c r="F15" s="369">
        <f>scenarios!$AL$6</f>
        <v>336</v>
      </c>
      <c r="G15" s="561">
        <f>scenarios!AU6</f>
        <v>336</v>
      </c>
      <c r="H15" s="690">
        <f>scenarios!BD6</f>
        <v>336</v>
      </c>
      <c r="I15" s="368">
        <f>ROUND(scenarios!BF97,0)</f>
        <v>336</v>
      </c>
      <c r="K15" s="203"/>
      <c r="L15" s="203"/>
      <c r="M15" s="203"/>
      <c r="N15" s="203"/>
    </row>
    <row r="16" spans="1:24" x14ac:dyDescent="0.25">
      <c r="A16" s="146" t="s">
        <v>70</v>
      </c>
      <c r="B16" s="119" t="s">
        <v>11</v>
      </c>
      <c r="C16" s="573">
        <f>ROUND('base data'!$L$24,0)</f>
        <v>336</v>
      </c>
      <c r="D16" s="574">
        <f>ROUND('base data'!$L$24,0)</f>
        <v>336</v>
      </c>
      <c r="E16" s="574">
        <f>ROUND('base data'!$L$24,0)</f>
        <v>336</v>
      </c>
      <c r="F16" s="573">
        <f>ROUND('base data'!$L$24,0)</f>
        <v>336</v>
      </c>
      <c r="G16" s="573">
        <f>ROUND('base data'!$L$24,0)</f>
        <v>336</v>
      </c>
      <c r="H16" s="573">
        <f>ROUND('base data'!$L$24,0)</f>
        <v>336</v>
      </c>
      <c r="I16" s="575">
        <f>ROUND('base data'!$L$24,0)</f>
        <v>336</v>
      </c>
      <c r="K16" s="203"/>
      <c r="L16" s="203"/>
      <c r="M16" s="203"/>
      <c r="N16" s="203"/>
    </row>
    <row r="17" spans="1:16" s="95" customFormat="1" ht="4.9000000000000004" customHeight="1" x14ac:dyDescent="0.25">
      <c r="A17" s="137"/>
      <c r="B17" s="118"/>
      <c r="C17" s="96"/>
      <c r="D17" s="96"/>
      <c r="E17" s="96"/>
      <c r="F17" s="96"/>
      <c r="G17" s="96"/>
      <c r="H17" s="96"/>
      <c r="I17" s="96"/>
      <c r="K17" s="203"/>
      <c r="L17" s="203"/>
      <c r="M17" s="203"/>
      <c r="N17" s="203"/>
    </row>
    <row r="18" spans="1:16" ht="16.5" x14ac:dyDescent="0.25">
      <c r="A18" s="142" t="s">
        <v>95</v>
      </c>
      <c r="B18" s="68" t="s">
        <v>11</v>
      </c>
      <c r="C18" s="782">
        <f>scenarios!K8</f>
        <v>-4.3499999999999996</v>
      </c>
      <c r="D18" s="782">
        <f>scenarios!T8</f>
        <v>-4.3499999999999996</v>
      </c>
      <c r="E18" s="782">
        <f>scenarios!V96</f>
        <v>-4.3499999999999996</v>
      </c>
      <c r="F18" s="782">
        <f>scenarios!$AL$8</f>
        <v>-4.3499999999999996</v>
      </c>
      <c r="G18" s="782">
        <f>scenarios!AU8</f>
        <v>-4.3499999999999996</v>
      </c>
      <c r="H18" s="783">
        <f>scenarios!AW96</f>
        <v>-4.3499999999999996</v>
      </c>
      <c r="I18" s="61">
        <f>scenarios!BF96</f>
        <v>1.6828202150896504E-6</v>
      </c>
      <c r="K18" s="203"/>
      <c r="L18" s="203"/>
      <c r="M18" s="203"/>
      <c r="N18" s="203"/>
    </row>
    <row r="19" spans="1:16" s="58" customFormat="1" ht="17.25" x14ac:dyDescent="0.25">
      <c r="A19" s="70" t="s">
        <v>92</v>
      </c>
      <c r="B19" s="67" t="s">
        <v>11</v>
      </c>
      <c r="C19" s="784">
        <f>ROUND('base data'!$N$30,5)</f>
        <v>-4.3499999999999996</v>
      </c>
      <c r="D19" s="784">
        <f>ROUND('base data'!$N$30,2)</f>
        <v>-4.3499999999999996</v>
      </c>
      <c r="E19" s="784">
        <f>ROUND('base data'!$N$30,2)</f>
        <v>-4.3499999999999996</v>
      </c>
      <c r="F19" s="784">
        <f>ROUND('base data'!$N$30,2)</f>
        <v>-4.3499999999999996</v>
      </c>
      <c r="G19" s="784">
        <f>ROUND('base data'!$N$30,2)</f>
        <v>-4.3499999999999996</v>
      </c>
      <c r="H19" s="784">
        <f>ROUND('base data'!$N$30,2)</f>
        <v>-4.3499999999999996</v>
      </c>
      <c r="I19" s="457" t="s">
        <v>115</v>
      </c>
      <c r="K19" s="203"/>
      <c r="L19" s="203"/>
      <c r="M19" s="203"/>
      <c r="N19" s="203"/>
    </row>
    <row r="20" spans="1:16" ht="17.45" customHeight="1" x14ac:dyDescent="0.25">
      <c r="C20" s="107"/>
      <c r="K20" s="203"/>
      <c r="L20" s="203"/>
      <c r="M20" s="203"/>
      <c r="N20" s="203"/>
    </row>
    <row r="21" spans="1:16" s="58" customFormat="1" ht="15.6" customHeight="1" x14ac:dyDescent="0.25">
      <c r="A21" s="180" t="s">
        <v>39</v>
      </c>
      <c r="B21" s="137"/>
      <c r="C21" s="363" t="str">
        <f>scenarios!$E$2</f>
        <v>RM-1 const</v>
      </c>
      <c r="D21" s="371" t="str">
        <f>scenarios!$M$2</f>
        <v>RM-2 exp</v>
      </c>
      <c r="E21" s="364" t="str">
        <f>scenarios!V2</f>
        <v>RM-3 lin</v>
      </c>
      <c r="F21" s="393" t="str">
        <f>scenarios!$AE$2</f>
        <v>RM-4 quadr</v>
      </c>
      <c r="G21" s="564" t="str">
        <f>G5</f>
        <v>RM-5 rad</v>
      </c>
      <c r="H21" s="692" t="str">
        <f>H5</f>
        <v>RM-6 abs</v>
      </c>
      <c r="I21" s="565" t="str">
        <f>I5</f>
        <v>SPM-R</v>
      </c>
      <c r="K21" s="203"/>
      <c r="L21" s="203"/>
      <c r="M21" s="203"/>
      <c r="N21" s="203"/>
    </row>
    <row r="22" spans="1:16" ht="15.6" customHeight="1" x14ac:dyDescent="0.25">
      <c r="A22" s="142" t="s">
        <v>104</v>
      </c>
      <c r="B22" s="140"/>
      <c r="C22" s="389">
        <f>IF(ISNA(INDEX(scenarios!$C$16:$C$96,MATCH('goal seek'!C$19,scenarios!$E$16:$E$96,0))),"-",INDEX(scenarios!$C$16:$C$96,MATCH('goal seek'!C$19,scenarios!$E$16:$E$96,0)))</f>
        <v>2075</v>
      </c>
      <c r="D22" s="391">
        <f>IF(ISNA(INDEX(scenarios!$C$16:$C$96,MATCH('goal seek'!D$19,scenarios!$M$16:$M$96,0))),"-",INDEX(scenarios!$C$16:$C$96,MATCH('goal seek'!D$19,scenarios!$M$16:$M$96,0)))</f>
        <v>2049</v>
      </c>
      <c r="E22" s="389">
        <f>IF(ISNA(INDEX(scenarios!$C$16:$C$96,MATCH('goal seek'!E$19,scenarios!$V$16:$V$96,0))),"-",INDEX(scenarios!$C$16:$C$96,MATCH('goal seek'!E$19,scenarios!$V$16:$V$96,0)))</f>
        <v>2057</v>
      </c>
      <c r="F22" s="389">
        <f>IF(ISNA(INDEX(scenarios!$C$16:$C$96,MATCH('goal seek'!F$19,scenarios!$AE$16:$AE$96,0))),"-",INDEX(scenarios!$C$16:$C$96,MATCH('goal seek'!F$19,scenarios!$AE$16:$AE$96,0)))</f>
        <v>2051</v>
      </c>
      <c r="G22" s="389">
        <f>IF(ISNA(INDEX(scenarios!$C$16:$C$96,MATCH('goal seek'!G$19,scenarios!$AN$16:$AN$96,0))),"-",INDEX(scenarios!$C$16:$C$96,MATCH('goal seek'!G$19,scenarios!$AN$16:$AN$96,0)))</f>
        <v>2064</v>
      </c>
      <c r="H22" s="389">
        <f>IF(ISNA(INDEX(scenarios!$C$16:$C$96,MATCH('goal seek'!H$19,scenarios!$AW$16:$AW$96,0))),"-",INDEX(scenarios!$C$16:$C$96,MATCH('goal seek'!H$19,scenarios!$AW$16:$AW$96,0)))</f>
        <v>2050</v>
      </c>
      <c r="I22" s="389" t="s">
        <v>115</v>
      </c>
      <c r="K22" s="203"/>
      <c r="L22" s="203"/>
      <c r="M22" s="203"/>
      <c r="N22" s="203"/>
    </row>
    <row r="23" spans="1:16" ht="16.5" x14ac:dyDescent="0.25">
      <c r="A23" s="143" t="s">
        <v>105</v>
      </c>
      <c r="B23" s="63"/>
      <c r="C23" s="362">
        <f>MIN(graphs!CM10:CM90)</f>
        <v>-7.7676569107411941E-2</v>
      </c>
      <c r="D23" s="392">
        <f>MIN(graphs!CN10:CN90)</f>
        <v>-0.36254942508476518</v>
      </c>
      <c r="E23" s="361">
        <f>MIN(graphs!CO10:CO90)</f>
        <v>-0.17788558609593408</v>
      </c>
      <c r="F23" s="361">
        <f>MIN(graphs!CP10:CP90)</f>
        <v>-0.29706279454275397</v>
      </c>
      <c r="G23" s="361">
        <f>MIN(graphs!CQ10:CQ90)</f>
        <v>-0.1323716976658863</v>
      </c>
      <c r="H23" s="361">
        <f>MIN(graphs!CR10:CR90)</f>
        <v>-0.37503541093147208</v>
      </c>
      <c r="I23" s="361">
        <f>MIN(graphs!CS10:CS90)</f>
        <v>-0.18279463074838287</v>
      </c>
      <c r="K23" s="203"/>
      <c r="L23" s="203"/>
      <c r="M23" s="203"/>
      <c r="N23" s="203"/>
    </row>
    <row r="24" spans="1:16" ht="16.5" x14ac:dyDescent="0.25">
      <c r="A24" s="384" t="s">
        <v>40</v>
      </c>
      <c r="B24" s="63"/>
      <c r="C24" s="385">
        <f>INDEX(graphs!$CL$10:$CL$90,MATCH(C23,graphs!CM10:CM90,0))</f>
        <v>2020</v>
      </c>
      <c r="D24" s="383">
        <f>INDEX(graphs!$CL$10:$CL$90,MATCH(D23,graphs!CN10:CN90,0))</f>
        <v>2043</v>
      </c>
      <c r="E24" s="386">
        <f>INDEX(graphs!$CL$10:$CL$90,MATCH(E23,graphs!CO10:CO90,0))</f>
        <v>2045</v>
      </c>
      <c r="F24" s="386">
        <f>INDEX(graphs!$CL$10:$CL$90,MATCH(F23,graphs!CP10:CP90,0))</f>
        <v>2043</v>
      </c>
      <c r="G24" s="386">
        <f>INDEX(graphs!$CL$10:$CL$90,MATCH(G23,graphs!CQ10:CQ90,0))</f>
        <v>2047</v>
      </c>
      <c r="H24" s="386">
        <f>INDEX(graphs!$CL$10:$CL$90,MATCH(H23,graphs!CR10:CR90,0))</f>
        <v>2045</v>
      </c>
      <c r="I24" s="386" t="s">
        <v>115</v>
      </c>
    </row>
    <row r="25" spans="1:16" x14ac:dyDescent="0.25">
      <c r="A25" s="387" t="s">
        <v>166</v>
      </c>
      <c r="B25" s="388" t="s">
        <v>11</v>
      </c>
      <c r="C25" s="390">
        <f>graphs!J5</f>
        <v>142.75575901885998</v>
      </c>
      <c r="D25" s="390">
        <f>graphs!K5</f>
        <v>234.77034012312299</v>
      </c>
      <c r="E25" s="390">
        <f>graphs!L5</f>
        <v>206.36126585877378</v>
      </c>
      <c r="F25" s="390">
        <f>graphs!M5</f>
        <v>230.46271593687152</v>
      </c>
      <c r="G25" s="390">
        <f>graphs!N5</f>
        <v>183.03514003758721</v>
      </c>
      <c r="H25" s="390">
        <f>graphs!O5</f>
        <v>227.96856269349993</v>
      </c>
      <c r="I25" s="390" t="s">
        <v>115</v>
      </c>
    </row>
    <row r="26" spans="1:16" x14ac:dyDescent="0.25">
      <c r="A26" s="567" t="s">
        <v>175</v>
      </c>
      <c r="B26" s="568"/>
      <c r="C26" s="569">
        <f>graphs!CD101</f>
        <v>-0.54518600961554986</v>
      </c>
      <c r="D26" s="569">
        <f>graphs!CE101</f>
        <v>-0.24875355585808656</v>
      </c>
      <c r="E26" s="569">
        <f>graphs!CF101</f>
        <v>-0.36008049637205741</v>
      </c>
      <c r="F26" s="569">
        <f>graphs!CG101</f>
        <v>-0.24987697642033591</v>
      </c>
      <c r="G26" s="789">
        <f>graphs!CH101</f>
        <v>-0.43737434412975951</v>
      </c>
      <c r="H26" s="576">
        <f>graphs!CI101</f>
        <v>-0.33318177639753876</v>
      </c>
      <c r="I26" s="569">
        <f>graphs!CJ101</f>
        <v>-0.71174757358417517</v>
      </c>
    </row>
    <row r="27" spans="1:16" x14ac:dyDescent="0.25">
      <c r="A27" s="212"/>
      <c r="B27" s="139"/>
      <c r="C27" s="147"/>
      <c r="D27" s="147"/>
      <c r="E27" s="147"/>
      <c r="F27" s="147"/>
      <c r="G27" s="147"/>
      <c r="H27" s="147"/>
      <c r="I27" s="147"/>
    </row>
    <row r="28" spans="1:16" ht="13.9" customHeight="1" x14ac:dyDescent="0.25">
      <c r="A28" s="902" t="s">
        <v>377</v>
      </c>
      <c r="B28" s="903"/>
      <c r="C28" s="903"/>
      <c r="D28" s="903"/>
      <c r="E28" s="904"/>
      <c r="F28" s="897">
        <v>3</v>
      </c>
      <c r="G28" s="928">
        <f>F28/'base data'!$M$18</f>
        <v>7.0902402458349154E-2</v>
      </c>
      <c r="H28" s="566"/>
      <c r="I28" s="449"/>
      <c r="L28" s="95"/>
      <c r="M28" s="95"/>
      <c r="N28" s="95"/>
      <c r="O28" s="95"/>
      <c r="P28" s="95"/>
    </row>
    <row r="29" spans="1:16" x14ac:dyDescent="0.25">
      <c r="A29" s="905"/>
      <c r="B29" s="906"/>
      <c r="C29" s="906"/>
      <c r="D29" s="906"/>
      <c r="E29" s="907"/>
      <c r="F29" s="898"/>
      <c r="G29" s="929"/>
      <c r="H29" s="449"/>
      <c r="I29" s="449"/>
      <c r="L29" s="95"/>
      <c r="M29" s="95"/>
      <c r="N29" s="95"/>
      <c r="O29" s="95"/>
      <c r="P29" s="95"/>
    </row>
    <row r="30" spans="1:16" ht="3.75" customHeight="1" x14ac:dyDescent="0.25">
      <c r="A30" s="288"/>
      <c r="B30" s="288"/>
      <c r="C30" s="288"/>
      <c r="D30" s="288"/>
      <c r="E30" s="147"/>
      <c r="F30" s="147"/>
      <c r="G30" s="147"/>
      <c r="H30" s="147"/>
      <c r="I30" s="147"/>
    </row>
    <row r="31" spans="1:16" x14ac:dyDescent="0.25">
      <c r="A31" s="894" t="s">
        <v>119</v>
      </c>
      <c r="B31" s="895"/>
      <c r="C31" s="895"/>
      <c r="D31" s="895"/>
      <c r="E31" s="896"/>
      <c r="F31" s="355">
        <v>4</v>
      </c>
      <c r="G31" s="779">
        <f>F31/'base data'!$M$18</f>
        <v>9.4536536611132219E-2</v>
      </c>
      <c r="H31" s="414"/>
      <c r="I31" s="414"/>
    </row>
    <row r="32" spans="1:16" ht="8.25" customHeight="1" x14ac:dyDescent="0.25">
      <c r="A32" s="413"/>
      <c r="B32" s="413"/>
      <c r="C32" s="413"/>
      <c r="D32" s="413"/>
      <c r="E32" s="413"/>
      <c r="F32" s="414"/>
      <c r="G32" s="790"/>
      <c r="H32" s="414"/>
      <c r="I32" s="414"/>
    </row>
    <row r="33" spans="1:11" x14ac:dyDescent="0.25">
      <c r="A33" s="413"/>
      <c r="B33" s="413"/>
      <c r="C33" s="413"/>
      <c r="D33" s="413"/>
      <c r="E33" s="791"/>
      <c r="F33" s="414"/>
      <c r="G33" s="414"/>
      <c r="H33" s="414"/>
      <c r="I33" s="414"/>
    </row>
    <row r="34" spans="1:11" x14ac:dyDescent="0.25">
      <c r="A34" s="149"/>
      <c r="B34" s="139"/>
      <c r="C34" s="147"/>
      <c r="D34" s="147"/>
      <c r="E34" s="147"/>
      <c r="F34" s="147"/>
      <c r="G34" s="147"/>
      <c r="H34" s="147"/>
      <c r="I34" s="147"/>
    </row>
    <row r="35" spans="1:11" x14ac:dyDescent="0.25">
      <c r="A35" s="149"/>
      <c r="B35" s="139"/>
      <c r="C35" s="147"/>
      <c r="D35" s="147"/>
      <c r="E35" s="147"/>
      <c r="F35" s="147"/>
      <c r="G35" s="147"/>
      <c r="H35" s="147"/>
      <c r="I35" s="147"/>
    </row>
    <row r="36" spans="1:11" x14ac:dyDescent="0.25">
      <c r="A36" s="149"/>
      <c r="B36" s="139"/>
      <c r="C36" s="147"/>
      <c r="D36" s="147"/>
      <c r="E36" s="147"/>
      <c r="F36" s="147"/>
      <c r="G36" s="147"/>
      <c r="H36" s="147"/>
      <c r="I36" s="147"/>
    </row>
    <row r="37" spans="1:11" x14ac:dyDescent="0.25">
      <c r="A37" s="149"/>
      <c r="B37" s="139"/>
      <c r="C37" s="147"/>
      <c r="D37" s="147"/>
      <c r="E37" s="147"/>
      <c r="F37" s="147"/>
      <c r="G37" s="147"/>
      <c r="H37" s="147"/>
      <c r="I37" s="147"/>
    </row>
    <row r="38" spans="1:11" x14ac:dyDescent="0.25">
      <c r="A38" s="149"/>
      <c r="B38" s="139"/>
      <c r="C38" s="147"/>
      <c r="D38" s="147"/>
      <c r="E38" s="147"/>
      <c r="F38" s="147"/>
      <c r="G38" s="147"/>
      <c r="H38" s="147"/>
      <c r="I38" s="147"/>
    </row>
    <row r="39" spans="1:11" x14ac:dyDescent="0.25">
      <c r="A39" s="149"/>
      <c r="B39" s="139"/>
      <c r="C39" s="147"/>
      <c r="D39" s="147"/>
      <c r="E39" s="147"/>
      <c r="F39" s="147"/>
      <c r="G39" s="147"/>
      <c r="H39" s="147"/>
      <c r="I39" s="147"/>
    </row>
    <row r="40" spans="1:11" x14ac:dyDescent="0.25">
      <c r="A40" s="149"/>
      <c r="B40" s="139"/>
      <c r="C40" s="147"/>
      <c r="D40" s="147"/>
      <c r="E40" s="147"/>
      <c r="F40" s="147"/>
      <c r="G40" s="147"/>
      <c r="H40" s="147"/>
      <c r="I40" s="147"/>
    </row>
    <row r="41" spans="1:11" x14ac:dyDescent="0.25">
      <c r="C41" s="174"/>
      <c r="D41" s="175"/>
      <c r="E41" s="108"/>
      <c r="F41" s="108"/>
      <c r="G41" s="108"/>
      <c r="H41" s="108"/>
      <c r="I41" s="108"/>
      <c r="J41" s="63"/>
      <c r="K41" s="63"/>
    </row>
    <row r="42" spans="1:11" x14ac:dyDescent="0.25">
      <c r="C42" s="174"/>
      <c r="D42" s="175"/>
      <c r="E42" s="108"/>
      <c r="F42" s="108"/>
      <c r="G42" s="108"/>
      <c r="H42" s="108"/>
      <c r="I42" s="108"/>
      <c r="J42" s="63"/>
      <c r="K42" s="63"/>
    </row>
    <row r="43" spans="1:11" x14ac:dyDescent="0.25">
      <c r="C43" s="174"/>
      <c r="D43" s="175"/>
      <c r="E43" s="108"/>
      <c r="F43" s="108"/>
      <c r="G43" s="108"/>
      <c r="H43" s="108"/>
      <c r="I43" s="108"/>
      <c r="J43" s="95"/>
    </row>
    <row r="44" spans="1:11" s="95" customFormat="1" x14ac:dyDescent="0.25"/>
    <row r="45" spans="1:11" s="95" customFormat="1" x14ac:dyDescent="0.25"/>
    <row r="46" spans="1:11" s="95" customFormat="1" x14ac:dyDescent="0.25"/>
    <row r="47" spans="1:11" s="95" customFormat="1" x14ac:dyDescent="0.25"/>
    <row r="48" spans="1:11" s="95" customFormat="1" x14ac:dyDescent="0.25"/>
    <row r="49" s="95" customFormat="1" x14ac:dyDescent="0.25"/>
    <row r="50" s="95" customFormat="1" x14ac:dyDescent="0.25"/>
    <row r="51" s="95" customFormat="1" x14ac:dyDescent="0.25"/>
    <row r="52" s="95" customFormat="1" x14ac:dyDescent="0.25"/>
  </sheetData>
  <sheetProtection sheet="1" objects="1" scenarios="1" formatCells="0"/>
  <customSheetViews>
    <customSheetView guid="{314CBECC-1AE9-4578-9B87-473AB0B3A698}" topLeftCell="A40">
      <selection activeCell="E44" sqref="E44"/>
      <pageMargins left="0.7" right="0.7" top="0.78740157499999996" bottom="0.78740157499999996" header="0.3" footer="0.3"/>
      <pageSetup paperSize="9" orientation="portrait" r:id="rId1"/>
    </customSheetView>
    <customSheetView guid="{7B9C85BD-D1BB-4F3C-98F5-6414F32599ED}" topLeftCell="A22">
      <selection activeCell="A46" sqref="A46:N46"/>
      <pageMargins left="0.7" right="0.7" top="0.78740157499999996" bottom="0.78740157499999996" header="0.3" footer="0.3"/>
      <pageSetup paperSize="9" orientation="portrait" r:id="rId2"/>
    </customSheetView>
  </customSheetViews>
  <mergeCells count="15">
    <mergeCell ref="B3:D3"/>
    <mergeCell ref="A31:E31"/>
    <mergeCell ref="F28:F29"/>
    <mergeCell ref="S13:T13"/>
    <mergeCell ref="E3:F3"/>
    <mergeCell ref="A28:E29"/>
    <mergeCell ref="A12:B13"/>
    <mergeCell ref="C4:F4"/>
    <mergeCell ref="D7:D8"/>
    <mergeCell ref="A10:B11"/>
    <mergeCell ref="I7:I8"/>
    <mergeCell ref="C14:H14"/>
    <mergeCell ref="E7:G8"/>
    <mergeCell ref="G28:G29"/>
    <mergeCell ref="J5:J8"/>
  </mergeCells>
  <conditionalFormatting sqref="C15:H15">
    <cfRule type="cellIs" dxfId="45" priority="200" stopIfTrue="1" operator="equal">
      <formula>C16</formula>
    </cfRule>
    <cfRule type="cellIs" dxfId="44" priority="201" stopIfTrue="1" operator="notEqual">
      <formula>C16</formula>
    </cfRule>
  </conditionalFormatting>
  <conditionalFormatting sqref="D12">
    <cfRule type="cellIs" dxfId="43" priority="18" stopIfTrue="1" operator="lessThan">
      <formula>0</formula>
    </cfRule>
  </conditionalFormatting>
  <conditionalFormatting sqref="E12">
    <cfRule type="cellIs" dxfId="42" priority="17" stopIfTrue="1" operator="greaterThan">
      <formula>0</formula>
    </cfRule>
  </conditionalFormatting>
  <conditionalFormatting sqref="R13">
    <cfRule type="cellIs" dxfId="41" priority="5" stopIfTrue="1" operator="equal">
      <formula>"ja"</formula>
    </cfRule>
    <cfRule type="cellIs" dxfId="40" priority="6" stopIfTrue="1" operator="equal">
      <formula>"nein"</formula>
    </cfRule>
  </conditionalFormatting>
  <conditionalFormatting sqref="F13:H13">
    <cfRule type="cellIs" dxfId="39" priority="4" operator="greaterThan">
      <formula>0</formula>
    </cfRule>
  </conditionalFormatting>
  <conditionalFormatting sqref="I15">
    <cfRule type="cellIs" dxfId="38" priority="2" stopIfTrue="1" operator="equal">
      <formula>I16</formula>
    </cfRule>
    <cfRule type="cellIs" dxfId="37" priority="3" stopIfTrue="1" operator="notEqual">
      <formula>I16</formula>
    </cfRule>
  </conditionalFormatting>
  <conditionalFormatting sqref="I12">
    <cfRule type="cellIs" dxfId="36" priority="1" stopIfTrue="1" operator="lessThan">
      <formula>0</formula>
    </cfRule>
  </conditionalFormatting>
  <dataValidations count="4">
    <dataValidation operator="lessThanOrEqual" allowBlank="1" showInputMessage="1" showErrorMessage="1" error="Bitte einen Wert kleiner gleich Null eingeben." prompt="Bitte einen Wert kleiner gleich Null eingeben." sqref="E9"/>
    <dataValidation type="decimal" operator="lessThan" allowBlank="1" showInputMessage="1" showErrorMessage="1" error="Please enter a value less than zero." sqref="D9">
      <formula1>0</formula1>
    </dataValidation>
    <dataValidation type="decimal" operator="greaterThan" allowBlank="1" showInputMessage="1" showErrorMessage="1" sqref="D12">
      <formula1>0</formula1>
    </dataValidation>
    <dataValidation errorStyle="information" operator="lessThanOrEqual" allowBlank="1" showInputMessage="1" showErrorMessage="1" error="Bei einem positiven Startwert kann zwar noch ein weltweiter Emissionspfad bestimmt werden; die Ableitung sinnvoller nationaler Emissionspade ist nicht möglich." prompt="Ein positiver RS_20 führt erst einmal zu (weiter) steigenden weltweiten Emissionen." sqref="F9:I9"/>
  </dataValidation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559576" r:id="rId6" name="Button 600">
              <controlPr defaultSize="0" print="0" autoFill="0" autoPict="0" macro="[0]!Zielwertsuche">
                <anchor moveWithCells="1" sizeWithCells="1">
                  <from>
                    <xdr:col>10</xdr:col>
                    <xdr:colOff>171450</xdr:colOff>
                    <xdr:row>4</xdr:row>
                    <xdr:rowOff>38100</xdr:rowOff>
                  </from>
                  <to>
                    <xdr:col>15</xdr:col>
                    <xdr:colOff>76200</xdr:colOff>
                    <xdr:row>7</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4" tint="0.79998168889431442"/>
    <pageSetUpPr fitToPage="1"/>
  </sheetPr>
  <dimension ref="A1:CA141"/>
  <sheetViews>
    <sheetView zoomScaleNormal="100" workbookViewId="0">
      <pane xSplit="3" ySplit="2" topLeftCell="D5" activePane="bottomRight" state="frozen"/>
      <selection pane="topRight" activeCell="B1" sqref="B1"/>
      <selection pane="bottomLeft" activeCell="A2" sqref="A2"/>
      <selection pane="bottomRight" activeCell="B96" sqref="B96"/>
    </sheetView>
  </sheetViews>
  <sheetFormatPr baseColWidth="10" defaultColWidth="11.85546875" defaultRowHeight="12.75" x14ac:dyDescent="0.2"/>
  <cols>
    <col min="1" max="1" width="3" style="6" bestFit="1" customWidth="1"/>
    <col min="2" max="2" width="10.28515625" style="6" bestFit="1" customWidth="1"/>
    <col min="3" max="3" width="5" style="6" bestFit="1" customWidth="1"/>
    <col min="4" max="4" width="1.85546875" style="30" customWidth="1"/>
    <col min="5" max="5" width="9.28515625" style="6" customWidth="1"/>
    <col min="6" max="6" width="13.5703125" style="6" customWidth="1"/>
    <col min="7" max="7" width="11.85546875" style="6" customWidth="1"/>
    <col min="8" max="8" width="10.7109375" style="6" customWidth="1"/>
    <col min="9" max="9" width="10.42578125" style="6" customWidth="1"/>
    <col min="10" max="10" width="9.5703125" style="6" customWidth="1"/>
    <col min="11" max="11" width="8.5703125" style="6" customWidth="1"/>
    <col min="12" max="12" width="4.28515625" style="15" customWidth="1"/>
    <col min="13" max="13" width="9.140625" style="6" customWidth="1"/>
    <col min="14" max="14" width="13.42578125" style="6" customWidth="1"/>
    <col min="15" max="15" width="12" style="6" customWidth="1"/>
    <col min="16" max="16" width="10.28515625" style="6" customWidth="1"/>
    <col min="17" max="17" width="10.85546875" style="6" customWidth="1"/>
    <col min="18" max="18" width="9.140625" style="6" customWidth="1"/>
    <col min="19" max="19" width="9.5703125" style="7" bestFit="1" customWidth="1"/>
    <col min="20" max="20" width="9.5703125" style="7" customWidth="1"/>
    <col min="21" max="21" width="4.28515625" style="7" customWidth="1"/>
    <col min="22" max="22" width="9" style="6" customWidth="1"/>
    <col min="23" max="23" width="12.28515625" style="6" customWidth="1"/>
    <col min="24" max="24" width="10.28515625" style="6" customWidth="1"/>
    <col min="25" max="25" width="11.85546875" style="6" customWidth="1"/>
    <col min="26" max="26" width="10.42578125" style="6" customWidth="1"/>
    <col min="27" max="27" width="9.5703125" style="6" customWidth="1"/>
    <col min="28" max="28" width="10" style="6" bestFit="1" customWidth="1"/>
    <col min="29" max="29" width="9.5703125" style="7" bestFit="1" customWidth="1"/>
    <col min="30" max="30" width="7.5703125" style="7" bestFit="1" customWidth="1"/>
    <col min="31" max="31" width="9.85546875" style="6" customWidth="1"/>
    <col min="32" max="32" width="11.85546875" style="6" customWidth="1"/>
    <col min="33" max="33" width="10" style="6" customWidth="1"/>
    <col min="34" max="34" width="9.5703125" style="6" customWidth="1"/>
    <col min="35" max="35" width="9.85546875" style="6" customWidth="1"/>
    <col min="36" max="36" width="10.42578125" style="6" customWidth="1"/>
    <col min="37" max="37" width="11" style="7" customWidth="1"/>
    <col min="38" max="38" width="9.5703125" style="7" customWidth="1"/>
    <col min="39" max="39" width="9" style="7" customWidth="1"/>
    <col min="40" max="40" width="9.85546875" style="6" customWidth="1"/>
    <col min="41" max="41" width="11.85546875" style="6" customWidth="1"/>
    <col min="42" max="42" width="10" style="6" customWidth="1"/>
    <col min="43" max="43" width="9.5703125" style="6" customWidth="1"/>
    <col min="44" max="44" width="9.85546875" style="6" customWidth="1"/>
    <col min="45" max="45" width="10.42578125" style="6" customWidth="1"/>
    <col min="46" max="46" width="11" style="7" customWidth="1"/>
    <col min="47" max="47" width="9.5703125" style="7" customWidth="1"/>
    <col min="48" max="48" width="9" style="7" customWidth="1"/>
    <col min="49" max="49" width="9.85546875" style="6" customWidth="1"/>
    <col min="50" max="50" width="11.85546875" style="6" customWidth="1"/>
    <col min="51" max="51" width="10" style="6" customWidth="1"/>
    <col min="52" max="52" width="9.5703125" style="6" customWidth="1"/>
    <col min="53" max="53" width="9.85546875" style="6" customWidth="1"/>
    <col min="54" max="54" width="10.42578125" style="6" customWidth="1"/>
    <col min="55" max="55" width="11" style="7" customWidth="1"/>
    <col min="56" max="56" width="9.5703125" style="7" customWidth="1"/>
    <col min="57" max="57" width="9" style="7" customWidth="1"/>
    <col min="58" max="58" width="9.85546875" style="6" customWidth="1"/>
    <col min="59" max="59" width="11.85546875" style="6" customWidth="1"/>
    <col min="60" max="60" width="10" style="6" customWidth="1"/>
    <col min="61" max="61" width="12.85546875" style="6" customWidth="1"/>
    <col min="62" max="62" width="10.85546875" style="6" customWidth="1"/>
    <col min="63" max="63" width="10.42578125" style="6" customWidth="1"/>
    <col min="64" max="64" width="15.5703125" style="7" customWidth="1"/>
    <col min="65" max="65" width="9.5703125" style="7" customWidth="1"/>
    <col min="66" max="67" width="11.85546875" style="6"/>
    <col min="68" max="68" width="10" style="11" bestFit="1" customWidth="1"/>
    <col min="69" max="69" width="8.28515625" style="11" bestFit="1" customWidth="1"/>
    <col min="70" max="70" width="7.5703125" style="11" bestFit="1" customWidth="1"/>
    <col min="71" max="71" width="10.140625" style="11" bestFit="1" customWidth="1"/>
    <col min="72" max="72" width="8.140625" style="416" bestFit="1" customWidth="1"/>
    <col min="73" max="73" width="8.42578125" style="416" bestFit="1" customWidth="1"/>
    <col min="74" max="74" width="10" style="11" bestFit="1" customWidth="1"/>
    <col min="75" max="75" width="8.28515625" style="11" bestFit="1" customWidth="1"/>
    <col min="76" max="76" width="7.5703125" style="11" bestFit="1" customWidth="1"/>
    <col min="77" max="77" width="10.140625" style="11" bestFit="1" customWidth="1"/>
    <col min="78" max="78" width="8.140625" style="416" bestFit="1" customWidth="1"/>
    <col min="79" max="79" width="8.42578125" style="30" bestFit="1" customWidth="1"/>
    <col min="80" max="16384" width="11.85546875" style="6"/>
  </cols>
  <sheetData>
    <row r="1" spans="1:79" ht="13.5" thickBot="1" x14ac:dyDescent="0.25">
      <c r="BP1" s="413"/>
      <c r="BQ1" s="413"/>
      <c r="BR1" s="413"/>
      <c r="BS1" s="413"/>
      <c r="BT1" s="413"/>
      <c r="BU1" s="413"/>
      <c r="BV1" s="413"/>
      <c r="BW1" s="413"/>
      <c r="BX1" s="413"/>
      <c r="BY1" s="413"/>
      <c r="BZ1" s="413"/>
      <c r="CA1" s="413"/>
    </row>
    <row r="2" spans="1:79" ht="16.149999999999999" customHeight="1" thickBot="1" x14ac:dyDescent="0.3">
      <c r="B2" s="654"/>
      <c r="E2" s="934" t="s">
        <v>359</v>
      </c>
      <c r="F2" s="935"/>
      <c r="G2" s="935"/>
      <c r="H2" s="935"/>
      <c r="I2" s="935"/>
      <c r="J2" s="935"/>
      <c r="K2" s="936"/>
      <c r="L2" s="259"/>
      <c r="M2" s="938" t="s">
        <v>354</v>
      </c>
      <c r="N2" s="939"/>
      <c r="O2" s="939"/>
      <c r="P2" s="939"/>
      <c r="Q2" s="939"/>
      <c r="R2" s="939"/>
      <c r="S2" s="939"/>
      <c r="T2" s="940"/>
      <c r="U2" s="33"/>
      <c r="V2" s="938" t="s">
        <v>355</v>
      </c>
      <c r="W2" s="939"/>
      <c r="X2" s="939"/>
      <c r="Y2" s="939"/>
      <c r="Z2" s="939"/>
      <c r="AA2" s="939"/>
      <c r="AB2" s="939"/>
      <c r="AC2" s="940"/>
      <c r="AD2" s="267"/>
      <c r="AE2" s="934" t="s">
        <v>356</v>
      </c>
      <c r="AF2" s="935"/>
      <c r="AG2" s="935"/>
      <c r="AH2" s="935"/>
      <c r="AI2" s="935"/>
      <c r="AJ2" s="935"/>
      <c r="AK2" s="935"/>
      <c r="AL2" s="936"/>
      <c r="AM2" s="267"/>
      <c r="AN2" s="934" t="s">
        <v>357</v>
      </c>
      <c r="AO2" s="935"/>
      <c r="AP2" s="935"/>
      <c r="AQ2" s="935"/>
      <c r="AR2" s="935"/>
      <c r="AS2" s="935"/>
      <c r="AT2" s="935"/>
      <c r="AU2" s="936"/>
      <c r="AV2" s="267"/>
      <c r="AW2" s="934" t="s">
        <v>358</v>
      </c>
      <c r="AX2" s="935"/>
      <c r="AY2" s="935"/>
      <c r="AZ2" s="935"/>
      <c r="BA2" s="935"/>
      <c r="BB2" s="935"/>
      <c r="BC2" s="935"/>
      <c r="BD2" s="936"/>
      <c r="BE2" s="267"/>
      <c r="BF2" s="934" t="s">
        <v>185</v>
      </c>
      <c r="BG2" s="935"/>
      <c r="BH2" s="935"/>
      <c r="BI2" s="935"/>
      <c r="BJ2" s="935"/>
      <c r="BK2" s="935"/>
      <c r="BL2" s="935"/>
      <c r="BM2" s="936"/>
      <c r="BP2" s="726"/>
      <c r="BQ2" s="726"/>
      <c r="BR2" s="726"/>
      <c r="BS2" s="726"/>
      <c r="BT2" s="726"/>
      <c r="BU2" s="726"/>
      <c r="BV2" s="726"/>
      <c r="BW2" s="726"/>
      <c r="BX2" s="726"/>
      <c r="BY2" s="726"/>
      <c r="BZ2" s="726"/>
      <c r="CA2" s="726"/>
    </row>
    <row r="3" spans="1:79" s="17" customFormat="1" ht="43.15" customHeight="1" thickBot="1" x14ac:dyDescent="0.25">
      <c r="D3" s="97"/>
      <c r="E3" s="937" t="s">
        <v>86</v>
      </c>
      <c r="F3" s="937"/>
      <c r="G3" s="937"/>
      <c r="H3" s="937"/>
      <c r="I3" s="937"/>
      <c r="J3" s="937"/>
      <c r="K3" s="937"/>
      <c r="L3" s="260"/>
      <c r="M3" s="941" t="s">
        <v>89</v>
      </c>
      <c r="N3" s="941"/>
      <c r="O3" s="941"/>
      <c r="P3" s="941"/>
      <c r="Q3" s="941"/>
      <c r="R3" s="941"/>
      <c r="S3" s="941"/>
      <c r="T3" s="941"/>
      <c r="U3" s="253"/>
      <c r="V3" s="941" t="s">
        <v>90</v>
      </c>
      <c r="W3" s="941"/>
      <c r="X3" s="941"/>
      <c r="Y3" s="941"/>
      <c r="Z3" s="941"/>
      <c r="AA3" s="941"/>
      <c r="AB3" s="941"/>
      <c r="AC3" s="941"/>
      <c r="AD3" s="268"/>
      <c r="AE3" s="967" t="s">
        <v>177</v>
      </c>
      <c r="AF3" s="967"/>
      <c r="AG3" s="967"/>
      <c r="AH3" s="967"/>
      <c r="AI3" s="967"/>
      <c r="AJ3" s="967"/>
      <c r="AK3" s="967"/>
      <c r="AL3" s="967"/>
      <c r="AM3" s="268"/>
      <c r="AN3" s="967" t="s">
        <v>176</v>
      </c>
      <c r="AO3" s="967"/>
      <c r="AP3" s="967"/>
      <c r="AQ3" s="967"/>
      <c r="AR3" s="967"/>
      <c r="AS3" s="967"/>
      <c r="AT3" s="967"/>
      <c r="AU3" s="967"/>
      <c r="AV3" s="268"/>
      <c r="AW3" s="967" t="s">
        <v>347</v>
      </c>
      <c r="AX3" s="967"/>
      <c r="AY3" s="967"/>
      <c r="AZ3" s="967"/>
      <c r="BA3" s="967"/>
      <c r="BB3" s="967"/>
      <c r="BC3" s="967"/>
      <c r="BD3" s="967"/>
      <c r="BE3" s="268"/>
      <c r="BF3" s="941" t="s">
        <v>112</v>
      </c>
      <c r="BG3" s="941"/>
      <c r="BH3" s="941"/>
      <c r="BI3" s="941"/>
      <c r="BJ3" s="941"/>
      <c r="BK3" s="941"/>
      <c r="BL3" s="941"/>
      <c r="BM3" s="941"/>
      <c r="BP3" s="725"/>
      <c r="BQ3" s="725"/>
      <c r="BR3" s="725"/>
      <c r="BS3" s="725"/>
      <c r="BT3" s="725"/>
      <c r="BU3" s="725"/>
      <c r="BV3" s="725"/>
      <c r="BW3" s="725"/>
      <c r="BX3" s="725"/>
      <c r="BY3" s="725"/>
      <c r="BZ3" s="725"/>
      <c r="CA3" s="97"/>
    </row>
    <row r="4" spans="1:79" ht="13.5" thickBot="1" x14ac:dyDescent="0.25">
      <c r="C4" s="30"/>
      <c r="M4" s="257"/>
      <c r="N4" s="28"/>
      <c r="O4" s="28"/>
      <c r="P4" s="28"/>
      <c r="Q4" s="28"/>
      <c r="R4" s="28"/>
      <c r="S4" s="28"/>
      <c r="T4" s="28"/>
      <c r="X4" s="122"/>
      <c r="Y4" s="122"/>
      <c r="Z4" s="122"/>
      <c r="AA4" s="122"/>
      <c r="AB4" s="122"/>
      <c r="AC4" s="122"/>
      <c r="AD4" s="122"/>
      <c r="AE4" s="270"/>
      <c r="AF4" s="270"/>
      <c r="AG4" s="270"/>
      <c r="AH4" s="270"/>
      <c r="AI4" s="270"/>
      <c r="AJ4" s="270"/>
      <c r="AK4" s="270"/>
      <c r="AL4" s="270"/>
      <c r="AM4" s="122"/>
      <c r="AN4" s="972" t="s">
        <v>178</v>
      </c>
      <c r="AO4" s="973"/>
      <c r="AP4" s="973"/>
      <c r="AQ4" s="973"/>
      <c r="AR4" s="973"/>
      <c r="AS4" s="973"/>
      <c r="AT4" s="973"/>
      <c r="AU4" s="577">
        <v>0.5</v>
      </c>
      <c r="AV4" s="122"/>
      <c r="AW4" s="974"/>
      <c r="AX4" s="975"/>
      <c r="AY4" s="975"/>
      <c r="AZ4" s="975"/>
      <c r="BA4" s="975"/>
      <c r="BB4" s="975"/>
      <c r="BC4" s="975"/>
      <c r="BD4" s="682"/>
      <c r="BE4" s="122"/>
      <c r="BF4" s="270"/>
      <c r="BG4" s="270"/>
      <c r="BH4" s="270"/>
      <c r="BI4" s="270"/>
      <c r="BJ4" s="270"/>
      <c r="BK4" s="270"/>
      <c r="BL4" s="270"/>
      <c r="BM4" s="270"/>
      <c r="BP4" s="518" t="str">
        <f>'goal seek'!C5</f>
        <v>RM-1 const</v>
      </c>
      <c r="BQ4" s="519" t="str">
        <f>'goal seek'!D5</f>
        <v>RM-2 exp</v>
      </c>
      <c r="BR4" s="519" t="str">
        <f>'goal seek'!E5</f>
        <v>RM-3 lin</v>
      </c>
      <c r="BS4" s="519" t="str">
        <f>'goal seek'!F5</f>
        <v>RM-4 quadr</v>
      </c>
      <c r="BT4" s="519" t="str">
        <f>'goal seek'!G5</f>
        <v>RM-5 rad</v>
      </c>
      <c r="BU4" s="519" t="str">
        <f>'goal seek'!H5</f>
        <v>RM-6 abs</v>
      </c>
      <c r="BV4" s="518" t="str">
        <f t="shared" ref="BV4:CA4" si="0">BP4</f>
        <v>RM-1 const</v>
      </c>
      <c r="BW4" s="519" t="str">
        <f t="shared" si="0"/>
        <v>RM-2 exp</v>
      </c>
      <c r="BX4" s="519" t="str">
        <f t="shared" si="0"/>
        <v>RM-3 lin</v>
      </c>
      <c r="BY4" s="519" t="str">
        <f t="shared" si="0"/>
        <v>RM-4 quadr</v>
      </c>
      <c r="BZ4" s="519" t="str">
        <f t="shared" si="0"/>
        <v>RM-5 rad</v>
      </c>
      <c r="CA4" s="520" t="str">
        <f t="shared" si="0"/>
        <v>RM-6 abs</v>
      </c>
    </row>
    <row r="5" spans="1:79" ht="13.5" thickBot="1" x14ac:dyDescent="0.25">
      <c r="C5" s="339" t="s">
        <v>45</v>
      </c>
      <c r="D5" s="9"/>
      <c r="E5" s="249" t="str">
        <f>$C$5</f>
        <v>cumulative budget 2020 - 2100 in Gt</v>
      </c>
      <c r="F5" s="21"/>
      <c r="G5" s="21"/>
      <c r="H5" s="21"/>
      <c r="I5" s="21"/>
      <c r="J5" s="21"/>
      <c r="K5" s="123">
        <f>ROUND('base data'!$L$24,0)</f>
        <v>336</v>
      </c>
      <c r="L5" s="261"/>
      <c r="M5" s="249" t="str">
        <f>$C$5</f>
        <v>cumulative budget 2020 - 2100 in Gt</v>
      </c>
      <c r="N5" s="21"/>
      <c r="O5" s="21"/>
      <c r="P5" s="21"/>
      <c r="Q5" s="21"/>
      <c r="R5" s="21"/>
      <c r="S5" s="250"/>
      <c r="T5" s="123">
        <f>ROUND('base data'!$L$24,0)</f>
        <v>336</v>
      </c>
      <c r="U5" s="6"/>
      <c r="V5" s="249" t="str">
        <f>$C$5</f>
        <v>cumulative budget 2020 - 2100 in Gt</v>
      </c>
      <c r="W5" s="21"/>
      <c r="X5" s="21"/>
      <c r="Y5" s="21"/>
      <c r="Z5" s="21"/>
      <c r="AA5" s="21"/>
      <c r="AB5" s="21"/>
      <c r="AC5" s="123">
        <f>ROUND('base data'!$L$24,0)</f>
        <v>336</v>
      </c>
      <c r="AE5" s="249" t="str">
        <f>$C$5</f>
        <v>cumulative budget 2020 - 2100 in Gt</v>
      </c>
      <c r="AF5" s="21"/>
      <c r="AG5" s="21"/>
      <c r="AH5" s="21"/>
      <c r="AI5" s="21"/>
      <c r="AJ5" s="21"/>
      <c r="AK5" s="51"/>
      <c r="AL5" s="123">
        <f>ROUND('base data'!$L$24,0)</f>
        <v>336</v>
      </c>
      <c r="AN5" s="249" t="str">
        <f>$C$5</f>
        <v>cumulative budget 2020 - 2100 in Gt</v>
      </c>
      <c r="AO5" s="21"/>
      <c r="AP5" s="21"/>
      <c r="AQ5" s="21"/>
      <c r="AR5" s="21"/>
      <c r="AS5" s="21"/>
      <c r="AT5" s="51"/>
      <c r="AU5" s="123">
        <f>ROUND('base data'!$L$24,0)</f>
        <v>336</v>
      </c>
      <c r="AW5" s="249" t="str">
        <f>$C$5</f>
        <v>cumulative budget 2020 - 2100 in Gt</v>
      </c>
      <c r="AX5" s="21"/>
      <c r="AY5" s="21"/>
      <c r="AZ5" s="21"/>
      <c r="BA5" s="21"/>
      <c r="BB5" s="21"/>
      <c r="BC5" s="51"/>
      <c r="BD5" s="123">
        <f>ROUND('base data'!$L$24,0)</f>
        <v>336</v>
      </c>
      <c r="BF5" s="249" t="str">
        <f>$C$5</f>
        <v>cumulative budget 2020 - 2100 in Gt</v>
      </c>
      <c r="BG5" s="21"/>
      <c r="BH5" s="21"/>
      <c r="BI5" s="21"/>
      <c r="BJ5" s="21"/>
      <c r="BK5" s="21"/>
      <c r="BL5" s="51"/>
      <c r="BM5" s="785">
        <f>ROUND('base data'!$L$24,0)</f>
        <v>336</v>
      </c>
      <c r="BP5" s="521"/>
      <c r="BQ5" s="522"/>
      <c r="BR5" s="522"/>
      <c r="BS5" s="522"/>
      <c r="BT5" s="522"/>
      <c r="BU5" s="523"/>
      <c r="BV5" s="716"/>
      <c r="BW5" s="717"/>
      <c r="BX5" s="717"/>
      <c r="BY5" s="717"/>
      <c r="BZ5" s="717"/>
      <c r="CA5" s="720"/>
    </row>
    <row r="6" spans="1:79" ht="15.75" thickBot="1" x14ac:dyDescent="0.25">
      <c r="C6" s="339" t="s">
        <v>80</v>
      </c>
      <c r="D6" s="9"/>
      <c r="E6" s="255" t="str">
        <f>$C$6</f>
        <v>scenario cumulative emissions 2020 - 2100</v>
      </c>
      <c r="F6" s="252"/>
      <c r="G6" s="252"/>
      <c r="H6" s="252"/>
      <c r="I6" s="252"/>
      <c r="J6" s="252"/>
      <c r="K6" s="245">
        <f>ROUND(E97,0)</f>
        <v>336</v>
      </c>
      <c r="L6" s="262"/>
      <c r="M6" s="255" t="str">
        <f>$C$6</f>
        <v>scenario cumulative emissions 2020 - 2100</v>
      </c>
      <c r="N6" s="23"/>
      <c r="O6" s="23"/>
      <c r="P6" s="23"/>
      <c r="Q6" s="23"/>
      <c r="R6" s="23"/>
      <c r="S6" s="266"/>
      <c r="T6" s="245">
        <f>ROUND(scenarios!M97,0)</f>
        <v>336</v>
      </c>
      <c r="U6" s="6"/>
      <c r="V6" s="255" t="str">
        <f>$C$6</f>
        <v>scenario cumulative emissions 2020 - 2100</v>
      </c>
      <c r="W6" s="23"/>
      <c r="X6" s="23"/>
      <c r="Y6" s="23"/>
      <c r="Z6" s="23"/>
      <c r="AA6" s="23"/>
      <c r="AB6" s="23"/>
      <c r="AC6" s="245">
        <f>ROUND(V97,0)</f>
        <v>336</v>
      </c>
      <c r="AE6" s="255" t="str">
        <f>$C$6</f>
        <v>scenario cumulative emissions 2020 - 2100</v>
      </c>
      <c r="AF6" s="23"/>
      <c r="AG6" s="23"/>
      <c r="AH6" s="23"/>
      <c r="AI6" s="23"/>
      <c r="AJ6" s="23"/>
      <c r="AK6" s="54"/>
      <c r="AL6" s="245">
        <f>ROUND(AE97,0)</f>
        <v>336</v>
      </c>
      <c r="AN6" s="255" t="str">
        <f>$C$6</f>
        <v>scenario cumulative emissions 2020 - 2100</v>
      </c>
      <c r="AO6" s="23"/>
      <c r="AP6" s="23"/>
      <c r="AQ6" s="23"/>
      <c r="AR6" s="23"/>
      <c r="AS6" s="23"/>
      <c r="AT6" s="54"/>
      <c r="AU6" s="245">
        <f>ROUND(AN97,0)</f>
        <v>336</v>
      </c>
      <c r="AW6" s="255" t="str">
        <f>$C$6</f>
        <v>scenario cumulative emissions 2020 - 2100</v>
      </c>
      <c r="AX6" s="23"/>
      <c r="AY6" s="23"/>
      <c r="AZ6" s="23"/>
      <c r="BA6" s="23"/>
      <c r="BB6" s="23"/>
      <c r="BC6" s="54"/>
      <c r="BD6" s="245">
        <f>ROUND(AW97,0)</f>
        <v>336</v>
      </c>
      <c r="BF6" s="454" t="s">
        <v>116</v>
      </c>
      <c r="BG6" s="30"/>
      <c r="BH6" s="30"/>
      <c r="BI6" s="30"/>
      <c r="BJ6" s="30"/>
      <c r="BK6" s="30"/>
      <c r="BL6" s="15"/>
      <c r="BM6" s="820">
        <f>ROUND(BF97,0)</f>
        <v>336</v>
      </c>
      <c r="BP6" s="958" t="s">
        <v>349</v>
      </c>
      <c r="BQ6" s="959"/>
      <c r="BR6" s="959"/>
      <c r="BS6" s="959"/>
      <c r="BT6" s="959"/>
      <c r="BU6" s="960"/>
      <c r="BV6" s="954"/>
      <c r="BW6" s="955"/>
      <c r="BX6" s="955"/>
      <c r="BY6" s="955"/>
      <c r="BZ6" s="955"/>
      <c r="CA6" s="721"/>
    </row>
    <row r="7" spans="1:79" ht="14.25" customHeight="1" thickBot="1" x14ac:dyDescent="0.3">
      <c r="C7" s="340" t="s">
        <v>79</v>
      </c>
      <c r="E7" s="249" t="str">
        <f>$C$7</f>
        <v>E_min in Gt</v>
      </c>
      <c r="F7" s="97"/>
      <c r="G7" s="97"/>
      <c r="H7" s="97"/>
      <c r="I7" s="97"/>
      <c r="J7" s="72"/>
      <c r="K7" s="787">
        <f>'base data'!N30</f>
        <v>-4.3499999999999996</v>
      </c>
      <c r="L7" s="258"/>
      <c r="M7" s="572" t="str">
        <f>$C$7</f>
        <v>E_min in Gt</v>
      </c>
      <c r="N7" s="571"/>
      <c r="O7" s="51"/>
      <c r="P7" s="51"/>
      <c r="Q7" s="35"/>
      <c r="R7" s="51"/>
      <c r="S7" s="250"/>
      <c r="T7" s="785">
        <f>'base data'!N30</f>
        <v>-4.3499999999999996</v>
      </c>
      <c r="U7" s="6"/>
      <c r="V7" s="249" t="str">
        <f>$C$7</f>
        <v>E_min in Gt</v>
      </c>
      <c r="W7" s="21"/>
      <c r="X7" s="21"/>
      <c r="Y7" s="21"/>
      <c r="Z7" s="21"/>
      <c r="AA7" s="36"/>
      <c r="AB7" s="21"/>
      <c r="AC7" s="788">
        <f>ROUND('base data'!N30,2)</f>
        <v>-4.3499999999999996</v>
      </c>
      <c r="AD7" s="8"/>
      <c r="AE7" s="572" t="str">
        <f>$C$7</f>
        <v>E_min in Gt</v>
      </c>
      <c r="AF7" s="571"/>
      <c r="AG7" s="51"/>
      <c r="AH7" s="51"/>
      <c r="AI7" s="35"/>
      <c r="AJ7" s="51"/>
      <c r="AK7" s="21"/>
      <c r="AL7" s="785">
        <f>ROUND('base data'!N30,2)</f>
        <v>-4.3499999999999996</v>
      </c>
      <c r="AM7" s="8"/>
      <c r="AN7" s="572" t="str">
        <f>$C$7</f>
        <v>E_min in Gt</v>
      </c>
      <c r="AO7" s="571"/>
      <c r="AP7" s="51"/>
      <c r="AQ7" s="51"/>
      <c r="AR7" s="35"/>
      <c r="AS7" s="51"/>
      <c r="AT7" s="21"/>
      <c r="AU7" s="785">
        <f>ROUND('base data'!N30,2)</f>
        <v>-4.3499999999999996</v>
      </c>
      <c r="AV7" s="8"/>
      <c r="AW7" s="572" t="str">
        <f>$C$7</f>
        <v>E_min in Gt</v>
      </c>
      <c r="AX7" s="571"/>
      <c r="AY7" s="51"/>
      <c r="AZ7" s="51"/>
      <c r="BA7" s="35"/>
      <c r="BB7" s="51"/>
      <c r="BC7" s="21"/>
      <c r="BD7" s="785">
        <f>ROUND('base data'!N30,2)</f>
        <v>-4.3499999999999996</v>
      </c>
      <c r="BE7" s="8"/>
      <c r="BF7" s="255" t="s">
        <v>111</v>
      </c>
      <c r="BG7" s="23"/>
      <c r="BH7" s="23"/>
      <c r="BI7" s="23"/>
      <c r="BJ7" s="23"/>
      <c r="BK7" s="23"/>
      <c r="BL7" s="54"/>
      <c r="BM7" s="821">
        <f>ROUND(BF99,0)</f>
        <v>336</v>
      </c>
      <c r="BP7" s="961">
        <f>'base data'!B10</f>
        <v>420</v>
      </c>
      <c r="BQ7" s="962"/>
      <c r="BR7" s="962"/>
      <c r="BS7" s="962"/>
      <c r="BT7" s="962"/>
      <c r="BU7" s="963"/>
      <c r="BV7" s="952"/>
      <c r="BW7" s="953"/>
      <c r="BX7" s="953"/>
      <c r="BY7" s="953"/>
      <c r="BZ7" s="953"/>
      <c r="CA7" s="721"/>
    </row>
    <row r="8" spans="1:79" ht="14.25" customHeight="1" x14ac:dyDescent="0.2">
      <c r="C8" s="340" t="s">
        <v>46</v>
      </c>
      <c r="E8" s="255" t="str">
        <f>$C$8</f>
        <v>scenario emissions in year 2100 in Gt</v>
      </c>
      <c r="F8" s="97"/>
      <c r="G8" s="97"/>
      <c r="H8" s="97"/>
      <c r="I8" s="97"/>
      <c r="J8" s="72"/>
      <c r="K8" s="786">
        <f>ROUND(E96,5)</f>
        <v>-4.3499999999999996</v>
      </c>
      <c r="L8" s="258"/>
      <c r="M8" s="255" t="str">
        <f>$C$8</f>
        <v>scenario emissions in year 2100 in Gt</v>
      </c>
      <c r="N8" s="54"/>
      <c r="O8" s="54"/>
      <c r="P8" s="54"/>
      <c r="Q8" s="100"/>
      <c r="R8" s="54"/>
      <c r="S8" s="266"/>
      <c r="T8" s="786">
        <f>ROUND(scenarios!M96,2)</f>
        <v>-4.3499999999999996</v>
      </c>
      <c r="U8" s="6"/>
      <c r="V8" s="255" t="str">
        <f>$C$8</f>
        <v>scenario emissions in year 2100 in Gt</v>
      </c>
      <c r="W8" s="23"/>
      <c r="X8" s="23"/>
      <c r="Y8" s="23"/>
      <c r="Z8" s="23"/>
      <c r="AA8" s="37"/>
      <c r="AB8" s="23"/>
      <c r="AC8" s="786">
        <f>ROUND(V96,2)</f>
        <v>-4.3499999999999996</v>
      </c>
      <c r="AD8" s="8"/>
      <c r="AE8" s="255" t="str">
        <f>$C$8</f>
        <v>scenario emissions in year 2100 in Gt</v>
      </c>
      <c r="AF8" s="54"/>
      <c r="AG8" s="54"/>
      <c r="AH8" s="54"/>
      <c r="AI8" s="100"/>
      <c r="AJ8" s="54"/>
      <c r="AK8" s="23"/>
      <c r="AL8" s="786">
        <f>ROUND(AE96,2)</f>
        <v>-4.3499999999999996</v>
      </c>
      <c r="AM8" s="8"/>
      <c r="AN8" s="255" t="str">
        <f>$C$8</f>
        <v>scenario emissions in year 2100 in Gt</v>
      </c>
      <c r="AO8" s="54"/>
      <c r="AP8" s="54"/>
      <c r="AQ8" s="54"/>
      <c r="AR8" s="100"/>
      <c r="AS8" s="54"/>
      <c r="AT8" s="23"/>
      <c r="AU8" s="786">
        <f>ROUND(AN96,2)</f>
        <v>-4.3499999999999996</v>
      </c>
      <c r="AV8" s="8"/>
      <c r="AW8" s="255" t="str">
        <f>$C$8</f>
        <v>scenario emissions in year 2100 in Gt</v>
      </c>
      <c r="AX8" s="54"/>
      <c r="AY8" s="54"/>
      <c r="AZ8" s="54"/>
      <c r="BA8" s="100"/>
      <c r="BB8" s="54"/>
      <c r="BC8" s="23"/>
      <c r="BD8" s="786">
        <f>ROUND(AW96,2)</f>
        <v>-4.3499999999999996</v>
      </c>
      <c r="BE8" s="8"/>
      <c r="BF8" s="255" t="str">
        <f>$C$8</f>
        <v>scenario emissions in year 2100 in Gt</v>
      </c>
      <c r="BG8" s="54"/>
      <c r="BH8" s="54"/>
      <c r="BI8" s="54"/>
      <c r="BJ8" s="100"/>
      <c r="BK8" s="54"/>
      <c r="BL8" s="23"/>
      <c r="BM8" s="246">
        <f>BF96</f>
        <v>1.6828202150896504E-6</v>
      </c>
      <c r="BP8" s="524"/>
      <c r="BQ8" s="525"/>
      <c r="BR8" s="525"/>
      <c r="BS8" s="525"/>
      <c r="BT8" s="525"/>
      <c r="BU8" s="526"/>
      <c r="BV8" s="524"/>
      <c r="BW8" s="525"/>
      <c r="BX8" s="525"/>
      <c r="BY8" s="525"/>
      <c r="BZ8" s="525"/>
      <c r="CA8" s="721"/>
    </row>
    <row r="9" spans="1:79" ht="15" customHeight="1" thickBot="1" x14ac:dyDescent="0.25">
      <c r="C9" s="341"/>
      <c r="E9" s="31" t="s">
        <v>47</v>
      </c>
      <c r="F9" s="32"/>
      <c r="G9" s="32"/>
      <c r="H9" s="32"/>
      <c r="I9" s="32"/>
      <c r="J9" s="256"/>
      <c r="K9" s="251">
        <f>'goal seek'!C12</f>
        <v>-7.7676569107411844E-2</v>
      </c>
      <c r="L9" s="264"/>
      <c r="M9" s="138" t="s">
        <v>81</v>
      </c>
      <c r="N9" s="51"/>
      <c r="O9" s="51"/>
      <c r="P9" s="51"/>
      <c r="Q9" s="51"/>
      <c r="R9" s="51"/>
      <c r="S9" s="250"/>
      <c r="T9" s="75">
        <f>'goal seek'!D9</f>
        <v>-1.6E-2</v>
      </c>
      <c r="U9" s="6"/>
      <c r="V9" s="19" t="str">
        <f>M9</f>
        <v>reduction rate 2020 (RR_20); input value sheet "goal seek"</v>
      </c>
      <c r="W9" s="21"/>
      <c r="X9" s="20"/>
      <c r="Y9" s="20"/>
      <c r="Z9" s="21"/>
      <c r="AA9" s="21"/>
      <c r="AB9" s="21"/>
      <c r="AC9" s="73">
        <f>'goal seek'!E9</f>
        <v>-1.6E-2</v>
      </c>
      <c r="AD9" s="129"/>
      <c r="AE9" s="19" t="str">
        <f>V9</f>
        <v>reduction rate 2020 (RR_20); input value sheet "goal seek"</v>
      </c>
      <c r="AF9" s="21"/>
      <c r="AG9" s="21"/>
      <c r="AH9" s="21"/>
      <c r="AI9" s="36"/>
      <c r="AJ9" s="21"/>
      <c r="AK9" s="21"/>
      <c r="AL9" s="73">
        <f>'goal seek'!F9</f>
        <v>-1.6E-2</v>
      </c>
      <c r="AM9" s="129"/>
      <c r="AN9" s="19" t="str">
        <f>AE9</f>
        <v>reduction rate 2020 (RR_20); input value sheet "goal seek"</v>
      </c>
      <c r="AO9" s="21"/>
      <c r="AP9" s="21"/>
      <c r="AQ9" s="21"/>
      <c r="AR9" s="36"/>
      <c r="AS9" s="21"/>
      <c r="AT9" s="21"/>
      <c r="AU9" s="73">
        <f>'goal seek'!G9</f>
        <v>-1.6E-2</v>
      </c>
      <c r="AV9" s="129"/>
      <c r="AW9" s="683" t="s">
        <v>385</v>
      </c>
      <c r="AX9" s="684"/>
      <c r="AY9" s="684"/>
      <c r="AZ9" s="684"/>
      <c r="BA9" s="685"/>
      <c r="BB9" s="684"/>
      <c r="BC9" s="684"/>
      <c r="BD9" s="686">
        <f>AY16</f>
        <v>-3.6144907258855219E-2</v>
      </c>
      <c r="BE9" s="129"/>
      <c r="BF9" s="420" t="s">
        <v>106</v>
      </c>
      <c r="BG9" s="418" t="s">
        <v>117</v>
      </c>
      <c r="BH9" s="418"/>
      <c r="BI9" s="418"/>
      <c r="BJ9" s="419"/>
      <c r="BK9" s="418"/>
      <c r="BL9" s="418"/>
      <c r="BM9" s="435">
        <f>BM5/BF15</f>
        <v>7.9410690753351059</v>
      </c>
      <c r="BP9" s="527"/>
      <c r="BQ9" s="528"/>
      <c r="BR9" s="528"/>
      <c r="BS9" s="528"/>
      <c r="BT9" s="528"/>
      <c r="BU9" s="529"/>
      <c r="BV9" s="718"/>
      <c r="BW9" s="719"/>
      <c r="BX9" s="719"/>
      <c r="BY9" s="719"/>
      <c r="BZ9" s="719"/>
      <c r="CA9" s="721"/>
    </row>
    <row r="10" spans="1:79" ht="14.25" customHeight="1" thickBot="1" x14ac:dyDescent="0.25">
      <c r="E10" s="350" t="s">
        <v>85</v>
      </c>
      <c r="F10" s="351"/>
      <c r="G10" s="351"/>
      <c r="H10" s="351"/>
      <c r="I10" s="351"/>
      <c r="J10" s="352"/>
      <c r="K10" s="353">
        <f>IF('goal seek'!F31&gt;'goal seek'!F28,'goal seek'!F31,'goal seek'!F28)</f>
        <v>4</v>
      </c>
      <c r="L10" s="98"/>
      <c r="M10" s="52" t="s">
        <v>88</v>
      </c>
      <c r="N10" s="54"/>
      <c r="O10" s="54"/>
      <c r="P10" s="54"/>
      <c r="Q10" s="54"/>
      <c r="R10" s="54"/>
      <c r="S10" s="266"/>
      <c r="T10" s="265">
        <f>'goal seek'!D12</f>
        <v>0.14531195227010096</v>
      </c>
      <c r="U10" s="235"/>
      <c r="V10" s="304" t="s">
        <v>172</v>
      </c>
      <c r="W10" s="23"/>
      <c r="X10" s="53"/>
      <c r="Y10" s="53"/>
      <c r="Z10" s="54"/>
      <c r="AA10" s="54"/>
      <c r="AB10" s="54"/>
      <c r="AC10" s="234">
        <f>'goal seek'!E12</f>
        <v>-6.4754234438373619E-3</v>
      </c>
      <c r="AD10" s="9"/>
      <c r="AE10" s="22" t="s">
        <v>171</v>
      </c>
      <c r="AF10" s="23"/>
      <c r="AG10" s="23"/>
      <c r="AH10" s="23"/>
      <c r="AI10" s="37"/>
      <c r="AJ10" s="23"/>
      <c r="AK10" s="23"/>
      <c r="AL10" s="74">
        <f>'goal seek'!F13</f>
        <v>-5.3130963051560294E-4</v>
      </c>
      <c r="AM10" s="9"/>
      <c r="AN10" s="22" t="s">
        <v>171</v>
      </c>
      <c r="AO10" s="23"/>
      <c r="AP10" s="23"/>
      <c r="AQ10" s="23"/>
      <c r="AR10" s="37"/>
      <c r="AS10" s="23"/>
      <c r="AT10" s="23"/>
      <c r="AU10" s="74">
        <f>'goal seek'!G13</f>
        <v>-2.2606036944277836E-2</v>
      </c>
      <c r="AV10" s="9"/>
      <c r="AW10" s="22" t="s">
        <v>348</v>
      </c>
      <c r="AX10" s="23"/>
      <c r="AY10" s="23"/>
      <c r="AZ10" s="23"/>
      <c r="BA10" s="37"/>
      <c r="BB10" s="23"/>
      <c r="BC10" s="23"/>
      <c r="BD10" s="74">
        <f>'goal seek'!H13</f>
        <v>-1.5293518698504489</v>
      </c>
      <c r="BE10" s="9"/>
      <c r="BF10" s="420" t="s">
        <v>107</v>
      </c>
      <c r="BG10" s="30" t="str">
        <f>'goal seek'!C14</f>
        <v xml:space="preserve">rate of change of emissions at the end of the base year (r) : </v>
      </c>
      <c r="BH10" s="30"/>
      <c r="BI10" s="30"/>
      <c r="BJ10" s="416"/>
      <c r="BK10" s="30"/>
      <c r="BL10" s="30"/>
      <c r="BM10" s="436">
        <f>'goal seek'!I14</f>
        <v>-5.0000000000000001E-3</v>
      </c>
      <c r="BP10" s="949" t="s">
        <v>350</v>
      </c>
      <c r="BQ10" s="950"/>
      <c r="BR10" s="950"/>
      <c r="BS10" s="950"/>
      <c r="BT10" s="950"/>
      <c r="BU10" s="951"/>
      <c r="BV10" s="943" t="s">
        <v>166</v>
      </c>
      <c r="BW10" s="944"/>
      <c r="BX10" s="944"/>
      <c r="BY10" s="944"/>
      <c r="BZ10" s="944"/>
      <c r="CA10" s="945"/>
    </row>
    <row r="11" spans="1:79" ht="14.25" customHeight="1" x14ac:dyDescent="0.2">
      <c r="E11" s="15"/>
      <c r="F11" s="98"/>
      <c r="G11" s="98"/>
      <c r="H11" s="98"/>
      <c r="I11" s="98"/>
      <c r="J11" s="415"/>
      <c r="K11" s="417"/>
      <c r="L11" s="98"/>
      <c r="M11" s="97"/>
      <c r="N11" s="97"/>
      <c r="O11" s="97"/>
      <c r="P11" s="97"/>
      <c r="Q11" s="97"/>
      <c r="R11" s="97"/>
      <c r="S11" s="30"/>
      <c r="T11" s="424"/>
      <c r="U11" s="235"/>
      <c r="V11" s="98"/>
      <c r="W11" s="30"/>
      <c r="X11" s="97"/>
      <c r="Y11" s="97"/>
      <c r="Z11" s="97"/>
      <c r="AA11" s="97"/>
      <c r="AB11" s="97"/>
      <c r="AC11" s="423"/>
      <c r="AD11" s="9"/>
      <c r="AE11" s="30"/>
      <c r="AF11" s="30"/>
      <c r="AG11" s="30"/>
      <c r="AH11" s="30"/>
      <c r="AI11" s="416"/>
      <c r="AJ11" s="30"/>
      <c r="AK11" s="30"/>
      <c r="AL11" s="422"/>
      <c r="AM11" s="9"/>
      <c r="AN11" s="30"/>
      <c r="AO11" s="30"/>
      <c r="AP11" s="30"/>
      <c r="AQ11" s="30"/>
      <c r="AR11" s="416"/>
      <c r="AS11" s="30"/>
      <c r="AT11" s="30"/>
      <c r="AU11" s="422"/>
      <c r="AV11" s="9"/>
      <c r="AW11" s="30"/>
      <c r="AX11" s="30"/>
      <c r="AY11" s="30"/>
      <c r="AZ11" s="30"/>
      <c r="BA11" s="416"/>
      <c r="BB11" s="30"/>
      <c r="BC11" s="30"/>
      <c r="BD11" s="422"/>
      <c r="BE11" s="9"/>
      <c r="BF11" s="421" t="s">
        <v>108</v>
      </c>
      <c r="BG11" s="23" t="s">
        <v>113</v>
      </c>
      <c r="BH11" s="23"/>
      <c r="BI11" s="23"/>
      <c r="BJ11" s="37"/>
      <c r="BK11" s="23"/>
      <c r="BL11" s="23"/>
      <c r="BM11" s="437">
        <f>(1+SQRT(1+BM10*BM9))/BM9</f>
        <v>0.24932993682608459</v>
      </c>
      <c r="BP11" s="956"/>
      <c r="BQ11" s="957"/>
      <c r="BR11" s="957"/>
      <c r="BS11" s="957"/>
      <c r="BT11" s="957"/>
      <c r="BU11" s="711"/>
      <c r="BV11" s="946"/>
      <c r="BW11" s="947"/>
      <c r="BX11" s="947"/>
      <c r="BY11" s="947"/>
      <c r="BZ11" s="947"/>
      <c r="CA11" s="948"/>
    </row>
    <row r="12" spans="1:79" ht="14.25" customHeight="1" thickBot="1" x14ac:dyDescent="0.25">
      <c r="E12" s="15"/>
      <c r="F12" s="98"/>
      <c r="G12" s="98"/>
      <c r="H12" s="98"/>
      <c r="I12" s="98"/>
      <c r="J12" s="415"/>
      <c r="K12" s="417"/>
      <c r="L12" s="98"/>
      <c r="M12" s="97"/>
      <c r="N12" s="97"/>
      <c r="O12" s="97"/>
      <c r="P12" s="97"/>
      <c r="Q12" s="97"/>
      <c r="R12" s="97"/>
      <c r="S12" s="30"/>
      <c r="T12" s="424"/>
      <c r="U12" s="235"/>
      <c r="V12" s="98"/>
      <c r="W12" s="30"/>
      <c r="X12" s="97"/>
      <c r="Y12" s="97"/>
      <c r="Z12" s="97"/>
      <c r="AA12" s="97"/>
      <c r="AB12" s="97"/>
      <c r="AC12" s="423"/>
      <c r="AD12" s="9"/>
      <c r="AE12" s="30"/>
      <c r="AF12" s="30"/>
      <c r="AG12" s="30"/>
      <c r="AH12" s="30"/>
      <c r="AI12" s="416"/>
      <c r="AJ12" s="30"/>
      <c r="AK12" s="30"/>
      <c r="AL12" s="422"/>
      <c r="AM12" s="9"/>
      <c r="AN12" s="30"/>
      <c r="AO12" s="30"/>
      <c r="AP12" s="30"/>
      <c r="AQ12" s="30"/>
      <c r="AR12" s="416"/>
      <c r="AS12" s="30"/>
      <c r="AT12" s="30"/>
      <c r="AU12" s="422"/>
      <c r="AV12" s="9"/>
      <c r="AW12" s="30"/>
      <c r="AX12" s="30"/>
      <c r="AY12" s="30"/>
      <c r="AZ12" s="30"/>
      <c r="BA12" s="416"/>
      <c r="BB12" s="30"/>
      <c r="BC12" s="30"/>
      <c r="BD12" s="422"/>
      <c r="BE12" s="9"/>
      <c r="BI12" s="30"/>
      <c r="BJ12" s="416"/>
      <c r="BK12" s="30"/>
      <c r="BL12" s="30"/>
      <c r="BM12" s="30"/>
      <c r="BP12" s="530" t="s">
        <v>11</v>
      </c>
      <c r="BQ12" s="531" t="s">
        <v>11</v>
      </c>
      <c r="BR12" s="531" t="s">
        <v>11</v>
      </c>
      <c r="BS12" s="531" t="s">
        <v>11</v>
      </c>
      <c r="BT12" s="714" t="s">
        <v>11</v>
      </c>
      <c r="BU12" s="714" t="s">
        <v>11</v>
      </c>
      <c r="BV12" s="722" t="s">
        <v>11</v>
      </c>
      <c r="BW12" s="723" t="s">
        <v>11</v>
      </c>
      <c r="BX12" s="723" t="s">
        <v>11</v>
      </c>
      <c r="BY12" s="723" t="s">
        <v>11</v>
      </c>
      <c r="BZ12" s="723" t="s">
        <v>11</v>
      </c>
      <c r="CA12" s="724" t="s">
        <v>11</v>
      </c>
    </row>
    <row r="13" spans="1:79" ht="48" x14ac:dyDescent="0.2">
      <c r="A13" s="223"/>
      <c r="B13" s="354" t="s">
        <v>91</v>
      </c>
      <c r="C13" s="236" t="s">
        <v>44</v>
      </c>
      <c r="D13" s="181"/>
      <c r="E13" s="221" t="s">
        <v>54</v>
      </c>
      <c r="F13" s="285" t="s">
        <v>48</v>
      </c>
      <c r="G13" s="285" t="s">
        <v>49</v>
      </c>
      <c r="H13" s="285" t="s">
        <v>50</v>
      </c>
      <c r="I13" s="285" t="s">
        <v>51</v>
      </c>
      <c r="J13" s="303" t="s">
        <v>52</v>
      </c>
      <c r="K13" s="932" t="s">
        <v>41</v>
      </c>
      <c r="L13" s="226"/>
      <c r="M13" s="221" t="s">
        <v>54</v>
      </c>
      <c r="N13" s="285" t="s">
        <v>48</v>
      </c>
      <c r="O13" s="942" t="s">
        <v>49</v>
      </c>
      <c r="P13" s="942"/>
      <c r="Q13" s="285" t="s">
        <v>50</v>
      </c>
      <c r="R13" s="285" t="s">
        <v>51</v>
      </c>
      <c r="S13" s="303" t="s">
        <v>52</v>
      </c>
      <c r="T13" s="932" t="s">
        <v>41</v>
      </c>
      <c r="U13" s="6"/>
      <c r="V13" s="221" t="s">
        <v>54</v>
      </c>
      <c r="W13" s="285" t="s">
        <v>48</v>
      </c>
      <c r="X13" s="942" t="s">
        <v>49</v>
      </c>
      <c r="Y13" s="942"/>
      <c r="Z13" s="285" t="s">
        <v>50</v>
      </c>
      <c r="AA13" s="285" t="s">
        <v>51</v>
      </c>
      <c r="AB13" s="303" t="s">
        <v>52</v>
      </c>
      <c r="AC13" s="932" t="str">
        <f>T13</f>
        <v>t / capita</v>
      </c>
      <c r="AD13" s="6"/>
      <c r="AE13" s="221" t="s">
        <v>54</v>
      </c>
      <c r="AF13" s="285" t="s">
        <v>48</v>
      </c>
      <c r="AG13" s="942" t="s">
        <v>49</v>
      </c>
      <c r="AH13" s="942"/>
      <c r="AI13" s="285" t="s">
        <v>50</v>
      </c>
      <c r="AJ13" s="285" t="s">
        <v>51</v>
      </c>
      <c r="AK13" s="303" t="s">
        <v>52</v>
      </c>
      <c r="AL13" s="932" t="str">
        <f>K13</f>
        <v>t / capita</v>
      </c>
      <c r="AM13" s="6"/>
      <c r="AN13" s="221" t="s">
        <v>54</v>
      </c>
      <c r="AO13" s="285" t="s">
        <v>48</v>
      </c>
      <c r="AP13" s="942" t="s">
        <v>49</v>
      </c>
      <c r="AQ13" s="942"/>
      <c r="AR13" s="285" t="s">
        <v>50</v>
      </c>
      <c r="AS13" s="285" t="s">
        <v>51</v>
      </c>
      <c r="AT13" s="303" t="s">
        <v>52</v>
      </c>
      <c r="AU13" s="932" t="str">
        <f>T13</f>
        <v>t / capita</v>
      </c>
      <c r="AV13" s="6"/>
      <c r="AW13" s="221" t="s">
        <v>54</v>
      </c>
      <c r="AX13" s="285" t="s">
        <v>48</v>
      </c>
      <c r="AY13" s="942" t="s">
        <v>49</v>
      </c>
      <c r="AZ13" s="942"/>
      <c r="BA13" s="285" t="s">
        <v>50</v>
      </c>
      <c r="BB13" s="285" t="s">
        <v>51</v>
      </c>
      <c r="BC13" s="303" t="s">
        <v>52</v>
      </c>
      <c r="BD13" s="932" t="str">
        <f>AC13</f>
        <v>t / capita</v>
      </c>
      <c r="BE13" s="6"/>
      <c r="BF13" s="221" t="s">
        <v>54</v>
      </c>
      <c r="BG13" s="285" t="s">
        <v>48</v>
      </c>
      <c r="BH13" s="942" t="s">
        <v>49</v>
      </c>
      <c r="BI13" s="942"/>
      <c r="BJ13" s="285" t="s">
        <v>50</v>
      </c>
      <c r="BK13" s="285" t="s">
        <v>51</v>
      </c>
      <c r="BL13" s="303" t="s">
        <v>52</v>
      </c>
      <c r="BM13" s="932" t="str">
        <f>T13</f>
        <v>t / capita</v>
      </c>
      <c r="BP13" s="532"/>
      <c r="BQ13" s="533"/>
      <c r="BR13" s="533"/>
      <c r="BS13" s="533"/>
      <c r="BT13" s="533"/>
      <c r="BU13" s="533"/>
      <c r="BV13" s="532"/>
      <c r="BW13" s="533"/>
      <c r="BX13" s="533"/>
      <c r="BY13" s="533"/>
      <c r="BZ13" s="533"/>
      <c r="CA13" s="534"/>
    </row>
    <row r="14" spans="1:79" ht="33" thickBot="1" x14ac:dyDescent="0.3">
      <c r="A14" s="223"/>
      <c r="B14" s="223"/>
      <c r="C14" s="237" t="s">
        <v>0</v>
      </c>
      <c r="D14" s="247"/>
      <c r="E14" s="241" t="s">
        <v>55</v>
      </c>
      <c r="F14" s="229" t="s">
        <v>7</v>
      </c>
      <c r="G14" s="229" t="s">
        <v>72</v>
      </c>
      <c r="H14" s="231">
        <f>GCP!L51</f>
        <v>27.510790683817579</v>
      </c>
      <c r="I14" s="230"/>
      <c r="J14" s="231">
        <f>'base data'!G18</f>
        <v>40.523658056136497</v>
      </c>
      <c r="K14" s="933"/>
      <c r="L14" s="226"/>
      <c r="M14" s="241" t="s">
        <v>55</v>
      </c>
      <c r="N14" s="229" t="s">
        <v>7</v>
      </c>
      <c r="O14" s="229" t="s">
        <v>68</v>
      </c>
      <c r="P14" s="229" t="s">
        <v>56</v>
      </c>
      <c r="Q14" s="334">
        <f>H14</f>
        <v>27.510790683817579</v>
      </c>
      <c r="R14" s="230"/>
      <c r="S14" s="231">
        <f>J14</f>
        <v>40.523658056136497</v>
      </c>
      <c r="T14" s="933"/>
      <c r="U14" s="6"/>
      <c r="V14" s="241" t="s">
        <v>55</v>
      </c>
      <c r="W14" s="229" t="s">
        <v>7</v>
      </c>
      <c r="X14" s="229" t="s">
        <v>57</v>
      </c>
      <c r="Y14" s="229" t="s">
        <v>58</v>
      </c>
      <c r="Z14" s="334">
        <f>Q14</f>
        <v>27.510790683817579</v>
      </c>
      <c r="AA14" s="230"/>
      <c r="AB14" s="231">
        <f>S14</f>
        <v>40.523658056136497</v>
      </c>
      <c r="AC14" s="933"/>
      <c r="AD14" s="11"/>
      <c r="AE14" s="241" t="s">
        <v>55</v>
      </c>
      <c r="AF14" s="229" t="s">
        <v>7</v>
      </c>
      <c r="AG14" s="229" t="s">
        <v>53</v>
      </c>
      <c r="AH14" s="229" t="s">
        <v>58</v>
      </c>
      <c r="AI14" s="334">
        <f>Z14</f>
        <v>27.510790683817579</v>
      </c>
      <c r="AJ14" s="230"/>
      <c r="AK14" s="231">
        <f>AB14</f>
        <v>40.523658056136497</v>
      </c>
      <c r="AL14" s="968"/>
      <c r="AM14" s="11"/>
      <c r="AN14" s="241" t="s">
        <v>55</v>
      </c>
      <c r="AO14" s="229" t="s">
        <v>7</v>
      </c>
      <c r="AP14" s="229" t="s">
        <v>53</v>
      </c>
      <c r="AQ14" s="229" t="s">
        <v>58</v>
      </c>
      <c r="AR14" s="334">
        <f>AI14</f>
        <v>27.510790683817579</v>
      </c>
      <c r="AS14" s="230"/>
      <c r="AT14" s="231">
        <f>AK14</f>
        <v>40.523658056136497</v>
      </c>
      <c r="AU14" s="968"/>
      <c r="AV14" s="11"/>
      <c r="AW14" s="241" t="s">
        <v>55</v>
      </c>
      <c r="AX14" s="229" t="s">
        <v>7</v>
      </c>
      <c r="AY14" s="229" t="s">
        <v>53</v>
      </c>
      <c r="AZ14" s="229" t="s">
        <v>58</v>
      </c>
      <c r="BA14" s="334">
        <f>AR14</f>
        <v>27.510790683817579</v>
      </c>
      <c r="BB14" s="230"/>
      <c r="BC14" s="231">
        <f>AT14</f>
        <v>40.523658056136497</v>
      </c>
      <c r="BD14" s="968"/>
      <c r="BE14" s="11"/>
      <c r="BF14" s="241" t="s">
        <v>55</v>
      </c>
      <c r="BG14" s="229" t="s">
        <v>7</v>
      </c>
      <c r="BH14" s="229"/>
      <c r="BI14" s="229" t="s">
        <v>58</v>
      </c>
      <c r="BJ14" s="334">
        <f>AI14</f>
        <v>27.510790683817579</v>
      </c>
      <c r="BK14" s="230"/>
      <c r="BL14" s="231">
        <f>AK14</f>
        <v>40.523658056136497</v>
      </c>
      <c r="BM14" s="968"/>
      <c r="BP14" s="535"/>
      <c r="BQ14" s="536"/>
      <c r="BR14" s="536"/>
      <c r="BS14" s="536"/>
      <c r="BT14" s="536"/>
      <c r="BU14" s="552"/>
      <c r="BV14" s="551"/>
      <c r="BW14" s="552"/>
      <c r="BX14" s="552"/>
      <c r="BY14" s="552"/>
      <c r="BZ14" s="552"/>
      <c r="CA14" s="553"/>
    </row>
    <row r="15" spans="1:79" s="11" customFormat="1" ht="13.5" thickBot="1" x14ac:dyDescent="0.25">
      <c r="A15" s="223">
        <v>1</v>
      </c>
      <c r="B15" s="823">
        <v>7713468.1000000099</v>
      </c>
      <c r="C15" s="238">
        <v>2019</v>
      </c>
      <c r="D15" s="248"/>
      <c r="E15" s="242">
        <f>'base data'!$L$28</f>
        <v>42.311683327829648</v>
      </c>
      <c r="F15" s="27"/>
      <c r="G15" s="27"/>
      <c r="H15" s="201">
        <f t="shared" ref="H15:H46" si="1">(E15-$H$14)/$H$14</f>
        <v>0.5380031717052125</v>
      </c>
      <c r="I15" s="201"/>
      <c r="J15" s="101">
        <f>(E15-J14)/J14</f>
        <v>4.4122997712009122E-2</v>
      </c>
      <c r="K15" s="222">
        <f t="shared" ref="K15:K46" si="2">E15*1000000/B15</f>
        <v>5.4854292231829671</v>
      </c>
      <c r="L15" s="263"/>
      <c r="M15" s="242">
        <f>'base data'!$L$28</f>
        <v>42.311683327829648</v>
      </c>
      <c r="N15" s="27"/>
      <c r="O15" s="27"/>
      <c r="P15" s="201"/>
      <c r="Q15" s="201">
        <f>(M15-Q$14)/Q$14</f>
        <v>0.5380031717052125</v>
      </c>
      <c r="R15" s="201"/>
      <c r="S15" s="201">
        <f>(M15-S14)/S14</f>
        <v>4.4122997712009122E-2</v>
      </c>
      <c r="T15" s="222">
        <f>M15*1000000/$B15</f>
        <v>5.4854292231829671</v>
      </c>
      <c r="V15" s="242">
        <f>'base data'!$L$28</f>
        <v>42.311683327829648</v>
      </c>
      <c r="W15" s="27"/>
      <c r="X15" s="27"/>
      <c r="Y15" s="27"/>
      <c r="Z15" s="201">
        <f>(V15-Z$14)/Z$14</f>
        <v>0.5380031717052125</v>
      </c>
      <c r="AA15" s="201"/>
      <c r="AB15" s="201">
        <f>(V15-AB14)/AB14</f>
        <v>4.4122997712009122E-2</v>
      </c>
      <c r="AC15" s="222">
        <f>V15*1000000/$B15</f>
        <v>5.4854292231829671</v>
      </c>
      <c r="AD15" s="6"/>
      <c r="AE15" s="242">
        <f>'base data'!$L$28</f>
        <v>42.311683327829648</v>
      </c>
      <c r="AF15" s="27"/>
      <c r="AG15" s="269"/>
      <c r="AH15" s="269"/>
      <c r="AI15" s="201">
        <f>(AE15-AI$14)/AI$14</f>
        <v>0.5380031717052125</v>
      </c>
      <c r="AJ15" s="201"/>
      <c r="AK15" s="201">
        <f>(AE15-AK14)/AK14</f>
        <v>4.4122997712009122E-2</v>
      </c>
      <c r="AL15" s="222">
        <f>AE15*1000000/$B15</f>
        <v>5.4854292231829671</v>
      </c>
      <c r="AM15" s="6"/>
      <c r="AN15" s="242">
        <f>'base data'!$L$28</f>
        <v>42.311683327829648</v>
      </c>
      <c r="AO15" s="27"/>
      <c r="AP15" s="269"/>
      <c r="AQ15" s="269"/>
      <c r="AR15" s="201">
        <f>(AN15-AR$14)/AR$14</f>
        <v>0.5380031717052125</v>
      </c>
      <c r="AS15" s="201"/>
      <c r="AT15" s="201">
        <f>(AN15-AT14)/AT14</f>
        <v>4.4122997712009122E-2</v>
      </c>
      <c r="AU15" s="222">
        <f>AN15*1000000/$B15</f>
        <v>5.4854292231829671</v>
      </c>
      <c r="AV15" s="6"/>
      <c r="AW15" s="242">
        <f>'base data'!$L$28</f>
        <v>42.311683327829648</v>
      </c>
      <c r="AX15" s="27"/>
      <c r="AY15" s="269"/>
      <c r="AZ15" s="269"/>
      <c r="BA15" s="201">
        <f>(AW15-BA$14)/BA$14</f>
        <v>0.5380031717052125</v>
      </c>
      <c r="BB15" s="201"/>
      <c r="BC15" s="201">
        <f>(AW15-BC14)/BC14</f>
        <v>4.4122997712009122E-2</v>
      </c>
      <c r="BD15" s="222">
        <f>AW15*1000000/$B15</f>
        <v>5.4854292231829671</v>
      </c>
      <c r="BE15" s="6"/>
      <c r="BF15" s="242">
        <f>'base data'!$L$28</f>
        <v>42.311683327829648</v>
      </c>
      <c r="BG15" s="27"/>
      <c r="BH15" s="269"/>
      <c r="BI15" s="269"/>
      <c r="BJ15" s="201">
        <f>(BF15-BJ$14)/BJ$14</f>
        <v>0.5380031717052125</v>
      </c>
      <c r="BK15" s="201"/>
      <c r="BL15" s="201">
        <f>(BF15-BL14)/BL14</f>
        <v>4.4122997712009122E-2</v>
      </c>
      <c r="BM15" s="222">
        <f>BF15*1000000/$B15</f>
        <v>5.4854292231829671</v>
      </c>
      <c r="BO15" s="550" t="s">
        <v>170</v>
      </c>
      <c r="BP15" s="537">
        <f>'base data'!N18</f>
        <v>84.41286076845617</v>
      </c>
      <c r="BQ15" s="538">
        <f>BP15</f>
        <v>84.41286076845617</v>
      </c>
      <c r="BR15" s="538">
        <f t="shared" ref="BR15:BU15" si="3">BQ15</f>
        <v>84.41286076845617</v>
      </c>
      <c r="BS15" s="538">
        <f t="shared" si="3"/>
        <v>84.41286076845617</v>
      </c>
      <c r="BT15" s="538">
        <f t="shared" si="3"/>
        <v>84.41286076845617</v>
      </c>
      <c r="BU15" s="538">
        <f t="shared" si="3"/>
        <v>84.41286076845617</v>
      </c>
      <c r="BV15" s="537" t="str">
        <f t="shared" ref="BV15:BV46" si="4">IF(BP15-$BP$7&gt;0,BP15-$BP$7,"")</f>
        <v/>
      </c>
      <c r="BW15" s="538" t="str">
        <f t="shared" ref="BW15:BW46" si="5">IF(BQ15-$BP$7&gt;0,BQ15-$BP$7,"")</f>
        <v/>
      </c>
      <c r="BX15" s="538" t="str">
        <f t="shared" ref="BX15:BX46" si="6">IF(BR15-$BP$7&gt;0,BR15-$BP$7,"")</f>
        <v/>
      </c>
      <c r="BY15" s="538" t="str">
        <f t="shared" ref="BY15:BY46" si="7">IF(BS15-$BP$7&gt;0,BS15-$BP$7,"")</f>
        <v/>
      </c>
      <c r="BZ15" s="538" t="str">
        <f t="shared" ref="BZ15:CA46" si="8">IF(BT15-$BP$7&gt;0,BT15-$BP$7,"")</f>
        <v/>
      </c>
      <c r="CA15" s="539" t="str">
        <f t="shared" si="8"/>
        <v/>
      </c>
    </row>
    <row r="16" spans="1:79" x14ac:dyDescent="0.2">
      <c r="A16" s="239">
        <f>A15+1</f>
        <v>2</v>
      </c>
      <c r="B16" s="822">
        <v>7794798.7390000001</v>
      </c>
      <c r="C16" s="239">
        <v>2020</v>
      </c>
      <c r="E16" s="254">
        <f>IF(E15&gt;$K$10,MAX($K$7,E15*(1+$K$9)),MAX($K$7,scenarios!E15+scenarios!F15))</f>
        <v>39.02505693376456</v>
      </c>
      <c r="F16" s="14">
        <f t="shared" ref="F16:F47" si="9">E16-E15</f>
        <v>-3.2866263940650882</v>
      </c>
      <c r="G16" s="9">
        <f>IF(E16&gt;0,E16/E15-1,"")</f>
        <v>-7.7676569107411941E-2</v>
      </c>
      <c r="H16" s="18">
        <f t="shared" si="1"/>
        <v>0.41853636205083389</v>
      </c>
      <c r="I16" s="102">
        <f t="shared" ref="I16:I47" si="10">(E16-$E$15)/$E$15</f>
        <v>-7.7676569107411914E-2</v>
      </c>
      <c r="J16" s="18">
        <f t="shared" ref="J16:J47" si="11">(E16-$J$14)/$J$14</f>
        <v>-3.6980894476405846E-2</v>
      </c>
      <c r="K16" s="136">
        <f t="shared" si="2"/>
        <v>5.0065509374230635</v>
      </c>
      <c r="L16" s="263"/>
      <c r="M16" s="243">
        <f>IF(M15&gt;'goal seek'!$F$28,MAX($T$7,M15*(1+O16)),MAX($T$7,M15+N15))</f>
        <v>41.634696394584374</v>
      </c>
      <c r="N16" s="14">
        <f t="shared" ref="N16:N47" si="12">M16-M15</f>
        <v>-0.67698693324527426</v>
      </c>
      <c r="O16" s="128">
        <f>T9</f>
        <v>-1.6E-2</v>
      </c>
      <c r="P16" s="9">
        <f>IF(M16&gt;0,M16/M15-1,"")</f>
        <v>-1.6000000000000014E-2</v>
      </c>
      <c r="Q16" s="18">
        <f t="shared" ref="Q16:Q79" si="13">(M16-Q$14)/Q$14</f>
        <v>0.51339512095792916</v>
      </c>
      <c r="R16" s="102">
        <f t="shared" ref="R16:R47" si="14">(M16-$M$15)/$M$15</f>
        <v>-1.5999999999999997E-2</v>
      </c>
      <c r="S16" s="18">
        <f t="shared" ref="S16:S47" si="15">(M16-$S$14)/$S$14</f>
        <v>2.7417029748616983E-2</v>
      </c>
      <c r="T16" s="136">
        <f>M16*1000000/$B16</f>
        <v>5.3413433481318746</v>
      </c>
      <c r="U16" s="6"/>
      <c r="V16" s="243">
        <f>IF(V15&gt;'goal seek'!$F$28,MAX($AC$7,V15*(1+X16)),MAX($AC$7,V15+W15))</f>
        <v>41.634696394584374</v>
      </c>
      <c r="W16" s="14">
        <f t="shared" ref="W16:W47" si="16">V16-V15</f>
        <v>-0.67698693324527426</v>
      </c>
      <c r="X16" s="128">
        <f>AC9</f>
        <v>-1.6E-2</v>
      </c>
      <c r="Y16" s="9">
        <f>IF(V16&gt;0,V16/V15-1,"")</f>
        <v>-1.6000000000000014E-2</v>
      </c>
      <c r="Z16" s="18">
        <f t="shared" ref="Z16:Z79" si="17">(V16-Z$14)/Z$14</f>
        <v>0.51339512095792916</v>
      </c>
      <c r="AA16" s="102">
        <f t="shared" ref="AA16:AA47" si="18">(V16-$V$15)/$V$15</f>
        <v>-1.5999999999999997E-2</v>
      </c>
      <c r="AB16" s="18">
        <f t="shared" ref="AB16:AB47" si="19">(V16-$AB$14)/$AB$14</f>
        <v>2.7417029748616983E-2</v>
      </c>
      <c r="AC16" s="136">
        <f>V16*1000000/$B16</f>
        <v>5.3413433481318746</v>
      </c>
      <c r="AD16" s="6"/>
      <c r="AE16" s="243">
        <f>IF(AE15&gt;'goal seek'!$F$28,MAX($AL$7,AE15*(1+AG16)),MAX($AL$7,AE15+AF15))</f>
        <v>41.634696394584374</v>
      </c>
      <c r="AF16" s="14">
        <f t="shared" ref="AF16:AF46" si="20">AE16-AE15</f>
        <v>-0.67698693324527426</v>
      </c>
      <c r="AG16" s="135">
        <f t="shared" ref="AG16:AG47" si="21">$AL$10*(C16-2020)^2+$AL$9</f>
        <v>-1.6E-2</v>
      </c>
      <c r="AH16" s="9">
        <f>IF(AE16&gt;0,AE16/AE15-1,"")</f>
        <v>-1.6000000000000014E-2</v>
      </c>
      <c r="AI16" s="18">
        <f t="shared" ref="AI16:AI79" si="22">(AE16-AI$14)/AI$14</f>
        <v>0.51339512095792916</v>
      </c>
      <c r="AJ16" s="102">
        <f t="shared" ref="AJ16:AJ46" si="23">(AE16-$AE$15)/$AE$15</f>
        <v>-1.5999999999999997E-2</v>
      </c>
      <c r="AK16" s="18">
        <f t="shared" ref="AK16:AK46" si="24">(AE16-$AK$14)/$AK$14</f>
        <v>2.7417029748616983E-2</v>
      </c>
      <c r="AL16" s="136">
        <f>AE16*1000000/$B16</f>
        <v>5.3413433481318746</v>
      </c>
      <c r="AM16" s="6"/>
      <c r="AN16" s="243">
        <f>IF(AN15&gt;'goal seek'!$F$28,MAX($AL$7,AN15*(1+AP16)),MAX($AL$7,AN15+AO15))</f>
        <v>41.634696394584374</v>
      </c>
      <c r="AO16" s="14">
        <f t="shared" ref="AO16:AO79" si="25">AN16-AN15</f>
        <v>-0.67698693324527426</v>
      </c>
      <c r="AP16" s="578">
        <f>AU9</f>
        <v>-1.6E-2</v>
      </c>
      <c r="AQ16" s="9">
        <f>IF(AN16&gt;0,AN16/AN15-1,"")</f>
        <v>-1.6000000000000014E-2</v>
      </c>
      <c r="AR16" s="18">
        <f t="shared" ref="AR16:AR79" si="26">(AN16-AR$14)/AR$14</f>
        <v>0.51339512095792916</v>
      </c>
      <c r="AS16" s="102">
        <f t="shared" ref="AS16:AS79" si="27">(AN16-$AE$15)/$AE$15</f>
        <v>-1.5999999999999997E-2</v>
      </c>
      <c r="AT16" s="18">
        <f t="shared" ref="AT16:AT79" si="28">(AN16-$AK$14)/$AK$14</f>
        <v>2.7417029748616983E-2</v>
      </c>
      <c r="AU16" s="136">
        <f>AN16*1000000/$B16</f>
        <v>5.3413433481318746</v>
      </c>
      <c r="AV16" s="6"/>
      <c r="AW16" s="243">
        <f>MAX(AW15+$BD$10,$BD$7)</f>
        <v>40.782331457979197</v>
      </c>
      <c r="AX16" s="729">
        <f>AW16-AW15</f>
        <v>-1.5293518698504514</v>
      </c>
      <c r="AY16" s="9">
        <f>AW16/AW15-1</f>
        <v>-3.6144907258855219E-2</v>
      </c>
      <c r="AZ16" s="9">
        <f>AW16/AW15-1</f>
        <v>-3.6144907258855219E-2</v>
      </c>
      <c r="BA16" s="18">
        <f t="shared" ref="BA16:BA79" si="29">(AW16-BA$14)/BA$14</f>
        <v>0.48241218970010252</v>
      </c>
      <c r="BB16" s="102">
        <f t="shared" ref="BB16:BB79" si="30">(AW16-$AE$15)/$AE$15</f>
        <v>-3.6144907258855177E-2</v>
      </c>
      <c r="BC16" s="18">
        <f t="shared" ref="BC16:BC79" si="31">(AW16-$AK$14)/$AK$14</f>
        <v>6.3832687928707015E-3</v>
      </c>
      <c r="BD16" s="136">
        <f>AW16*1000000/$B16</f>
        <v>5.231992874162545</v>
      </c>
      <c r="BE16" s="6"/>
      <c r="BF16" s="243">
        <f>-BF$15*EXP(-BM$11*($C16-$C$15))/BM$11^2*((BM$10*BM$11+BM$11^2)*($C16-$C$15)+2*BM$11+BM$10)
  +BF$15*EXP(-BM$11*($C15-$C$15))/BM$11^2*((BM$10*BM$11+BM$11^2)*($C15-$C$15)+2*BM$11+BM$10)</f>
        <v>41.834339829518569</v>
      </c>
      <c r="BG16" s="14">
        <f t="shared" ref="BG16:BG79" si="32">BF16-BF15</f>
        <v>-0.47734349831107892</v>
      </c>
      <c r="BH16" s="9"/>
      <c r="BI16" s="9">
        <f>IF(BF16&gt;0,BF16/BF15-1,"")</f>
        <v>-1.1281600276042858E-2</v>
      </c>
      <c r="BJ16" s="18">
        <f t="shared" ref="BJ16:BJ79" si="33">(BF16-BJ$14)/BJ$14</f>
        <v>0.52065203469874832</v>
      </c>
      <c r="BK16" s="102">
        <f t="shared" ref="BK16:BK79" si="34">(BF16-$AE$15)/$AE$15</f>
        <v>-1.1281600276042809E-2</v>
      </c>
      <c r="BL16" s="18">
        <f t="shared" ref="BL16:BL79" si="35">(BF16-$AK$14)/$AK$14</f>
        <v>3.2343619412798674E-2</v>
      </c>
      <c r="BM16" s="136">
        <f>BF16*1000000/$B16</f>
        <v>5.3669557393710878</v>
      </c>
      <c r="BP16" s="540">
        <f t="shared" ref="BP16:BP47" si="36">BP15+E16</f>
        <v>123.43791770222073</v>
      </c>
      <c r="BQ16" s="541">
        <f t="shared" ref="BQ16:BQ47" si="37">BQ15+M16</f>
        <v>126.04755716304055</v>
      </c>
      <c r="BR16" s="541">
        <f t="shared" ref="BR16:BR47" si="38">BR15+V16</f>
        <v>126.04755716304055</v>
      </c>
      <c r="BS16" s="541">
        <f t="shared" ref="BS16:BS47" si="39">BS15+AE16</f>
        <v>126.04755716304055</v>
      </c>
      <c r="BT16" s="541">
        <f>BT15+AN16</f>
        <v>126.04755716304055</v>
      </c>
      <c r="BU16" s="541">
        <f>BU15+AW16</f>
        <v>125.19519222643537</v>
      </c>
      <c r="BV16" s="540" t="str">
        <f t="shared" si="4"/>
        <v/>
      </c>
      <c r="BW16" s="541" t="str">
        <f t="shared" si="5"/>
        <v/>
      </c>
      <c r="BX16" s="541" t="str">
        <f t="shared" si="6"/>
        <v/>
      </c>
      <c r="BY16" s="541" t="str">
        <f t="shared" si="7"/>
        <v/>
      </c>
      <c r="BZ16" s="541" t="str">
        <f t="shared" si="8"/>
        <v/>
      </c>
      <c r="CA16" s="542" t="str">
        <f t="shared" si="8"/>
        <v/>
      </c>
    </row>
    <row r="17" spans="1:79" ht="13.35" customHeight="1" x14ac:dyDescent="0.2">
      <c r="A17" s="239">
        <f t="shared" ref="A17:A80" si="40">A16+1</f>
        <v>3</v>
      </c>
      <c r="B17" s="822">
        <v>7874965.8249999899</v>
      </c>
      <c r="C17" s="239">
        <f t="shared" ref="C17:C80" si="41">C16+1</f>
        <v>2021</v>
      </c>
      <c r="E17" s="254">
        <f>IF(E16&gt;$K$10,MAX($K$7,E16*(1+$K$9)),MAX($K$7,scenarios!E16+scenarios!F16))</f>
        <v>35.993724401928318</v>
      </c>
      <c r="F17" s="14">
        <f t="shared" si="9"/>
        <v>-3.0313325318362416</v>
      </c>
      <c r="G17" s="9">
        <f t="shared" ref="G17:G80" si="42">IF(E17&gt;0,E17/E16-1,"")</f>
        <v>-7.7676569107411719E-2</v>
      </c>
      <c r="H17" s="18">
        <f t="shared" si="1"/>
        <v>0.3083493242926158</v>
      </c>
      <c r="I17" s="102">
        <f t="shared" si="10"/>
        <v>-0.14931948882652515</v>
      </c>
      <c r="J17" s="18">
        <f t="shared" si="11"/>
        <v>-0.11178491457836717</v>
      </c>
      <c r="K17" s="136">
        <f t="shared" si="2"/>
        <v>4.5706515052626742</v>
      </c>
      <c r="L17" s="263"/>
      <c r="M17" s="243">
        <f>IF(M16&gt;'goal seek'!$F$28,MAX($T$7,M16*(1+O17)),MAX($T$7,M16+N16))</f>
        <v>40.871740948026705</v>
      </c>
      <c r="N17" s="14">
        <f t="shared" si="12"/>
        <v>-0.76295544655766889</v>
      </c>
      <c r="O17" s="135">
        <f>MAX(-5,O16*(1+$T$10))</f>
        <v>-1.8324991236321617E-2</v>
      </c>
      <c r="P17" s="9">
        <f t="shared" ref="P17:P80" si="43">IF(M17&gt;0,M17/M16-1,"")</f>
        <v>-1.8324991236321586E-2</v>
      </c>
      <c r="Q17" s="18">
        <f t="shared" si="13"/>
        <v>0.48566216862928319</v>
      </c>
      <c r="R17" s="102">
        <f t="shared" si="14"/>
        <v>-3.4031791376540443E-2</v>
      </c>
      <c r="S17" s="18">
        <f t="shared" si="15"/>
        <v>8.5896216824260137E-3</v>
      </c>
      <c r="T17" s="136">
        <f t="shared" ref="T17:T80" si="44">M17*1000000/$B17</f>
        <v>5.1900848659272443</v>
      </c>
      <c r="U17" s="6"/>
      <c r="V17" s="243">
        <f>IF(V16&gt;'goal seek'!$F$28,MAX($AC$7,V16*(1+X17)),MAX($AC$7,V16+W16))</f>
        <v>40.698938963160479</v>
      </c>
      <c r="W17" s="14">
        <f t="shared" si="16"/>
        <v>-0.93575743142389456</v>
      </c>
      <c r="X17" s="135">
        <f>X16+$AC$10</f>
        <v>-2.2475423443837364E-2</v>
      </c>
      <c r="Y17" s="9">
        <f t="shared" ref="Y17:Y80" si="45">IF(V17&gt;0,V17/V16-1,"")</f>
        <v>-2.2475423443837461E-2</v>
      </c>
      <c r="Z17" s="18">
        <f t="shared" si="17"/>
        <v>0.47938092477656213</v>
      </c>
      <c r="AA17" s="102">
        <f t="shared" si="18"/>
        <v>-3.8115816668736008E-2</v>
      </c>
      <c r="AB17" s="18">
        <f t="shared" si="19"/>
        <v>4.3253969516071173E-3</v>
      </c>
      <c r="AC17" s="136">
        <f t="shared" ref="AC17:AC80" si="46">V17*1000000/$B17</f>
        <v>5.1681416615113411</v>
      </c>
      <c r="AD17" s="6"/>
      <c r="AE17" s="243">
        <f>IF(AE16&gt;'goal seek'!$F$28,MAX($AL$7,AE16*(1+AG17)),MAX($AL$7,AE16+AF16))</f>
        <v>40.94642033711299</v>
      </c>
      <c r="AF17" s="14">
        <f t="shared" si="20"/>
        <v>-0.68827605747138421</v>
      </c>
      <c r="AG17" s="135">
        <f t="shared" si="21"/>
        <v>-1.6531309630515603E-2</v>
      </c>
      <c r="AH17" s="9">
        <f t="shared" ref="AH17:AH80" si="47">IF(AE17&gt;0,AE17/AE16-1,"")</f>
        <v>-1.6531309630515523E-2</v>
      </c>
      <c r="AI17" s="18">
        <f t="shared" si="22"/>
        <v>0.48837671762006202</v>
      </c>
      <c r="AJ17" s="102">
        <f t="shared" si="23"/>
        <v>-3.2266808676427311E-2</v>
      </c>
      <c r="AK17" s="18">
        <f t="shared" si="24"/>
        <v>1.0432480710177976E-2</v>
      </c>
      <c r="AL17" s="136">
        <f t="shared" ref="AL17:AL80" si="48">AE17*1000000/$B17</f>
        <v>5.199568004107884</v>
      </c>
      <c r="AM17" s="6"/>
      <c r="AN17" s="243">
        <f>IF(AN16&gt;'goal seek'!$F$28,MAX($AL$7,AN16*(1+AP17)),MAX($AL$7,AN16+AO16))</f>
        <v>40.303015542504525</v>
      </c>
      <c r="AO17" s="14">
        <f t="shared" si="25"/>
        <v>-1.3316808520798489</v>
      </c>
      <c r="AP17" s="135">
        <f t="shared" ref="AP17:AP80" si="49">$AU$10*SQRT(C17-$AU$4-2020)+$AU$9</f>
        <v>-3.1984882019052474E-2</v>
      </c>
      <c r="AQ17" s="9">
        <f t="shared" ref="AQ17:AQ80" si="50">IF(AN17&gt;0,AN17/AN16-1,"")</f>
        <v>-3.1984882019052474E-2</v>
      </c>
      <c r="AR17" s="18">
        <f t="shared" si="26"/>
        <v>0.4649893565658802</v>
      </c>
      <c r="AS17" s="102">
        <f t="shared" si="27"/>
        <v>-4.7473123906747593E-2</v>
      </c>
      <c r="AT17" s="18">
        <f t="shared" si="28"/>
        <v>-5.4447827322578147E-3</v>
      </c>
      <c r="AU17" s="136">
        <f t="shared" ref="AU17:AU80" si="51">AN17*1000000/$B17</f>
        <v>5.1178654534039936</v>
      </c>
      <c r="AV17" s="6"/>
      <c r="AW17" s="243">
        <f t="shared" ref="AW17:AW80" si="52">MAX(AW16+$BD$10,$BD$7)</f>
        <v>39.252979588128746</v>
      </c>
      <c r="AX17" s="730">
        <f t="shared" ref="AX17:AX80" si="53">AW17-AW16</f>
        <v>-1.5293518698504514</v>
      </c>
      <c r="AY17" s="9">
        <f t="shared" ref="AY17:AY80" si="54">AW17/AW16-1</f>
        <v>-3.750035407922292E-2</v>
      </c>
      <c r="AZ17" s="9">
        <f t="shared" ref="AZ17:AZ80" si="55">AW17/AW16-1</f>
        <v>-3.750035407922292E-2</v>
      </c>
      <c r="BA17" s="18">
        <f t="shared" si="29"/>
        <v>0.42682120769499249</v>
      </c>
      <c r="BB17" s="102">
        <f t="shared" si="30"/>
        <v>-7.2289814517710355E-2</v>
      </c>
      <c r="BC17" s="18">
        <f t="shared" si="31"/>
        <v>-3.1356460126267721E-2</v>
      </c>
      <c r="BD17" s="136">
        <f t="shared" ref="BD17:BD80" si="56">AW17*1000000/$B17</f>
        <v>4.9845269757889765</v>
      </c>
      <c r="BE17" s="6"/>
      <c r="BF17" s="243">
        <f t="shared" ref="BF17:BF80" si="57">-BF$15*EXP(-BM$11*($C17-$C$15))/BM$11^2*((BM$10*BM$11+BM$11^2)*($C17-$C$15)+2*BM$11+BM$10)
  +BF$15*EXP(-BM$11*($C16-$C$15))/BM$11^2*((BM$10*BM$11+BM$11^2)*($C16-$C$15)+2*BM$11+BM$10)</f>
        <v>39.733240975044623</v>
      </c>
      <c r="BG17" s="14">
        <f t="shared" si="32"/>
        <v>-2.1010988544739462</v>
      </c>
      <c r="BH17" s="9"/>
      <c r="BI17" s="9">
        <f t="shared" ref="BI17:BI80" si="58">IF(BF17&gt;0,BF17/BF16-1,"")</f>
        <v>-5.0224262245711304E-2</v>
      </c>
      <c r="BJ17" s="18">
        <f t="shared" si="33"/>
        <v>0.44427840812356384</v>
      </c>
      <c r="BK17" s="102">
        <f t="shared" si="34"/>
        <v>-6.093925247093885E-2</v>
      </c>
      <c r="BL17" s="18">
        <f t="shared" si="35"/>
        <v>-1.9505077256276506E-2</v>
      </c>
      <c r="BM17" s="136">
        <f t="shared" ref="BM17:BM80" si="59">BF17*1000000/$B17</f>
        <v>5.0455128133898501</v>
      </c>
      <c r="BP17" s="540">
        <f t="shared" si="36"/>
        <v>159.43164210414903</v>
      </c>
      <c r="BQ17" s="541">
        <f t="shared" si="37"/>
        <v>166.91929811106726</v>
      </c>
      <c r="BR17" s="541">
        <f t="shared" si="38"/>
        <v>166.74649612620104</v>
      </c>
      <c r="BS17" s="541">
        <f t="shared" si="39"/>
        <v>166.99397750015353</v>
      </c>
      <c r="BT17" s="541">
        <f t="shared" ref="BT17:BT80" si="60">BT16+AN17</f>
        <v>166.35057270554506</v>
      </c>
      <c r="BU17" s="541">
        <f t="shared" ref="BU17:BU80" si="61">BU16+AW17</f>
        <v>164.44817181456412</v>
      </c>
      <c r="BV17" s="540" t="str">
        <f t="shared" si="4"/>
        <v/>
      </c>
      <c r="BW17" s="541" t="str">
        <f t="shared" si="5"/>
        <v/>
      </c>
      <c r="BX17" s="541" t="str">
        <f t="shared" si="6"/>
        <v/>
      </c>
      <c r="BY17" s="541" t="str">
        <f t="shared" si="7"/>
        <v/>
      </c>
      <c r="BZ17" s="541" t="str">
        <f t="shared" si="8"/>
        <v/>
      </c>
      <c r="CA17" s="542" t="str">
        <f t="shared" si="8"/>
        <v/>
      </c>
    </row>
    <row r="18" spans="1:79" x14ac:dyDescent="0.2">
      <c r="A18" s="239">
        <f t="shared" si="40"/>
        <v>4</v>
      </c>
      <c r="B18" s="822">
        <v>7953952.5669999998</v>
      </c>
      <c r="C18" s="239">
        <f t="shared" si="41"/>
        <v>2022</v>
      </c>
      <c r="E18" s="254">
        <f>IF(E17&gt;$K$10,MAX($K$7,E17*(1+$K$9)),MAX($K$7,scenarios!E17+scenarios!F17))</f>
        <v>33.197855380988798</v>
      </c>
      <c r="F18" s="14">
        <f t="shared" si="9"/>
        <v>-2.7958690209395201</v>
      </c>
      <c r="G18" s="9">
        <f t="shared" si="42"/>
        <v>-7.767656910741183E-2</v>
      </c>
      <c r="H18" s="18">
        <f t="shared" si="1"/>
        <v>0.20672123758756486</v>
      </c>
      <c r="I18" s="102">
        <f t="shared" si="10"/>
        <v>-0.21539743234101999</v>
      </c>
      <c r="J18" s="18">
        <f t="shared" si="11"/>
        <v>-0.18077841504336631</v>
      </c>
      <c r="K18" s="136">
        <f t="shared" si="2"/>
        <v>4.1737557649919541</v>
      </c>
      <c r="L18" s="263"/>
      <c r="M18" s="243">
        <f>IF(M17&gt;'goal seek'!$F$28,MAX($T$7,M17*(1+O18)),MAX($T$7,M17+N17))</f>
        <v>40.013931736379995</v>
      </c>
      <c r="N18" s="14">
        <f t="shared" si="12"/>
        <v>-0.85780921164671042</v>
      </c>
      <c r="O18" s="135">
        <f t="shared" ref="O18:O81" si="62">MAX(-5,O17*(1+$T$10))</f>
        <v>-2.0987831488204003E-2</v>
      </c>
      <c r="P18" s="9">
        <f t="shared" si="43"/>
        <v>-2.0987831488203934E-2</v>
      </c>
      <c r="Q18" s="18">
        <f t="shared" si="13"/>
        <v>0.45448134138569213</v>
      </c>
      <c r="R18" s="102">
        <f t="shared" si="14"/>
        <v>-5.430536936209187E-2</v>
      </c>
      <c r="S18" s="18">
        <f t="shared" si="15"/>
        <v>-1.2578487338196135E-2</v>
      </c>
      <c r="T18" s="136">
        <f t="shared" si="44"/>
        <v>5.0306978070743122</v>
      </c>
      <c r="U18" s="6"/>
      <c r="V18" s="243">
        <f>IF(V17&gt;'goal seek'!$F$28,MAX($AC$7,V17*(1+X18)),MAX($AC$7,V17+W17))</f>
        <v>39.520670212747206</v>
      </c>
      <c r="W18" s="14">
        <f t="shared" si="16"/>
        <v>-1.1782687504132738</v>
      </c>
      <c r="X18" s="135">
        <f t="shared" ref="X18:X81" si="63">X17+$AC$10</f>
        <v>-2.8950846887674728E-2</v>
      </c>
      <c r="Y18" s="9">
        <f t="shared" si="45"/>
        <v>-2.8950846887674575E-2</v>
      </c>
      <c r="Z18" s="18">
        <f t="shared" si="17"/>
        <v>0.43655159413480937</v>
      </c>
      <c r="AA18" s="102">
        <f t="shared" si="18"/>
        <v>-6.596317838403537E-2</v>
      </c>
      <c r="AB18" s="18">
        <f t="shared" si="19"/>
        <v>-2.4750673840941893E-2</v>
      </c>
      <c r="AC18" s="136">
        <f t="shared" si="46"/>
        <v>4.968683164734192</v>
      </c>
      <c r="AD18" s="6"/>
      <c r="AE18" s="243">
        <f>IF(AE17&gt;'goal seek'!$F$28,MAX($AL$7,AE17*(1+AG18)),MAX($AL$7,AE17+AF17))</f>
        <v>40.204256701878194</v>
      </c>
      <c r="AF18" s="14">
        <f t="shared" si="20"/>
        <v>-0.742163635234796</v>
      </c>
      <c r="AG18" s="135">
        <f t="shared" si="21"/>
        <v>-1.8125238522062413E-2</v>
      </c>
      <c r="AH18" s="9">
        <f t="shared" si="47"/>
        <v>-1.812523852206227E-2</v>
      </c>
      <c r="AI18" s="18">
        <f t="shared" si="22"/>
        <v>0.46139953460251426</v>
      </c>
      <c r="AJ18" s="102">
        <f t="shared" si="23"/>
        <v>-4.980720359488363E-2</v>
      </c>
      <c r="AK18" s="18">
        <f t="shared" si="24"/>
        <v>-7.8818490131331246E-3</v>
      </c>
      <c r="AL18" s="136">
        <f t="shared" si="48"/>
        <v>5.0546261576515885</v>
      </c>
      <c r="AM18" s="6"/>
      <c r="AN18" s="243">
        <f>IF(AN17&gt;'goal seek'!$F$28,MAX($AL$7,AN17*(1+AP18)),MAX($AL$7,AN17+AO17))</f>
        <v>38.54231270287876</v>
      </c>
      <c r="AO18" s="14">
        <f t="shared" si="25"/>
        <v>-1.7607028396257647</v>
      </c>
      <c r="AP18" s="135">
        <f t="shared" si="49"/>
        <v>-4.3686627809993064E-2</v>
      </c>
      <c r="AQ18" s="9">
        <f t="shared" si="50"/>
        <v>-4.3686627809993106E-2</v>
      </c>
      <c r="AR18" s="18">
        <f t="shared" si="26"/>
        <v>0.40098891179998519</v>
      </c>
      <c r="AS18" s="102">
        <f t="shared" si="27"/>
        <v>-8.9085811021648975E-2</v>
      </c>
      <c r="AT18" s="18">
        <f t="shared" si="28"/>
        <v>-4.8893546345520546E-2</v>
      </c>
      <c r="AU18" s="136">
        <f t="shared" si="51"/>
        <v>4.8456804812724448</v>
      </c>
      <c r="AV18" s="6"/>
      <c r="AW18" s="243">
        <f t="shared" si="52"/>
        <v>37.723627718278294</v>
      </c>
      <c r="AX18" s="730">
        <f t="shared" si="53"/>
        <v>-1.5293518698504514</v>
      </c>
      <c r="AY18" s="9">
        <f t="shared" si="54"/>
        <v>-3.8961421168470234E-2</v>
      </c>
      <c r="AZ18" s="9">
        <f t="shared" si="55"/>
        <v>-3.8961421168470234E-2</v>
      </c>
      <c r="BA18" s="18">
        <f t="shared" si="29"/>
        <v>0.37123022568988245</v>
      </c>
      <c r="BB18" s="102">
        <f t="shared" si="30"/>
        <v>-0.10843472177656553</v>
      </c>
      <c r="BC18" s="18">
        <f t="shared" si="31"/>
        <v>-6.9096189045406153E-2</v>
      </c>
      <c r="BD18" s="136">
        <f t="shared" si="56"/>
        <v>4.742752411522936</v>
      </c>
      <c r="BE18" s="6"/>
      <c r="BF18" s="243">
        <f t="shared" si="57"/>
        <v>36.522204869624375</v>
      </c>
      <c r="BG18" s="14">
        <f t="shared" si="32"/>
        <v>-3.2110361054202485</v>
      </c>
      <c r="BH18" s="9"/>
      <c r="BI18" s="9">
        <f t="shared" si="58"/>
        <v>-8.0814854933102809E-2</v>
      </c>
      <c r="BJ18" s="18">
        <f t="shared" si="33"/>
        <v>0.32755925808804537</v>
      </c>
      <c r="BK18" s="102">
        <f t="shared" si="34"/>
        <v>-0.13682931055587103</v>
      </c>
      <c r="BL18" s="18">
        <f t="shared" si="35"/>
        <v>-9.8743632200454387E-2</v>
      </c>
      <c r="BM18" s="136">
        <f t="shared" si="59"/>
        <v>4.5917051380405063</v>
      </c>
      <c r="BP18" s="540">
        <f t="shared" si="36"/>
        <v>192.62949748513785</v>
      </c>
      <c r="BQ18" s="541">
        <f t="shared" si="37"/>
        <v>206.93322984744725</v>
      </c>
      <c r="BR18" s="541">
        <f t="shared" si="38"/>
        <v>206.26716633894824</v>
      </c>
      <c r="BS18" s="541">
        <f t="shared" si="39"/>
        <v>207.19823420203173</v>
      </c>
      <c r="BT18" s="541">
        <f t="shared" si="60"/>
        <v>204.89288540842381</v>
      </c>
      <c r="BU18" s="541">
        <f t="shared" si="61"/>
        <v>202.17179953284241</v>
      </c>
      <c r="BV18" s="540" t="str">
        <f t="shared" si="4"/>
        <v/>
      </c>
      <c r="BW18" s="541" t="str">
        <f t="shared" si="5"/>
        <v/>
      </c>
      <c r="BX18" s="541" t="str">
        <f t="shared" si="6"/>
        <v/>
      </c>
      <c r="BY18" s="541" t="str">
        <f t="shared" si="7"/>
        <v/>
      </c>
      <c r="BZ18" s="541" t="str">
        <f t="shared" si="8"/>
        <v/>
      </c>
      <c r="CA18" s="542" t="str">
        <f t="shared" si="8"/>
        <v/>
      </c>
    </row>
    <row r="19" spans="1:79" x14ac:dyDescent="0.2">
      <c r="A19" s="239">
        <f t="shared" si="40"/>
        <v>5</v>
      </c>
      <c r="B19" s="822">
        <v>8031800.4289999995</v>
      </c>
      <c r="C19" s="239">
        <f t="shared" si="41"/>
        <v>2023</v>
      </c>
      <c r="E19" s="254">
        <f>IF(E18&gt;$K$10,MAX($K$7,E18*(1+$K$9)),MAX($K$7,scenarios!E18+scenarios!F18))</f>
        <v>30.61915987326956</v>
      </c>
      <c r="F19" s="14">
        <f t="shared" si="9"/>
        <v>-2.5786955077192388</v>
      </c>
      <c r="G19" s="9">
        <f t="shared" si="42"/>
        <v>-7.767656910741183E-2</v>
      </c>
      <c r="H19" s="18">
        <f t="shared" si="1"/>
        <v>0.1129872719827129</v>
      </c>
      <c r="I19" s="102">
        <f t="shared" si="10"/>
        <v>-0.27634266790963546</v>
      </c>
      <c r="J19" s="18">
        <f t="shared" si="11"/>
        <v>-0.24441273710153369</v>
      </c>
      <c r="K19" s="136">
        <f t="shared" si="2"/>
        <v>3.8122411212702159</v>
      </c>
      <c r="L19" s="263"/>
      <c r="M19" s="243">
        <f>IF(M18&gt;'goal seek'!$F$28,MAX($T$7,M18*(1+O19)),MAX($T$7,M18+N18))</f>
        <v>39.052092280448143</v>
      </c>
      <c r="N19" s="14">
        <f t="shared" si="12"/>
        <v>-0.96183945593185172</v>
      </c>
      <c r="O19" s="135">
        <f t="shared" si="62"/>
        <v>-2.4037614255670827E-2</v>
      </c>
      <c r="P19" s="9">
        <f t="shared" si="43"/>
        <v>-2.4037614255670969E-2</v>
      </c>
      <c r="Q19" s="18">
        <f t="shared" si="13"/>
        <v>0.41951907995939203</v>
      </c>
      <c r="R19" s="102">
        <f t="shared" si="14"/>
        <v>-7.7037612097025115E-2</v>
      </c>
      <c r="S19" s="18">
        <f t="shared" si="15"/>
        <v>-3.6313744767311674E-2</v>
      </c>
      <c r="T19" s="136">
        <f t="shared" si="44"/>
        <v>4.8621840925534965</v>
      </c>
      <c r="U19" s="6"/>
      <c r="V19" s="243">
        <f>IF(V18&gt;'goal seek'!$F$28,MAX($AC$7,V18*(1+X19)),MAX($AC$7,V18+W18))</f>
        <v>38.120600266107886</v>
      </c>
      <c r="W19" s="14">
        <f t="shared" si="16"/>
        <v>-1.4000699466393201</v>
      </c>
      <c r="X19" s="135">
        <f t="shared" si="63"/>
        <v>-3.5426270331512091E-2</v>
      </c>
      <c r="Y19" s="9">
        <f t="shared" si="45"/>
        <v>-3.5426270331512133E-2</v>
      </c>
      <c r="Z19" s="18">
        <f t="shared" si="17"/>
        <v>0.38565992901582502</v>
      </c>
      <c r="AA19" s="102">
        <f t="shared" si="18"/>
        <v>-9.9052619326188876E-2</v>
      </c>
      <c r="AB19" s="18">
        <f t="shared" si="19"/>
        <v>-5.9300120110077695E-2</v>
      </c>
      <c r="AC19" s="136">
        <f t="shared" si="46"/>
        <v>4.7462085995647803</v>
      </c>
      <c r="AD19" s="6"/>
      <c r="AE19" s="243">
        <f>IF(AE18&gt;'goal seek'!$F$28,MAX($AL$7,AE18*(1+AG19)),MAX($AL$7,AE18+AF18))</f>
        <v>39.368740415687277</v>
      </c>
      <c r="AF19" s="14">
        <f t="shared" si="20"/>
        <v>-0.83551628619091645</v>
      </c>
      <c r="AG19" s="135">
        <f t="shared" si="21"/>
        <v>-2.0781786674640427E-2</v>
      </c>
      <c r="AH19" s="9">
        <f t="shared" si="47"/>
        <v>-2.0781786674640479E-2</v>
      </c>
      <c r="AI19" s="18">
        <f t="shared" si="22"/>
        <v>0.43102904122798597</v>
      </c>
      <c r="AJ19" s="102">
        <f t="shared" si="23"/>
        <v>-6.955390758955482E-2</v>
      </c>
      <c r="AK19" s="18">
        <f t="shared" si="24"/>
        <v>-2.849983678298092E-2</v>
      </c>
      <c r="AL19" s="136">
        <f t="shared" si="48"/>
        <v>4.901608395739097</v>
      </c>
      <c r="AM19" s="6"/>
      <c r="AN19" s="243">
        <f>IF(AN18&gt;'goal seek'!$F$28,MAX($AL$7,AN18*(1+AP19)),MAX($AL$7,AN18+AO18))</f>
        <v>36.548006916661137</v>
      </c>
      <c r="AO19" s="14">
        <f t="shared" si="25"/>
        <v>-1.9943057862176232</v>
      </c>
      <c r="AP19" s="135">
        <f t="shared" si="49"/>
        <v>-5.1743282806915432E-2</v>
      </c>
      <c r="AQ19" s="9">
        <f t="shared" si="50"/>
        <v>-5.1743282806915425E-2</v>
      </c>
      <c r="AR19" s="18">
        <f t="shared" si="26"/>
        <v>0.32849714632736593</v>
      </c>
      <c r="AS19" s="102">
        <f t="shared" si="27"/>
        <v>-0.13621950151478776</v>
      </c>
      <c r="AT19" s="18">
        <f t="shared" si="28"/>
        <v>-9.8106916556446641E-2</v>
      </c>
      <c r="AU19" s="136">
        <f t="shared" si="51"/>
        <v>4.5504127299651485</v>
      </c>
      <c r="AV19" s="6"/>
      <c r="AW19" s="243">
        <f t="shared" si="52"/>
        <v>36.194275848427843</v>
      </c>
      <c r="AX19" s="730">
        <f t="shared" si="53"/>
        <v>-1.5293518698504514</v>
      </c>
      <c r="AY19" s="9">
        <f t="shared" si="54"/>
        <v>-4.0540954366099613E-2</v>
      </c>
      <c r="AZ19" s="9">
        <f t="shared" si="55"/>
        <v>-4.0540954366099613E-2</v>
      </c>
      <c r="BA19" s="18">
        <f t="shared" si="29"/>
        <v>0.31563924368477242</v>
      </c>
      <c r="BB19" s="102">
        <f t="shared" si="30"/>
        <v>-0.14457962903542071</v>
      </c>
      <c r="BC19" s="18">
        <f t="shared" si="31"/>
        <v>-0.10683591796454457</v>
      </c>
      <c r="BD19" s="136">
        <f t="shared" si="56"/>
        <v>4.5063714130325092</v>
      </c>
      <c r="BE19" s="6"/>
      <c r="BF19" s="243">
        <f t="shared" si="57"/>
        <v>32.793427399481033</v>
      </c>
      <c r="BG19" s="14">
        <f t="shared" si="32"/>
        <v>-3.728777470143342</v>
      </c>
      <c r="BH19" s="9"/>
      <c r="BI19" s="9">
        <f t="shared" si="58"/>
        <v>-0.10209617637966262</v>
      </c>
      <c r="BJ19" s="18">
        <f t="shared" si="33"/>
        <v>0.19202053391983426</v>
      </c>
      <c r="BK19" s="102">
        <f t="shared" si="34"/>
        <v>-0.22495573751111378</v>
      </c>
      <c r="BL19" s="18">
        <f t="shared" si="35"/>
        <v>-0.19075846129061086</v>
      </c>
      <c r="BM19" s="136">
        <f t="shared" si="59"/>
        <v>4.0829484857561358</v>
      </c>
      <c r="BP19" s="540">
        <f t="shared" si="36"/>
        <v>223.2486573584074</v>
      </c>
      <c r="BQ19" s="541">
        <f t="shared" si="37"/>
        <v>245.98532212789539</v>
      </c>
      <c r="BR19" s="541">
        <f t="shared" si="38"/>
        <v>244.38776660505613</v>
      </c>
      <c r="BS19" s="541">
        <f t="shared" si="39"/>
        <v>246.56697461771901</v>
      </c>
      <c r="BT19" s="541">
        <f t="shared" si="60"/>
        <v>241.44089232508495</v>
      </c>
      <c r="BU19" s="541">
        <f t="shared" si="61"/>
        <v>238.36607538127026</v>
      </c>
      <c r="BV19" s="540" t="str">
        <f t="shared" si="4"/>
        <v/>
      </c>
      <c r="BW19" s="541" t="str">
        <f t="shared" si="5"/>
        <v/>
      </c>
      <c r="BX19" s="541" t="str">
        <f t="shared" si="6"/>
        <v/>
      </c>
      <c r="BY19" s="541" t="str">
        <f t="shared" si="7"/>
        <v/>
      </c>
      <c r="BZ19" s="541" t="str">
        <f t="shared" si="8"/>
        <v/>
      </c>
      <c r="CA19" s="542" t="str">
        <f t="shared" si="8"/>
        <v/>
      </c>
    </row>
    <row r="20" spans="1:79" x14ac:dyDescent="0.2">
      <c r="A20" s="239">
        <f t="shared" si="40"/>
        <v>6</v>
      </c>
      <c r="B20" s="822">
        <v>8108605.3880000003</v>
      </c>
      <c r="C20" s="239">
        <f t="shared" si="41"/>
        <v>2024</v>
      </c>
      <c r="E20" s="254">
        <f>IF(E19&gt;$K$10,MAX($K$7,E19*(1+$K$9)),MAX($K$7,scenarios!E19+scenarios!F19))</f>
        <v>28.240768585362645</v>
      </c>
      <c r="F20" s="14">
        <f t="shared" si="9"/>
        <v>-2.3783912879069149</v>
      </c>
      <c r="G20" s="9">
        <f t="shared" si="42"/>
        <v>-7.767656910741183E-2</v>
      </c>
      <c r="H20" s="18">
        <f t="shared" si="1"/>
        <v>2.653423923487791E-2</v>
      </c>
      <c r="I20" s="102">
        <f t="shared" si="10"/>
        <v>-0.33255388667583796</v>
      </c>
      <c r="J20" s="18">
        <f t="shared" si="11"/>
        <v>-0.3031041633447466</v>
      </c>
      <c r="K20" s="136">
        <f t="shared" si="2"/>
        <v>3.4828145203805843</v>
      </c>
      <c r="L20" s="263"/>
      <c r="M20" s="243">
        <f>IF(M19&gt;'goal seek'!$F$28,MAX($T$7,M19*(1+O20)),MAX($T$7,M19+N19))</f>
        <v>37.976966040903676</v>
      </c>
      <c r="N20" s="14">
        <f t="shared" si="12"/>
        <v>-1.075126239544467</v>
      </c>
      <c r="O20" s="135">
        <f t="shared" si="62"/>
        <v>-2.7530566911077966E-2</v>
      </c>
      <c r="P20" s="9">
        <f t="shared" si="43"/>
        <v>-2.7530566911077914E-2</v>
      </c>
      <c r="Q20" s="18">
        <f t="shared" si="13"/>
        <v>0.38043891494701826</v>
      </c>
      <c r="R20" s="102">
        <f t="shared" si="14"/>
        <v>-0.10244728987359622</v>
      </c>
      <c r="S20" s="18">
        <f t="shared" si="15"/>
        <v>-6.2844573698281309E-2</v>
      </c>
      <c r="T20" s="136">
        <f t="shared" si="44"/>
        <v>4.6835385647334782</v>
      </c>
      <c r="U20" s="6"/>
      <c r="V20" s="243">
        <f>IF(V19&gt;'goal seek'!$F$28,MAX($AC$7,V19*(1+X20)),MAX($AC$7,V19+W19))</f>
        <v>36.52328254722493</v>
      </c>
      <c r="W20" s="14">
        <f t="shared" si="16"/>
        <v>-1.5973177188829553</v>
      </c>
      <c r="X20" s="135">
        <f t="shared" si="63"/>
        <v>-4.1901693775349455E-2</v>
      </c>
      <c r="Y20" s="9">
        <f t="shared" si="45"/>
        <v>-4.1901693775349358E-2</v>
      </c>
      <c r="Z20" s="18">
        <f t="shared" si="17"/>
        <v>0.3275984309934315</v>
      </c>
      <c r="AA20" s="102">
        <f t="shared" si="18"/>
        <v>-0.13680384057888606</v>
      </c>
      <c r="AB20" s="18">
        <f t="shared" si="19"/>
        <v>-9.8717038411733168E-2</v>
      </c>
      <c r="AC20" s="136">
        <f t="shared" si="46"/>
        <v>4.5042619290952395</v>
      </c>
      <c r="AD20" s="6"/>
      <c r="AE20" s="243">
        <f>IF(AE19&gt;'goal seek'!$F$28,MAX($AL$7,AE19*(1+AG20)),MAX($AL$7,AE19+AF19))</f>
        <v>38.404168714250304</v>
      </c>
      <c r="AF20" s="14">
        <f t="shared" si="20"/>
        <v>-0.96457170143697368</v>
      </c>
      <c r="AG20" s="135">
        <f t="shared" si="21"/>
        <v>-2.4500954088249649E-2</v>
      </c>
      <c r="AH20" s="9">
        <f t="shared" si="47"/>
        <v>-2.4500954088249705E-2</v>
      </c>
      <c r="AI20" s="18">
        <f t="shared" si="22"/>
        <v>0.3959674643899071</v>
      </c>
      <c r="AJ20" s="102">
        <f t="shared" si="23"/>
        <v>-9.2350724581294466E-2</v>
      </c>
      <c r="AK20" s="18">
        <f t="shared" si="24"/>
        <v>-5.2302517678688175E-2</v>
      </c>
      <c r="AL20" s="136">
        <f t="shared" si="48"/>
        <v>4.736223663206621</v>
      </c>
      <c r="AM20" s="6"/>
      <c r="AN20" s="243">
        <f>IF(AN19&gt;'goal seek'!$F$28,MAX($AL$7,AN19*(1+AP20)),MAX($AL$7,AN19+AO19))</f>
        <v>34.417549672984222</v>
      </c>
      <c r="AO20" s="14">
        <f t="shared" si="25"/>
        <v>-2.1304572436769149</v>
      </c>
      <c r="AP20" s="135">
        <f t="shared" si="49"/>
        <v>-5.8292022559120894E-2</v>
      </c>
      <c r="AQ20" s="9">
        <f t="shared" si="50"/>
        <v>-5.8292022559120804E-2</v>
      </c>
      <c r="AR20" s="18">
        <f t="shared" si="26"/>
        <v>0.25105636070392345</v>
      </c>
      <c r="AS20" s="102">
        <f t="shared" si="27"/>
        <v>-0.18657101381861638</v>
      </c>
      <c r="AT20" s="18">
        <f t="shared" si="28"/>
        <v>-0.15068008852245329</v>
      </c>
      <c r="AU20" s="136">
        <f t="shared" si="51"/>
        <v>4.244570801770557</v>
      </c>
      <c r="AV20" s="6"/>
      <c r="AW20" s="243">
        <f t="shared" si="52"/>
        <v>34.664923978577391</v>
      </c>
      <c r="AX20" s="730">
        <f t="shared" si="53"/>
        <v>-1.5293518698504514</v>
      </c>
      <c r="AY20" s="9">
        <f t="shared" si="54"/>
        <v>-4.2253970662515128E-2</v>
      </c>
      <c r="AZ20" s="9">
        <f t="shared" si="55"/>
        <v>-4.2253970662515128E-2</v>
      </c>
      <c r="BA20" s="18">
        <f t="shared" si="29"/>
        <v>0.26004826167966244</v>
      </c>
      <c r="BB20" s="102">
        <f t="shared" si="30"/>
        <v>-0.18072453629427587</v>
      </c>
      <c r="BC20" s="18">
        <f t="shared" si="31"/>
        <v>-0.14457564688368299</v>
      </c>
      <c r="BD20" s="136">
        <f t="shared" si="56"/>
        <v>4.2750784283914385</v>
      </c>
      <c r="BE20" s="6"/>
      <c r="BF20" s="243">
        <f t="shared" si="57"/>
        <v>28.931788391085348</v>
      </c>
      <c r="BG20" s="14">
        <f t="shared" si="32"/>
        <v>-3.8616390083956844</v>
      </c>
      <c r="BH20" s="9"/>
      <c r="BI20" s="9">
        <f t="shared" si="58"/>
        <v>-0.11775649313364533</v>
      </c>
      <c r="BJ20" s="18">
        <f t="shared" si="33"/>
        <v>5.1652376102139082E-2</v>
      </c>
      <c r="BK20" s="102">
        <f t="shared" si="34"/>
        <v>-0.31622223188515752</v>
      </c>
      <c r="BL20" s="18">
        <f t="shared" si="35"/>
        <v>-0.28605190698710359</v>
      </c>
      <c r="BM20" s="136">
        <f t="shared" si="59"/>
        <v>3.5680350697422973</v>
      </c>
      <c r="BP20" s="540">
        <f t="shared" si="36"/>
        <v>251.48942594377004</v>
      </c>
      <c r="BQ20" s="541">
        <f t="shared" si="37"/>
        <v>283.96228816879909</v>
      </c>
      <c r="BR20" s="541">
        <f t="shared" si="38"/>
        <v>280.91104915228107</v>
      </c>
      <c r="BS20" s="541">
        <f t="shared" si="39"/>
        <v>284.9711433319693</v>
      </c>
      <c r="BT20" s="541">
        <f t="shared" si="60"/>
        <v>275.85844199806917</v>
      </c>
      <c r="BU20" s="541">
        <f t="shared" si="61"/>
        <v>273.03099935984767</v>
      </c>
      <c r="BV20" s="540" t="str">
        <f t="shared" si="4"/>
        <v/>
      </c>
      <c r="BW20" s="541" t="str">
        <f t="shared" si="5"/>
        <v/>
      </c>
      <c r="BX20" s="541" t="str">
        <f t="shared" si="6"/>
        <v/>
      </c>
      <c r="BY20" s="541" t="str">
        <f t="shared" si="7"/>
        <v/>
      </c>
      <c r="BZ20" s="541" t="str">
        <f t="shared" si="8"/>
        <v/>
      </c>
      <c r="CA20" s="542" t="str">
        <f t="shared" si="8"/>
        <v/>
      </c>
    </row>
    <row r="21" spans="1:79" x14ac:dyDescent="0.2">
      <c r="A21" s="239">
        <f t="shared" si="40"/>
        <v>7</v>
      </c>
      <c r="B21" s="822">
        <v>8184437.46</v>
      </c>
      <c r="C21" s="239">
        <f t="shared" si="41"/>
        <v>2025</v>
      </c>
      <c r="E21" s="254">
        <f>IF(E20&gt;$K$10,MAX($K$7,E20*(1+$K$9)),MAX($K$7,scenarios!E20+scenarios!F20))</f>
        <v>26.047122572695297</v>
      </c>
      <c r="F21" s="14">
        <f t="shared" si="9"/>
        <v>-2.1936460126673474</v>
      </c>
      <c r="G21" s="9">
        <f t="shared" si="42"/>
        <v>-7.767656910741183E-2</v>
      </c>
      <c r="H21" s="18">
        <f t="shared" si="1"/>
        <v>-5.3203418540174546E-2</v>
      </c>
      <c r="I21" s="102">
        <f t="shared" si="10"/>
        <v>-0.3843988108229357</v>
      </c>
      <c r="J21" s="18">
        <f t="shared" si="11"/>
        <v>-0.35723664096136598</v>
      </c>
      <c r="K21" s="136">
        <f t="shared" si="2"/>
        <v>3.1825183709932454</v>
      </c>
      <c r="L21" s="263"/>
      <c r="M21" s="243">
        <f>IF(M20&gt;'goal seek'!$F$28,MAX($T$7,M20*(1+O21)),MAX($T$7,M20+N20))</f>
        <v>36.779511007910521</v>
      </c>
      <c r="N21" s="14">
        <f t="shared" si="12"/>
        <v>-1.1974550329931546</v>
      </c>
      <c r="O21" s="135">
        <f t="shared" si="62"/>
        <v>-3.1531087336029349E-2</v>
      </c>
      <c r="P21" s="9">
        <f t="shared" si="43"/>
        <v>-3.1531087336029384E-2</v>
      </c>
      <c r="Q21" s="18">
        <f t="shared" si="13"/>
        <v>0.33691217495777021</v>
      </c>
      <c r="R21" s="102">
        <f t="shared" si="14"/>
        <v>-0.1307481027652817</v>
      </c>
      <c r="S21" s="18">
        <f t="shared" si="15"/>
        <v>-9.2394103292434623E-2</v>
      </c>
      <c r="T21" s="136">
        <f t="shared" si="44"/>
        <v>4.4938349382793765</v>
      </c>
      <c r="U21" s="6"/>
      <c r="V21" s="243">
        <f>IF(V20&gt;'goal seek'!$F$28,MAX($AC$7,V20*(1+X21)),MAX($AC$7,V20+W20))</f>
        <v>34.756391426208353</v>
      </c>
      <c r="W21" s="14">
        <f t="shared" si="16"/>
        <v>-1.7668911210165774</v>
      </c>
      <c r="X21" s="135">
        <f t="shared" si="63"/>
        <v>-4.8377117219186819E-2</v>
      </c>
      <c r="Y21" s="9">
        <f t="shared" si="45"/>
        <v>-4.8377117219186694E-2</v>
      </c>
      <c r="Z21" s="18">
        <f t="shared" si="17"/>
        <v>0.26337304607725387</v>
      </c>
      <c r="AA21" s="102">
        <f t="shared" si="18"/>
        <v>-0.17856278236635309</v>
      </c>
      <c r="AB21" s="18">
        <f t="shared" si="19"/>
        <v>-0.14231850989214453</v>
      </c>
      <c r="AC21" s="136">
        <f t="shared" si="46"/>
        <v>4.2466439014378334</v>
      </c>
      <c r="AD21" s="6"/>
      <c r="AE21" s="243">
        <f>IF(AE20&gt;'goal seek'!$F$28,MAX($AL$7,AE20*(1+AG21)),MAX($AL$7,AE20+AF20))</f>
        <v>37.279589397576622</v>
      </c>
      <c r="AF21" s="14">
        <f t="shared" si="20"/>
        <v>-1.1245793166736817</v>
      </c>
      <c r="AG21" s="135">
        <f t="shared" si="21"/>
        <v>-2.9282740762890072E-2</v>
      </c>
      <c r="AH21" s="9">
        <f t="shared" si="47"/>
        <v>-2.9282740762889947E-2</v>
      </c>
      <c r="AI21" s="18">
        <f t="shared" si="22"/>
        <v>0.35508971101674858</v>
      </c>
      <c r="AJ21" s="102">
        <f t="shared" si="23"/>
        <v>-0.11892918301700535</v>
      </c>
      <c r="AK21" s="18">
        <f t="shared" si="24"/>
        <v>-8.0053697375146671E-2</v>
      </c>
      <c r="AL21" s="136">
        <f t="shared" si="48"/>
        <v>4.5549360698000401</v>
      </c>
      <c r="AM21" s="6"/>
      <c r="AN21" s="243">
        <f>IF(AN20&gt;'goal seek'!$F$28,MAX($AL$7,AN20*(1+AP21)),MAX($AL$7,AN20+AO20))</f>
        <v>32.216387465493881</v>
      </c>
      <c r="AO21" s="14">
        <f t="shared" si="25"/>
        <v>-2.2011622074903414</v>
      </c>
      <c r="AP21" s="135">
        <f t="shared" si="49"/>
        <v>-6.3954646057157422E-2</v>
      </c>
      <c r="AQ21" s="9">
        <f t="shared" si="50"/>
        <v>-6.3954646057157505E-2</v>
      </c>
      <c r="AR21" s="18">
        <f t="shared" si="26"/>
        <v>0.17104549395754853</v>
      </c>
      <c r="AS21" s="102">
        <f t="shared" si="27"/>
        <v>-0.23859357672247922</v>
      </c>
      <c r="AT21" s="18">
        <f t="shared" si="28"/>
        <v>-0.2049980428502961</v>
      </c>
      <c r="AU21" s="136">
        <f t="shared" si="51"/>
        <v>3.9362983250768075</v>
      </c>
      <c r="AV21" s="6"/>
      <c r="AW21" s="243">
        <f t="shared" si="52"/>
        <v>33.13557210872694</v>
      </c>
      <c r="AX21" s="730">
        <f t="shared" si="53"/>
        <v>-1.5293518698504514</v>
      </c>
      <c r="AY21" s="9">
        <f t="shared" si="54"/>
        <v>-4.411813713468915E-2</v>
      </c>
      <c r="AZ21" s="9">
        <f t="shared" si="55"/>
        <v>-4.411813713468915E-2</v>
      </c>
      <c r="BA21" s="18">
        <f t="shared" si="29"/>
        <v>0.20445727967455241</v>
      </c>
      <c r="BB21" s="102">
        <f t="shared" si="30"/>
        <v>-0.21686944355313106</v>
      </c>
      <c r="BC21" s="18">
        <f t="shared" si="31"/>
        <v>-0.18231537580282142</v>
      </c>
      <c r="BD21" s="136">
        <f t="shared" si="56"/>
        <v>4.0486071609284364</v>
      </c>
      <c r="BE21" s="6"/>
      <c r="BF21" s="243">
        <f t="shared" si="57"/>
        <v>25.177512457858086</v>
      </c>
      <c r="BG21" s="14">
        <f t="shared" si="32"/>
        <v>-3.7542759332272624</v>
      </c>
      <c r="BH21" s="9"/>
      <c r="BI21" s="9">
        <f t="shared" si="58"/>
        <v>-0.1297630095477974</v>
      </c>
      <c r="BJ21" s="18">
        <f t="shared" si="33"/>
        <v>-8.4813201218966627E-2</v>
      </c>
      <c r="BK21" s="102">
        <f t="shared" si="34"/>
        <v>-0.40495129293761545</v>
      </c>
      <c r="BL21" s="18">
        <f t="shared" si="35"/>
        <v>-0.37869596019736784</v>
      </c>
      <c r="BM21" s="136">
        <f t="shared" si="59"/>
        <v>3.0762667050617409</v>
      </c>
      <c r="BP21" s="540">
        <f t="shared" si="36"/>
        <v>277.53654851646536</v>
      </c>
      <c r="BQ21" s="541">
        <f t="shared" si="37"/>
        <v>320.74179917670961</v>
      </c>
      <c r="BR21" s="541">
        <f t="shared" si="38"/>
        <v>315.66744057848939</v>
      </c>
      <c r="BS21" s="541">
        <f t="shared" si="39"/>
        <v>322.25073272954592</v>
      </c>
      <c r="BT21" s="541">
        <f t="shared" si="60"/>
        <v>308.07482946356305</v>
      </c>
      <c r="BU21" s="541">
        <f t="shared" si="61"/>
        <v>306.1665714685746</v>
      </c>
      <c r="BV21" s="540" t="str">
        <f t="shared" si="4"/>
        <v/>
      </c>
      <c r="BW21" s="541" t="str">
        <f t="shared" si="5"/>
        <v/>
      </c>
      <c r="BX21" s="541" t="str">
        <f t="shared" si="6"/>
        <v/>
      </c>
      <c r="BY21" s="541" t="str">
        <f t="shared" si="7"/>
        <v/>
      </c>
      <c r="BZ21" s="541" t="str">
        <f t="shared" si="8"/>
        <v/>
      </c>
      <c r="CA21" s="542" t="str">
        <f t="shared" si="8"/>
        <v/>
      </c>
    </row>
    <row r="22" spans="1:79" x14ac:dyDescent="0.2">
      <c r="A22" s="239">
        <f t="shared" si="40"/>
        <v>8</v>
      </c>
      <c r="B22" s="822">
        <v>8259276.7369999997</v>
      </c>
      <c r="C22" s="239">
        <f t="shared" si="41"/>
        <v>2026</v>
      </c>
      <c r="E22" s="254">
        <f>IF(E21&gt;$K$10,MAX($K$7,E21*(1+$K$9)),MAX($K$7,scenarios!E21+scenarios!F21))</f>
        <v>24.023871456128106</v>
      </c>
      <c r="F22" s="14">
        <f t="shared" si="9"/>
        <v>-2.0232511165671916</v>
      </c>
      <c r="G22" s="9">
        <f t="shared" si="42"/>
        <v>-7.767656910741183E-2</v>
      </c>
      <c r="H22" s="18">
        <f t="shared" si="1"/>
        <v>-0.1267473286305999</v>
      </c>
      <c r="I22" s="102">
        <f t="shared" si="10"/>
        <v>-0.43221659913665278</v>
      </c>
      <c r="J22" s="18">
        <f t="shared" si="11"/>
        <v>-0.40716429343944255</v>
      </c>
      <c r="K22" s="136">
        <f t="shared" si="2"/>
        <v>2.908713707158606</v>
      </c>
      <c r="L22" s="263"/>
      <c r="M22" s="243">
        <f>IF(M21&gt;'goal seek'!$F$28,MAX($T$7,M21*(1+O22)),MAX($T$7,M21+N21))</f>
        <v>35.451295057531894</v>
      </c>
      <c r="N22" s="14">
        <f t="shared" si="12"/>
        <v>-1.3282159503786275</v>
      </c>
      <c r="O22" s="135">
        <f t="shared" si="62"/>
        <v>-3.611293119402683E-2</v>
      </c>
      <c r="P22" s="9">
        <f t="shared" si="43"/>
        <v>-3.611293119402692E-2</v>
      </c>
      <c r="Q22" s="18">
        <f t="shared" si="13"/>
        <v>0.28863235757106342</v>
      </c>
      <c r="R22" s="102">
        <f t="shared" si="14"/>
        <v>-0.1621393367203964</v>
      </c>
      <c r="S22" s="18">
        <f t="shared" si="15"/>
        <v>-0.125170412591528</v>
      </c>
      <c r="T22" s="136">
        <f t="shared" si="44"/>
        <v>4.2923001839515544</v>
      </c>
      <c r="U22" s="6"/>
      <c r="V22" s="243">
        <f>IF(V21&gt;'goal seek'!$F$28,MAX($AC$7,V21*(1+X22)),MAX($AC$7,V21+W21))</f>
        <v>32.849915052202277</v>
      </c>
      <c r="W22" s="14">
        <f t="shared" si="16"/>
        <v>-1.9064763740060755</v>
      </c>
      <c r="X22" s="135">
        <f t="shared" si="63"/>
        <v>-5.4852540663024182E-2</v>
      </c>
      <c r="Y22" s="9">
        <f t="shared" si="45"/>
        <v>-5.4852540663024141E-2</v>
      </c>
      <c r="Z22" s="18">
        <f t="shared" si="17"/>
        <v>0.19407382469473272</v>
      </c>
      <c r="AA22" s="102">
        <f t="shared" si="18"/>
        <v>-0.22362070074872406</v>
      </c>
      <c r="AB22" s="18">
        <f t="shared" si="19"/>
        <v>-0.18936451870420876</v>
      </c>
      <c r="AC22" s="136">
        <f t="shared" si="46"/>
        <v>3.9773355583353762</v>
      </c>
      <c r="AD22" s="6"/>
      <c r="AE22" s="243">
        <f>IF(AE21&gt;'goal seek'!$F$28,MAX($AL$7,AE21*(1+AG22)),MAX($AL$7,AE21+AF21))</f>
        <v>35.970063791945805</v>
      </c>
      <c r="AF22" s="14">
        <f t="shared" si="20"/>
        <v>-1.3095256056308173</v>
      </c>
      <c r="AG22" s="135">
        <f t="shared" si="21"/>
        <v>-3.5127146698561706E-2</v>
      </c>
      <c r="AH22" s="9">
        <f t="shared" si="47"/>
        <v>-3.5127146698561651E-2</v>
      </c>
      <c r="AI22" s="18">
        <f t="shared" si="22"/>
        <v>0.30748927594815173</v>
      </c>
      <c r="AJ22" s="102">
        <f t="shared" si="23"/>
        <v>-0.14987868685698857</v>
      </c>
      <c r="AK22" s="18">
        <f t="shared" si="24"/>
        <v>-0.11236878610224928</v>
      </c>
      <c r="AL22" s="136">
        <f t="shared" si="48"/>
        <v>4.3551106152923431</v>
      </c>
      <c r="AM22" s="6"/>
      <c r="AN22" s="243">
        <f>IF(AN21&gt;'goal seek'!$F$28,MAX($AL$7,AN21*(1+AP22)),MAX($AL$7,AN21+AO21))</f>
        <v>29.992945908131034</v>
      </c>
      <c r="AO22" s="14">
        <f t="shared" si="25"/>
        <v>-2.2234415573628468</v>
      </c>
      <c r="AP22" s="135">
        <f t="shared" si="49"/>
        <v>-6.901585597529572E-2</v>
      </c>
      <c r="AQ22" s="9">
        <f t="shared" si="50"/>
        <v>-6.9015855975295692E-2</v>
      </c>
      <c r="AR22" s="18">
        <f t="shared" si="26"/>
        <v>9.0224786806055376E-2</v>
      </c>
      <c r="AS22" s="102">
        <f t="shared" si="27"/>
        <v>-0.2911426927700656</v>
      </c>
      <c r="AT22" s="18">
        <f t="shared" si="28"/>
        <v>-0.25986578342501826</v>
      </c>
      <c r="AU22" s="136">
        <f t="shared" si="51"/>
        <v>3.6314252280430681</v>
      </c>
      <c r="AV22" s="6"/>
      <c r="AW22" s="243">
        <f t="shared" si="52"/>
        <v>31.606220238876492</v>
      </c>
      <c r="AX22" s="730">
        <f t="shared" si="53"/>
        <v>-1.5293518698504478</v>
      </c>
      <c r="AY22" s="9">
        <f t="shared" si="54"/>
        <v>-4.6154382511707448E-2</v>
      </c>
      <c r="AZ22" s="9">
        <f t="shared" si="55"/>
        <v>-4.6154382511707448E-2</v>
      </c>
      <c r="BA22" s="18">
        <f t="shared" si="29"/>
        <v>0.14886629766944251</v>
      </c>
      <c r="BB22" s="102">
        <f t="shared" si="30"/>
        <v>-0.25301435081198614</v>
      </c>
      <c r="BC22" s="18">
        <f t="shared" si="31"/>
        <v>-0.22005510472195974</v>
      </c>
      <c r="BD22" s="136">
        <f t="shared" si="56"/>
        <v>3.8267539937591137</v>
      </c>
      <c r="BE22" s="6"/>
      <c r="BF22" s="243">
        <f t="shared" si="57"/>
        <v>21.671270172514866</v>
      </c>
      <c r="BG22" s="14">
        <f t="shared" si="32"/>
        <v>-3.5062422853432196</v>
      </c>
      <c r="BH22" s="9"/>
      <c r="BI22" s="9">
        <f t="shared" si="58"/>
        <v>-0.13926086984216324</v>
      </c>
      <c r="BJ22" s="18">
        <f t="shared" si="33"/>
        <v>-0.21226291088527821</v>
      </c>
      <c r="BK22" s="102">
        <f t="shared" si="34"/>
        <v>-0.48781829348157774</v>
      </c>
      <c r="BL22" s="18">
        <f t="shared" si="35"/>
        <v>-0.46521930121673244</v>
      </c>
      <c r="BM22" s="136">
        <f t="shared" si="59"/>
        <v>2.62387020832365</v>
      </c>
      <c r="BP22" s="540">
        <f t="shared" si="36"/>
        <v>301.56041997259348</v>
      </c>
      <c r="BQ22" s="541">
        <f t="shared" si="37"/>
        <v>356.19309423424147</v>
      </c>
      <c r="BR22" s="541">
        <f t="shared" si="38"/>
        <v>348.51735563069167</v>
      </c>
      <c r="BS22" s="541">
        <f t="shared" si="39"/>
        <v>358.22079652149171</v>
      </c>
      <c r="BT22" s="541">
        <f t="shared" si="60"/>
        <v>338.0677753716941</v>
      </c>
      <c r="BU22" s="541">
        <f t="shared" si="61"/>
        <v>337.77279170745112</v>
      </c>
      <c r="BV22" s="540" t="str">
        <f t="shared" si="4"/>
        <v/>
      </c>
      <c r="BW22" s="541" t="str">
        <f t="shared" si="5"/>
        <v/>
      </c>
      <c r="BX22" s="541" t="str">
        <f t="shared" si="6"/>
        <v/>
      </c>
      <c r="BY22" s="541" t="str">
        <f t="shared" si="7"/>
        <v/>
      </c>
      <c r="BZ22" s="541" t="str">
        <f t="shared" si="8"/>
        <v/>
      </c>
      <c r="CA22" s="542" t="str">
        <f t="shared" si="8"/>
        <v/>
      </c>
    </row>
    <row r="23" spans="1:79" x14ac:dyDescent="0.2">
      <c r="A23" s="239">
        <f t="shared" si="40"/>
        <v>9</v>
      </c>
      <c r="B23" s="822">
        <v>8333078.3159999996</v>
      </c>
      <c r="C23" s="239">
        <f t="shared" si="41"/>
        <v>2027</v>
      </c>
      <c r="E23" s="254">
        <f>IF(E22&gt;$K$10,MAX($K$7,E22*(1+$K$9)),MAX($K$7,scenarios!E22+scenarios!F22))</f>
        <v>22.157779544738592</v>
      </c>
      <c r="F23" s="14">
        <f t="shared" si="9"/>
        <v>-1.866091911389514</v>
      </c>
      <c r="G23" s="9">
        <f t="shared" si="42"/>
        <v>-7.767656910741183E-2</v>
      </c>
      <c r="H23" s="18">
        <f t="shared" si="1"/>
        <v>-0.19457860010645714</v>
      </c>
      <c r="I23" s="102">
        <f t="shared" si="10"/>
        <v>-0.47632006571185592</v>
      </c>
      <c r="J23" s="18">
        <f t="shared" si="11"/>
        <v>-0.45321373716943503</v>
      </c>
      <c r="K23" s="136">
        <f t="shared" si="2"/>
        <v>2.6590149167558348</v>
      </c>
      <c r="L23" s="263"/>
      <c r="M23" s="243">
        <f>IF(M22&gt;'goal seek'!$F$28,MAX($T$7,M22*(1+O23)),MAX($T$7,M22+N22))</f>
        <v>33.98500922545341</v>
      </c>
      <c r="N23" s="14">
        <f t="shared" si="12"/>
        <v>-1.4662858320784835</v>
      </c>
      <c r="O23" s="135">
        <f t="shared" si="62"/>
        <v>-4.13605717280267E-2</v>
      </c>
      <c r="P23" s="9">
        <f t="shared" si="43"/>
        <v>-4.1360571728026652E-2</v>
      </c>
      <c r="Q23" s="18">
        <f t="shared" si="13"/>
        <v>0.23533378651468939</v>
      </c>
      <c r="R23" s="102">
        <f t="shared" si="14"/>
        <v>-0.19679373278206441</v>
      </c>
      <c r="S23" s="18">
        <f t="shared" si="15"/>
        <v>-0.16135386449133604</v>
      </c>
      <c r="T23" s="136">
        <f t="shared" si="44"/>
        <v>4.0783259123102447</v>
      </c>
      <c r="U23" s="6"/>
      <c r="V23" s="243">
        <f>IF(V22&gt;'goal seek'!$F$28,MAX($AC$7,V22*(1+X23)),MAX($AC$7,V22+W22))</f>
        <v>30.835296640967364</v>
      </c>
      <c r="W23" s="14">
        <f t="shared" si="16"/>
        <v>-2.0146184112349133</v>
      </c>
      <c r="X23" s="135">
        <f t="shared" si="63"/>
        <v>-6.1327964106861546E-2</v>
      </c>
      <c r="Y23" s="9">
        <f t="shared" si="45"/>
        <v>-6.1327964106861588E-2</v>
      </c>
      <c r="Z23" s="18">
        <f t="shared" si="17"/>
        <v>0.12084370803291122</v>
      </c>
      <c r="AA23" s="102">
        <f t="shared" si="18"/>
        <v>-0.27123446254651667</v>
      </c>
      <c r="AB23" s="18">
        <f t="shared" si="19"/>
        <v>-0.23907914240486552</v>
      </c>
      <c r="AC23" s="136">
        <f t="shared" si="46"/>
        <v>3.7003488352871692</v>
      </c>
      <c r="AD23" s="6"/>
      <c r="AE23" s="243">
        <f>IF(AE22&gt;'goal seek'!$F$28,MAX($AL$7,AE22*(1+AG23)),MAX($AL$7,AE22+AF22))</f>
        <v>34.458091947431519</v>
      </c>
      <c r="AF23" s="14">
        <f t="shared" si="20"/>
        <v>-1.5119718445142851</v>
      </c>
      <c r="AG23" s="135">
        <f t="shared" si="21"/>
        <v>-4.2034171895264545E-2</v>
      </c>
      <c r="AH23" s="9">
        <f t="shared" si="47"/>
        <v>-4.2034171895264705E-2</v>
      </c>
      <c r="AI23" s="18">
        <f t="shared" si="22"/>
        <v>0.25253004697173204</v>
      </c>
      <c r="AJ23" s="102">
        <f t="shared" si="23"/>
        <v>-0.18561283226547001</v>
      </c>
      <c r="AK23" s="18">
        <f t="shared" si="24"/>
        <v>-0.14967962912682975</v>
      </c>
      <c r="AL23" s="136">
        <f t="shared" si="48"/>
        <v>4.1350975762786195</v>
      </c>
      <c r="AM23" s="6"/>
      <c r="AN23" s="243">
        <f>IF(AN22&gt;'goal seek'!$F$28,MAX($AL$7,AN22*(1+AP23)),MAX($AL$7,AN22+AO22))</f>
        <v>27.784435978772759</v>
      </c>
      <c r="AO23" s="14">
        <f t="shared" si="25"/>
        <v>-2.2085099293582751</v>
      </c>
      <c r="AP23" s="135">
        <f t="shared" si="49"/>
        <v>-7.3634311751936049E-2</v>
      </c>
      <c r="AQ23" s="9">
        <f t="shared" si="50"/>
        <v>-7.3634311751936021E-2</v>
      </c>
      <c r="AR23" s="18">
        <f t="shared" si="26"/>
        <v>9.9468349746902867E-3</v>
      </c>
      <c r="AS23" s="102">
        <f t="shared" si="27"/>
        <v>-0.34333891271827249</v>
      </c>
      <c r="AT23" s="18">
        <f t="shared" si="28"/>
        <v>-0.31436505706657542</v>
      </c>
      <c r="AU23" s="136">
        <f t="shared" si="51"/>
        <v>3.3342343519591089</v>
      </c>
      <c r="AV23" s="6"/>
      <c r="AW23" s="243">
        <f t="shared" si="52"/>
        <v>30.076868369026045</v>
      </c>
      <c r="AX23" s="730">
        <f t="shared" si="53"/>
        <v>-1.5293518698504478</v>
      </c>
      <c r="AY23" s="9">
        <f t="shared" si="54"/>
        <v>-4.8387686293766441E-2</v>
      </c>
      <c r="AZ23" s="9">
        <f t="shared" si="55"/>
        <v>-4.8387686293766441E-2</v>
      </c>
      <c r="BA23" s="18">
        <f t="shared" si="29"/>
        <v>9.3275315664332628E-2</v>
      </c>
      <c r="BB23" s="102">
        <f t="shared" si="30"/>
        <v>-0.28915925807084125</v>
      </c>
      <c r="BC23" s="18">
        <f t="shared" si="31"/>
        <v>-0.25779483364109812</v>
      </c>
      <c r="BD23" s="136">
        <f t="shared" si="56"/>
        <v>3.609334657431059</v>
      </c>
      <c r="BE23" s="6"/>
      <c r="BF23" s="243">
        <f t="shared" si="57"/>
        <v>18.486418119923655</v>
      </c>
      <c r="BG23" s="14">
        <f t="shared" si="32"/>
        <v>-3.1848520525912107</v>
      </c>
      <c r="BH23" s="9"/>
      <c r="BI23" s="9">
        <f t="shared" si="58"/>
        <v>-0.146961946726615</v>
      </c>
      <c r="BJ23" s="18">
        <f t="shared" si="33"/>
        <v>-0.32803028701033471</v>
      </c>
      <c r="BK23" s="102">
        <f t="shared" si="34"/>
        <v>-0.56308951414928488</v>
      </c>
      <c r="BL23" s="18">
        <f t="shared" si="35"/>
        <v>-0.54381171378174098</v>
      </c>
      <c r="BM23" s="136">
        <f t="shared" si="59"/>
        <v>2.2184380632099239</v>
      </c>
      <c r="BP23" s="540">
        <f t="shared" si="36"/>
        <v>323.7181995173321</v>
      </c>
      <c r="BQ23" s="541">
        <f t="shared" si="37"/>
        <v>390.17810345969485</v>
      </c>
      <c r="BR23" s="541">
        <f t="shared" si="38"/>
        <v>379.35265227165905</v>
      </c>
      <c r="BS23" s="541">
        <f t="shared" si="39"/>
        <v>392.67888846892322</v>
      </c>
      <c r="BT23" s="541">
        <f t="shared" si="60"/>
        <v>365.85221135046686</v>
      </c>
      <c r="BU23" s="541">
        <f t="shared" si="61"/>
        <v>367.84966007647716</v>
      </c>
      <c r="BV23" s="540" t="str">
        <f t="shared" si="4"/>
        <v/>
      </c>
      <c r="BW23" s="541" t="str">
        <f t="shared" si="5"/>
        <v/>
      </c>
      <c r="BX23" s="541" t="str">
        <f t="shared" si="6"/>
        <v/>
      </c>
      <c r="BY23" s="541" t="str">
        <f t="shared" si="7"/>
        <v/>
      </c>
      <c r="BZ23" s="541" t="str">
        <f t="shared" si="8"/>
        <v/>
      </c>
      <c r="CA23" s="542" t="str">
        <f t="shared" si="8"/>
        <v/>
      </c>
    </row>
    <row r="24" spans="1:79" ht="12.75" customHeight="1" x14ac:dyDescent="0.2">
      <c r="A24" s="239">
        <f t="shared" si="40"/>
        <v>10</v>
      </c>
      <c r="B24" s="822">
        <v>8405863.2950000092</v>
      </c>
      <c r="C24" s="239">
        <f t="shared" si="41"/>
        <v>2028</v>
      </c>
      <c r="E24" s="254">
        <f>IF(E23&gt;$K$10,MAX($K$7,E23*(1+$K$9)),MAX($K$7,scenarios!E23+scenarios!F23))</f>
        <v>20.436639250664907</v>
      </c>
      <c r="F24" s="14">
        <f t="shared" si="9"/>
        <v>-1.7211402940736846</v>
      </c>
      <c r="G24" s="9">
        <f t="shared" si="42"/>
        <v>-7.767656910741183E-2</v>
      </c>
      <c r="H24" s="18">
        <f t="shared" si="1"/>
        <v>-0.25714097113587636</v>
      </c>
      <c r="I24" s="102">
        <f t="shared" si="10"/>
        <v>-0.51699772631775387</v>
      </c>
      <c r="J24" s="18">
        <f t="shared" si="11"/>
        <v>-0.49568621810117691</v>
      </c>
      <c r="K24" s="136">
        <f t="shared" si="2"/>
        <v>2.4312362137534484</v>
      </c>
      <c r="L24" s="263"/>
      <c r="M24" s="243">
        <f>IF(M23&gt;'goal seek'!$F$28,MAX($T$7,M23*(1+O24)),MAX($T$7,M23+N23))</f>
        <v>32.375113606597644</v>
      </c>
      <c r="N24" s="14">
        <f t="shared" si="12"/>
        <v>-1.6098956188557665</v>
      </c>
      <c r="O24" s="135">
        <f t="shared" si="62"/>
        <v>-4.7370757152833801E-2</v>
      </c>
      <c r="P24" s="9">
        <f t="shared" si="43"/>
        <v>-4.7370757152833676E-2</v>
      </c>
      <c r="Q24" s="18">
        <f t="shared" si="13"/>
        <v>0.17681508971101154</v>
      </c>
      <c r="R24" s="102">
        <f t="shared" si="14"/>
        <v>-0.2348422218100793</v>
      </c>
      <c r="S24" s="18">
        <f t="shared" si="15"/>
        <v>-0.20108116691367944</v>
      </c>
      <c r="T24" s="136">
        <f t="shared" si="44"/>
        <v>3.851491806422199</v>
      </c>
      <c r="U24" s="6"/>
      <c r="V24" s="243">
        <f>IF(V23&gt;'goal seek'!$F$28,MAX($AC$7,V23*(1+X24)),MAX($AC$7,V23+W23))</f>
        <v>28.74455907257909</v>
      </c>
      <c r="W24" s="14">
        <f t="shared" si="16"/>
        <v>-2.0907375683882741</v>
      </c>
      <c r="X24" s="135">
        <f t="shared" si="63"/>
        <v>-6.780338755069891E-2</v>
      </c>
      <c r="Y24" s="9">
        <f t="shared" si="45"/>
        <v>-6.7803387550698924E-2</v>
      </c>
      <c r="Z24" s="18">
        <f t="shared" si="17"/>
        <v>4.4846707713393337E-2</v>
      </c>
      <c r="AA24" s="102">
        <f t="shared" si="18"/>
        <v>-0.32064723471606854</v>
      </c>
      <c r="AB24" s="18">
        <f t="shared" si="19"/>
        <v>-0.29067215420779857</v>
      </c>
      <c r="AC24" s="136">
        <f t="shared" si="46"/>
        <v>3.4195844095724208</v>
      </c>
      <c r="AD24" s="6"/>
      <c r="AE24" s="243">
        <f>IF(AE23&gt;'goal seek'!$F$28,MAX($AL$7,AE23*(1+AG24)),MAX($AL$7,AE23+AF23))</f>
        <v>32.735055845817413</v>
      </c>
      <c r="AF24" s="14">
        <f t="shared" si="20"/>
        <v>-1.723036101614106</v>
      </c>
      <c r="AG24" s="135">
        <f t="shared" si="21"/>
        <v>-5.0003816352998588E-2</v>
      </c>
      <c r="AH24" s="9">
        <f t="shared" si="47"/>
        <v>-5.0003816352998665E-2</v>
      </c>
      <c r="AI24" s="18">
        <f t="shared" si="22"/>
        <v>0.1898987645263448</v>
      </c>
      <c r="AJ24" s="102">
        <f t="shared" si="23"/>
        <v>-0.22633529864110613</v>
      </c>
      <c r="AK24" s="18">
        <f t="shared" si="24"/>
        <v>-0.19219889279318544</v>
      </c>
      <c r="AL24" s="136">
        <f t="shared" si="48"/>
        <v>3.8943121838882315</v>
      </c>
      <c r="AM24" s="6"/>
      <c r="AN24" s="243">
        <f>IF(AN23&gt;'goal seek'!$F$28,MAX($AL$7,AN23*(1+AP24)),MAX($AL$7,AN23+AO23))</f>
        <v>25.619773303478404</v>
      </c>
      <c r="AO24" s="14">
        <f t="shared" si="25"/>
        <v>-2.1646626752943554</v>
      </c>
      <c r="AP24" s="135">
        <f t="shared" si="49"/>
        <v>-7.7909181850880638E-2</v>
      </c>
      <c r="AQ24" s="9">
        <f t="shared" si="50"/>
        <v>-7.7909181850880582E-2</v>
      </c>
      <c r="AR24" s="18">
        <f t="shared" si="26"/>
        <v>-6.8737296651074115E-2</v>
      </c>
      <c r="AS24" s="102">
        <f t="shared" si="27"/>
        <v>-0.39449884078170155</v>
      </c>
      <c r="AT24" s="18">
        <f t="shared" si="28"/>
        <v>-0.3677823145188937</v>
      </c>
      <c r="AU24" s="136">
        <f t="shared" si="51"/>
        <v>3.0478455816331924</v>
      </c>
      <c r="AV24" s="6"/>
      <c r="AW24" s="243">
        <f t="shared" si="52"/>
        <v>28.547516499175597</v>
      </c>
      <c r="AX24" s="730">
        <f t="shared" si="53"/>
        <v>-1.5293518698504478</v>
      </c>
      <c r="AY24" s="9">
        <f t="shared" si="54"/>
        <v>-5.0848108622419397E-2</v>
      </c>
      <c r="AZ24" s="9">
        <f t="shared" si="55"/>
        <v>-5.0848108622419397E-2</v>
      </c>
      <c r="BA24" s="18">
        <f t="shared" si="29"/>
        <v>3.7684333659222739E-2</v>
      </c>
      <c r="BB24" s="102">
        <f t="shared" si="30"/>
        <v>-0.3253041653296963</v>
      </c>
      <c r="BC24" s="18">
        <f t="shared" si="31"/>
        <v>-0.29553456256023641</v>
      </c>
      <c r="BD24" s="136">
        <f t="shared" si="56"/>
        <v>3.3961433225016022</v>
      </c>
      <c r="BE24" s="6"/>
      <c r="BF24" s="243">
        <f t="shared" si="57"/>
        <v>15.651857785996114</v>
      </c>
      <c r="BG24" s="14">
        <f t="shared" si="32"/>
        <v>-2.8345603339275414</v>
      </c>
      <c r="BH24" s="9"/>
      <c r="BI24" s="9">
        <f t="shared" si="58"/>
        <v>-0.15333204710287318</v>
      </c>
      <c r="BJ24" s="18">
        <f t="shared" si="33"/>
        <v>-0.4310647786941702</v>
      </c>
      <c r="BK24" s="102">
        <f t="shared" si="34"/>
        <v>-0.63008189334548592</v>
      </c>
      <c r="BL24" s="18">
        <f t="shared" si="35"/>
        <v>-0.613759997571938</v>
      </c>
      <c r="BM24" s="136">
        <f t="shared" si="59"/>
        <v>1.8620166943835716</v>
      </c>
      <c r="BP24" s="540">
        <f t="shared" si="36"/>
        <v>344.15483876799698</v>
      </c>
      <c r="BQ24" s="541">
        <f t="shared" si="37"/>
        <v>422.55321706629252</v>
      </c>
      <c r="BR24" s="541">
        <f t="shared" si="38"/>
        <v>408.09721134423813</v>
      </c>
      <c r="BS24" s="541">
        <f t="shared" si="39"/>
        <v>425.41394431474066</v>
      </c>
      <c r="BT24" s="541">
        <f t="shared" si="60"/>
        <v>391.47198465394524</v>
      </c>
      <c r="BU24" s="541">
        <f t="shared" si="61"/>
        <v>396.39717657565274</v>
      </c>
      <c r="BV24" s="540" t="str">
        <f t="shared" si="4"/>
        <v/>
      </c>
      <c r="BW24" s="541">
        <f t="shared" si="5"/>
        <v>2.5532170662925182</v>
      </c>
      <c r="BX24" s="541" t="str">
        <f t="shared" si="6"/>
        <v/>
      </c>
      <c r="BY24" s="541">
        <f t="shared" si="7"/>
        <v>5.413944314740661</v>
      </c>
      <c r="BZ24" s="541" t="str">
        <f t="shared" si="8"/>
        <v/>
      </c>
      <c r="CA24" s="542" t="str">
        <f t="shared" si="8"/>
        <v/>
      </c>
    </row>
    <row r="25" spans="1:79" x14ac:dyDescent="0.2">
      <c r="A25" s="239">
        <f t="shared" si="40"/>
        <v>11</v>
      </c>
      <c r="B25" s="822">
        <v>8477660.693</v>
      </c>
      <c r="C25" s="239">
        <f t="shared" si="41"/>
        <v>2029</v>
      </c>
      <c r="E25" s="254">
        <f>IF(E24&gt;$K$10,MAX($K$7,E24*(1+$K$9)),MAX($K$7,scenarios!E24+scenarios!F24))</f>
        <v>18.84919122958739</v>
      </c>
      <c r="F25" s="14">
        <f t="shared" si="9"/>
        <v>-1.5874480210775168</v>
      </c>
      <c r="G25" s="9">
        <f t="shared" si="42"/>
        <v>-7.767656910741183E-2</v>
      </c>
      <c r="H25" s="18">
        <f t="shared" si="1"/>
        <v>-0.31484371182850523</v>
      </c>
      <c r="I25" s="102">
        <f t="shared" si="10"/>
        <v>-0.55451568580846988</v>
      </c>
      <c r="J25" s="18">
        <f t="shared" si="11"/>
        <v>-0.53485958243266107</v>
      </c>
      <c r="K25" s="136">
        <f t="shared" si="2"/>
        <v>2.2233953341811801</v>
      </c>
      <c r="L25" s="263"/>
      <c r="M25" s="243">
        <f>IF(M24&gt;'goal seek'!$F$28,MAX($T$7,M24*(1+O25)),MAX($T$7,M24+N24))</f>
        <v>30.618624663201448</v>
      </c>
      <c r="N25" s="14">
        <f t="shared" si="12"/>
        <v>-1.7564889433961959</v>
      </c>
      <c r="O25" s="135">
        <f t="shared" si="62"/>
        <v>-5.4254294355224927E-2</v>
      </c>
      <c r="P25" s="9">
        <f t="shared" si="43"/>
        <v>-5.4254294355224886E-2</v>
      </c>
      <c r="Q25" s="18">
        <f t="shared" si="13"/>
        <v>0.11296781743215989</v>
      </c>
      <c r="R25" s="102">
        <f t="shared" si="14"/>
        <v>-0.27635531713618516</v>
      </c>
      <c r="S25" s="18">
        <f t="shared" si="15"/>
        <v>-0.24442594444987747</v>
      </c>
      <c r="T25" s="136">
        <f t="shared" si="44"/>
        <v>3.6116831956347615</v>
      </c>
      <c r="U25" s="6"/>
      <c r="V25" s="243">
        <f>IF(V24&gt;'goal seek'!$F$28,MAX($AC$7,V24*(1+X25)),MAX($AC$7,V24+W24))</f>
        <v>26.609447402105705</v>
      </c>
      <c r="W25" s="14">
        <f t="shared" si="16"/>
        <v>-2.1351116704733855</v>
      </c>
      <c r="X25" s="135">
        <f t="shared" si="63"/>
        <v>-7.4278810994536273E-2</v>
      </c>
      <c r="Y25" s="9">
        <f t="shared" si="45"/>
        <v>-7.427881099453626E-2</v>
      </c>
      <c r="Z25" s="18">
        <f t="shared" si="17"/>
        <v>-3.2763263407113302E-2</v>
      </c>
      <c r="AA25" s="102">
        <f t="shared" si="18"/>
        <v>-0.37110875036720931</v>
      </c>
      <c r="AB25" s="18">
        <f t="shared" si="19"/>
        <v>-0.3433601831985591</v>
      </c>
      <c r="AC25" s="136">
        <f t="shared" si="46"/>
        <v>3.1387724002774857</v>
      </c>
      <c r="AD25" s="6"/>
      <c r="AE25" s="243">
        <f>IF(AE24&gt;'goal seek'!$F$28,MAX($AL$7,AE24*(1+AG25)),MAX($AL$7,AE24+AF24))</f>
        <v>30.802506467750074</v>
      </c>
      <c r="AF25" s="14">
        <f t="shared" si="20"/>
        <v>-1.9325493780673391</v>
      </c>
      <c r="AG25" s="135">
        <f t="shared" si="21"/>
        <v>-5.9036080071763836E-2</v>
      </c>
      <c r="AH25" s="9">
        <f t="shared" si="47"/>
        <v>-5.9036080071763863E-2</v>
      </c>
      <c r="AI25" s="18">
        <f t="shared" si="22"/>
        <v>0.11965180578647461</v>
      </c>
      <c r="AJ25" s="102">
        <f t="shared" si="23"/>
        <v>-0.27200942989922711</v>
      </c>
      <c r="AK25" s="18">
        <f t="shared" si="24"/>
        <v>-0.23988830364030644</v>
      </c>
      <c r="AL25" s="136">
        <f t="shared" si="48"/>
        <v>3.6333733541829161</v>
      </c>
      <c r="AM25" s="6"/>
      <c r="AN25" s="243">
        <f>IF(AN24&gt;'goal seek'!$F$28,MAX($AL$7,AN24*(1+AP25)),MAX($AL$7,AN24+AO24))</f>
        <v>23.52132538582547</v>
      </c>
      <c r="AO25" s="14">
        <f t="shared" si="25"/>
        <v>-2.0984479176529334</v>
      </c>
      <c r="AP25" s="135">
        <f t="shared" si="49"/>
        <v>-8.1907356977589857E-2</v>
      </c>
      <c r="AQ25" s="9">
        <f t="shared" si="50"/>
        <v>-8.1907356977589885E-2</v>
      </c>
      <c r="AR25" s="18">
        <f t="shared" si="26"/>
        <v>-0.14501456333418999</v>
      </c>
      <c r="AS25" s="102">
        <f t="shared" si="27"/>
        <v>-0.44409384038013922</v>
      </c>
      <c r="AT25" s="18">
        <f t="shared" si="28"/>
        <v>-0.41956559417114031</v>
      </c>
      <c r="AU25" s="136">
        <f t="shared" si="51"/>
        <v>2.774506581190141</v>
      </c>
      <c r="AV25" s="6"/>
      <c r="AW25" s="243">
        <f t="shared" si="52"/>
        <v>27.018164629325149</v>
      </c>
      <c r="AX25" s="730">
        <f t="shared" si="53"/>
        <v>-1.5293518698504478</v>
      </c>
      <c r="AY25" s="9">
        <f t="shared" si="54"/>
        <v>-5.3572151185011574E-2</v>
      </c>
      <c r="AZ25" s="9">
        <f t="shared" si="55"/>
        <v>-5.3572151185011574E-2</v>
      </c>
      <c r="BA25" s="18">
        <f t="shared" si="29"/>
        <v>-1.7906648345887149E-2</v>
      </c>
      <c r="BB25" s="102">
        <f t="shared" si="30"/>
        <v>-0.36144907258855141</v>
      </c>
      <c r="BC25" s="18">
        <f t="shared" si="31"/>
        <v>-0.33327429147937476</v>
      </c>
      <c r="BD25" s="136">
        <f t="shared" si="56"/>
        <v>3.1869834860970587</v>
      </c>
      <c r="BE25" s="6"/>
      <c r="BF25" s="243">
        <f t="shared" si="57"/>
        <v>13.168083660743605</v>
      </c>
      <c r="BG25" s="14">
        <f t="shared" si="32"/>
        <v>-2.4837741252525092</v>
      </c>
      <c r="BH25" s="9"/>
      <c r="BI25" s="9">
        <f t="shared" si="58"/>
        <v>-0.15868877415144733</v>
      </c>
      <c r="BJ25" s="18">
        <f t="shared" si="33"/>
        <v>-0.52134841153477474</v>
      </c>
      <c r="BK25" s="102">
        <f t="shared" si="34"/>
        <v>-0.68878374422691513</v>
      </c>
      <c r="BL25" s="18">
        <f t="shared" si="35"/>
        <v>-0.67505195008549923</v>
      </c>
      <c r="BM25" s="136">
        <f t="shared" si="59"/>
        <v>1.5532685415938485</v>
      </c>
      <c r="BP25" s="540">
        <f t="shared" si="36"/>
        <v>363.00402999758438</v>
      </c>
      <c r="BQ25" s="541">
        <f t="shared" si="37"/>
        <v>453.17184172949396</v>
      </c>
      <c r="BR25" s="541">
        <f t="shared" si="38"/>
        <v>434.70665874634386</v>
      </c>
      <c r="BS25" s="541">
        <f t="shared" si="39"/>
        <v>456.21645078249071</v>
      </c>
      <c r="BT25" s="541">
        <f t="shared" si="60"/>
        <v>414.99331003977073</v>
      </c>
      <c r="BU25" s="541">
        <f t="shared" si="61"/>
        <v>423.41534120497789</v>
      </c>
      <c r="BV25" s="540" t="str">
        <f t="shared" si="4"/>
        <v/>
      </c>
      <c r="BW25" s="541">
        <f t="shared" si="5"/>
        <v>33.171841729493963</v>
      </c>
      <c r="BX25" s="541">
        <f t="shared" si="6"/>
        <v>14.706658746343862</v>
      </c>
      <c r="BY25" s="541">
        <f t="shared" si="7"/>
        <v>36.21645078249071</v>
      </c>
      <c r="BZ25" s="541" t="str">
        <f t="shared" si="8"/>
        <v/>
      </c>
      <c r="CA25" s="542">
        <f t="shared" si="8"/>
        <v>3.4153412049778922</v>
      </c>
    </row>
    <row r="26" spans="1:79" x14ac:dyDescent="0.2">
      <c r="A26" s="239">
        <f t="shared" si="40"/>
        <v>12</v>
      </c>
      <c r="B26" s="822">
        <v>8548487.4000000004</v>
      </c>
      <c r="C26" s="239">
        <f t="shared" si="41"/>
        <v>2030</v>
      </c>
      <c r="E26" s="254">
        <f>IF(E25&gt;$K$10,MAX($K$7,E25*(1+$K$9)),MAX($K$7,scenarios!E25+scenarios!F25))</f>
        <v>17.385050724423525</v>
      </c>
      <c r="F26" s="14">
        <f t="shared" si="9"/>
        <v>-1.464140505163865</v>
      </c>
      <c r="G26" s="9">
        <f t="shared" si="42"/>
        <v>-7.767656910741183E-2</v>
      </c>
      <c r="H26" s="18">
        <f t="shared" si="1"/>
        <v>-0.36806430159603609</v>
      </c>
      <c r="I26" s="102">
        <f t="shared" si="10"/>
        <v>-0.58911937892603616</v>
      </c>
      <c r="J26" s="18">
        <f t="shared" si="11"/>
        <v>-0.57099009422248082</v>
      </c>
      <c r="K26" s="136">
        <f t="shared" si="2"/>
        <v>2.0336990523520599</v>
      </c>
      <c r="L26" s="263"/>
      <c r="M26" s="243">
        <f>IF(M25&gt;'goal seek'!$F$28,MAX($T$7,M25*(1+O26)),MAX($T$7,M25+N25))</f>
        <v>28.716041753487143</v>
      </c>
      <c r="N26" s="14">
        <f t="shared" si="12"/>
        <v>-1.9025829097143045</v>
      </c>
      <c r="O26" s="135">
        <f t="shared" si="62"/>
        <v>-6.213809178701938E-2</v>
      </c>
      <c r="P26" s="9">
        <f t="shared" si="43"/>
        <v>-6.2138091787019345E-2</v>
      </c>
      <c r="Q26" s="18">
        <f t="shared" si="13"/>
        <v>4.3810121036561796E-2</v>
      </c>
      <c r="R26" s="102">
        <f t="shared" si="14"/>
        <v>-0.32132121686116533</v>
      </c>
      <c r="S26" s="18">
        <f t="shared" si="15"/>
        <v>-0.29137587446554142</v>
      </c>
      <c r="T26" s="136">
        <f t="shared" si="44"/>
        <v>3.3591956576419757</v>
      </c>
      <c r="U26" s="6"/>
      <c r="V26" s="243">
        <f>IF(V25&gt;'goal seek'!$F$28,MAX($AC$7,V25*(1+X26)),MAX($AC$7,V25+W25))</f>
        <v>24.460621848320489</v>
      </c>
      <c r="W26" s="14">
        <f t="shared" si="16"/>
        <v>-2.1488255537852154</v>
      </c>
      <c r="X26" s="135">
        <f t="shared" si="63"/>
        <v>-8.0754234438373637E-2</v>
      </c>
      <c r="Y26" s="9">
        <f t="shared" si="45"/>
        <v>-8.0754234438373595E-2</v>
      </c>
      <c r="Z26" s="18">
        <f t="shared" si="17"/>
        <v>-0.11087172559134269</v>
      </c>
      <c r="AA26" s="102">
        <f t="shared" si="18"/>
        <v>-0.4218943817762974</v>
      </c>
      <c r="AB26" s="18">
        <f t="shared" si="19"/>
        <v>-0.39638662890611337</v>
      </c>
      <c r="AC26" s="136">
        <f t="shared" si="46"/>
        <v>2.8613976606341476</v>
      </c>
      <c r="AD26" s="6"/>
      <c r="AE26" s="243">
        <f>IF(AE25&gt;'goal seek'!$F$28,MAX($AL$7,AE25*(1+AG26)),MAX($AL$7,AE25+AF25))</f>
        <v>28.673099531232598</v>
      </c>
      <c r="AF26" s="14">
        <f t="shared" si="20"/>
        <v>-2.1294069365174764</v>
      </c>
      <c r="AG26" s="135">
        <f t="shared" si="21"/>
        <v>-6.9130963051560301E-2</v>
      </c>
      <c r="AH26" s="9">
        <f t="shared" si="47"/>
        <v>-6.9130963051560301E-2</v>
      </c>
      <c r="AI26" s="18">
        <f t="shared" si="22"/>
        <v>4.2249198170037104E-2</v>
      </c>
      <c r="AJ26" s="102">
        <f t="shared" si="23"/>
        <v>-0.3223361191027479</v>
      </c>
      <c r="AK26" s="18">
        <f t="shared" si="24"/>
        <v>-0.29243555723640724</v>
      </c>
      <c r="AL26" s="136">
        <f t="shared" si="48"/>
        <v>3.3541722868109507</v>
      </c>
      <c r="AM26" s="6"/>
      <c r="AN26" s="243">
        <f>IF(AN25&gt;'goal seek'!$F$28,MAX($AL$7,AN25*(1+AP26)),MAX($AL$7,AN25+AO25))</f>
        <v>21.506100896100762</v>
      </c>
      <c r="AO26" s="14">
        <f t="shared" si="25"/>
        <v>-2.0152244897247087</v>
      </c>
      <c r="AP26" s="135">
        <f t="shared" si="49"/>
        <v>-8.5676485345470149E-2</v>
      </c>
      <c r="AQ26" s="9">
        <f t="shared" si="50"/>
        <v>-8.567648534547001E-2</v>
      </c>
      <c r="AR26" s="18">
        <f t="shared" si="26"/>
        <v>-0.21826671056927857</v>
      </c>
      <c r="AS26" s="102">
        <f t="shared" si="27"/>
        <v>-0.49172192631826678</v>
      </c>
      <c r="AT26" s="18">
        <f t="shared" si="28"/>
        <v>-0.46929517403614324</v>
      </c>
      <c r="AU26" s="136">
        <f t="shared" si="51"/>
        <v>2.5157785102544294</v>
      </c>
      <c r="AV26" s="6"/>
      <c r="AW26" s="243">
        <f t="shared" si="52"/>
        <v>25.488812759474701</v>
      </c>
      <c r="AX26" s="730">
        <f t="shared" si="53"/>
        <v>-1.5293518698504478</v>
      </c>
      <c r="AY26" s="9">
        <f t="shared" si="54"/>
        <v>-5.6604580319660536E-2</v>
      </c>
      <c r="AZ26" s="9">
        <f t="shared" si="55"/>
        <v>-5.6604580319660536E-2</v>
      </c>
      <c r="BA26" s="18">
        <f t="shared" si="29"/>
        <v>-7.3497630350997045E-2</v>
      </c>
      <c r="BB26" s="102">
        <f t="shared" si="30"/>
        <v>-0.39759397984740652</v>
      </c>
      <c r="BC26" s="18">
        <f t="shared" si="31"/>
        <v>-0.37101402039851311</v>
      </c>
      <c r="BD26" s="136">
        <f t="shared" si="56"/>
        <v>2.9816751861241206</v>
      </c>
      <c r="BE26" s="6"/>
      <c r="BF26" s="243">
        <f t="shared" si="57"/>
        <v>11.018313333856071</v>
      </c>
      <c r="BG26" s="14">
        <f t="shared" si="32"/>
        <v>-2.1497703268875341</v>
      </c>
      <c r="BH26" s="9"/>
      <c r="BI26" s="9">
        <f t="shared" si="58"/>
        <v>-0.16325612612079476</v>
      </c>
      <c r="BJ26" s="18">
        <f t="shared" si="33"/>
        <v>-0.59949121562917229</v>
      </c>
      <c r="BK26" s="102">
        <f t="shared" si="34"/>
        <v>-0.73959170453024736</v>
      </c>
      <c r="BL26" s="18">
        <f t="shared" si="35"/>
        <v>-0.72810170990504719</v>
      </c>
      <c r="BM26" s="136">
        <f t="shared" si="59"/>
        <v>1.2889196437086718</v>
      </c>
      <c r="BP26" s="540">
        <f t="shared" si="36"/>
        <v>380.38908072200792</v>
      </c>
      <c r="BQ26" s="541">
        <f t="shared" si="37"/>
        <v>481.88788348298112</v>
      </c>
      <c r="BR26" s="541">
        <f t="shared" si="38"/>
        <v>459.16728059466436</v>
      </c>
      <c r="BS26" s="541">
        <f t="shared" si="39"/>
        <v>484.8895503137233</v>
      </c>
      <c r="BT26" s="541">
        <f t="shared" si="60"/>
        <v>436.49941093587148</v>
      </c>
      <c r="BU26" s="541">
        <f t="shared" si="61"/>
        <v>448.90415396445258</v>
      </c>
      <c r="BV26" s="540" t="str">
        <f t="shared" si="4"/>
        <v/>
      </c>
      <c r="BW26" s="541">
        <f t="shared" si="5"/>
        <v>61.887883482981124</v>
      </c>
      <c r="BX26" s="541">
        <f t="shared" si="6"/>
        <v>39.167280594664362</v>
      </c>
      <c r="BY26" s="541">
        <f t="shared" si="7"/>
        <v>64.889550313723305</v>
      </c>
      <c r="BZ26" s="541">
        <f t="shared" si="8"/>
        <v>16.499410935871481</v>
      </c>
      <c r="CA26" s="542">
        <f t="shared" si="8"/>
        <v>28.904153964452576</v>
      </c>
    </row>
    <row r="27" spans="1:79" x14ac:dyDescent="0.2">
      <c r="A27" s="239">
        <f t="shared" si="40"/>
        <v>13</v>
      </c>
      <c r="B27" s="822">
        <v>8618349.4890000001</v>
      </c>
      <c r="C27" s="239">
        <f t="shared" si="41"/>
        <v>2031</v>
      </c>
      <c r="E27" s="254">
        <f>IF(E26&gt;$K$10,MAX($K$7,E26*(1+$K$9)),MAX($K$7,scenarios!E26+scenarios!F26))</f>
        <v>16.034639630391982</v>
      </c>
      <c r="F27" s="14">
        <f t="shared" si="9"/>
        <v>-1.3504110940315428</v>
      </c>
      <c r="G27" s="9">
        <f t="shared" si="42"/>
        <v>-7.7676569107411719E-2</v>
      </c>
      <c r="H27" s="18">
        <f t="shared" si="1"/>
        <v>-0.41715089854455212</v>
      </c>
      <c r="I27" s="102">
        <f t="shared" si="10"/>
        <v>-0.62103517588378421</v>
      </c>
      <c r="J27" s="18">
        <f t="shared" si="11"/>
        <v>-0.60431411181637251</v>
      </c>
      <c r="K27" s="136">
        <f t="shared" si="2"/>
        <v>1.8605232534208249</v>
      </c>
      <c r="L27" s="263"/>
      <c r="M27" s="243">
        <f>IF(M26&gt;'goal seek'!$F$28,MAX($T$7,M26*(1+O27)),MAX($T$7,M26+N26))</f>
        <v>26.672392874539952</v>
      </c>
      <c r="N27" s="14">
        <f t="shared" si="12"/>
        <v>-2.0436488789471916</v>
      </c>
      <c r="O27" s="135">
        <f t="shared" si="62"/>
        <v>-7.1167499214929889E-2</v>
      </c>
      <c r="P27" s="9">
        <f t="shared" si="43"/>
        <v>-7.116749921492993E-2</v>
      </c>
      <c r="Q27" s="18">
        <f t="shared" si="13"/>
        <v>-3.0475234932843636E-2</v>
      </c>
      <c r="R27" s="102">
        <f t="shared" si="14"/>
        <v>-0.36962108862738796</v>
      </c>
      <c r="S27" s="18">
        <f t="shared" si="15"/>
        <v>-0.34180688136319543</v>
      </c>
      <c r="T27" s="136">
        <f t="shared" si="44"/>
        <v>3.0948376958468864</v>
      </c>
      <c r="U27" s="6"/>
      <c r="V27" s="243">
        <f>IF(V26&gt;'goal seek'!$F$28,MAX($AC$7,V26*(1+X27)),MAX($AC$7,V26+W26))</f>
        <v>22.326930172905357</v>
      </c>
      <c r="W27" s="14">
        <f t="shared" si="16"/>
        <v>-2.1336916754151325</v>
      </c>
      <c r="X27" s="135">
        <f t="shared" si="63"/>
        <v>-8.7229657882211001E-2</v>
      </c>
      <c r="Y27" s="9">
        <f t="shared" si="45"/>
        <v>-8.7229657882211042E-2</v>
      </c>
      <c r="Z27" s="18">
        <f t="shared" si="17"/>
        <v>-0.18843008078141052</v>
      </c>
      <c r="AA27" s="102">
        <f t="shared" si="18"/>
        <v>-0.47232233707373505</v>
      </c>
      <c r="AB27" s="18">
        <f t="shared" si="19"/>
        <v>-0.44903961675976117</v>
      </c>
      <c r="AC27" s="136">
        <f t="shared" si="46"/>
        <v>2.5906271498274993</v>
      </c>
      <c r="AD27" s="6"/>
      <c r="AE27" s="243">
        <f>IF(AE26&gt;'goal seek'!$F$28,MAX($AL$7,AE26*(1+AG27)),MAX($AL$7,AE26+AF26))</f>
        <v>26.370980374694042</v>
      </c>
      <c r="AF27" s="14">
        <f t="shared" si="20"/>
        <v>-2.3021191565385557</v>
      </c>
      <c r="AG27" s="135">
        <f t="shared" si="21"/>
        <v>-8.028846529238795E-2</v>
      </c>
      <c r="AH27" s="9">
        <f t="shared" si="47"/>
        <v>-8.0288465292387978E-2</v>
      </c>
      <c r="AI27" s="18">
        <f t="shared" si="22"/>
        <v>-4.1431390403257169E-2</v>
      </c>
      <c r="AJ27" s="102">
        <f t="shared" si="23"/>
        <v>-0.3767447120840719</v>
      </c>
      <c r="AK27" s="18">
        <f t="shared" si="24"/>
        <v>-0.34924482044135979</v>
      </c>
      <c r="AL27" s="136">
        <f t="shared" si="48"/>
        <v>3.0598643520261679</v>
      </c>
      <c r="AM27" s="6"/>
      <c r="AN27" s="243">
        <f>IF(AN26&gt;'goal seek'!$F$28,MAX($AL$7,AN26*(1+AP27)),MAX($AL$7,AN26+AO26))</f>
        <v>19.58663984505209</v>
      </c>
      <c r="AO27" s="14">
        <f t="shared" si="25"/>
        <v>-1.9194610510486712</v>
      </c>
      <c r="AP27" s="135">
        <f t="shared" si="49"/>
        <v>-8.9251931827246514E-2</v>
      </c>
      <c r="AQ27" s="9">
        <f t="shared" si="50"/>
        <v>-8.9251931827246556E-2</v>
      </c>
      <c r="AR27" s="18">
        <f t="shared" si="26"/>
        <v>-0.28803791682463853</v>
      </c>
      <c r="AS27" s="102">
        <f t="shared" si="27"/>
        <v>-0.53708672629979304</v>
      </c>
      <c r="AT27" s="18">
        <f t="shared" si="28"/>
        <v>-0.51666160498346014</v>
      </c>
      <c r="AU27" s="136">
        <f t="shared" si="51"/>
        <v>2.2726671586075069</v>
      </c>
      <c r="AV27" s="6"/>
      <c r="AW27" s="243">
        <f t="shared" si="52"/>
        <v>23.959460889624253</v>
      </c>
      <c r="AX27" s="730">
        <f t="shared" si="53"/>
        <v>-1.5293518698504478</v>
      </c>
      <c r="AY27" s="9">
        <f t="shared" si="54"/>
        <v>-6.0000906447945757E-2</v>
      </c>
      <c r="AZ27" s="9">
        <f t="shared" si="55"/>
        <v>-6.0000906447945757E-2</v>
      </c>
      <c r="BA27" s="18">
        <f t="shared" si="29"/>
        <v>-0.12908861235610694</v>
      </c>
      <c r="BB27" s="102">
        <f t="shared" si="30"/>
        <v>-0.43373888710626157</v>
      </c>
      <c r="BC27" s="18">
        <f t="shared" si="31"/>
        <v>-0.40875374931765146</v>
      </c>
      <c r="BD27" s="136">
        <f t="shared" si="56"/>
        <v>2.7800521341359881</v>
      </c>
      <c r="BE27" s="6"/>
      <c r="BF27" s="243">
        <f t="shared" si="57"/>
        <v>9.1760886496662266</v>
      </c>
      <c r="BG27" s="14">
        <f t="shared" si="32"/>
        <v>-1.8422246841898442</v>
      </c>
      <c r="BH27" s="9"/>
      <c r="BI27" s="9">
        <f t="shared" si="58"/>
        <v>-0.16719661425213095</v>
      </c>
      <c r="BJ27" s="18">
        <f t="shared" si="33"/>
        <v>-0.6664549283542115</v>
      </c>
      <c r="BK27" s="102">
        <f t="shared" si="34"/>
        <v>-0.78313108985595847</v>
      </c>
      <c r="BL27" s="18">
        <f t="shared" si="35"/>
        <v>-0.77356218342986705</v>
      </c>
      <c r="BM27" s="136">
        <f t="shared" si="59"/>
        <v>1.0647153102085376</v>
      </c>
      <c r="BP27" s="540">
        <f t="shared" si="36"/>
        <v>396.42372035239993</v>
      </c>
      <c r="BQ27" s="541">
        <f t="shared" si="37"/>
        <v>508.56027635752105</v>
      </c>
      <c r="BR27" s="541">
        <f t="shared" si="38"/>
        <v>481.49421076756971</v>
      </c>
      <c r="BS27" s="541">
        <f t="shared" si="39"/>
        <v>511.26053068841736</v>
      </c>
      <c r="BT27" s="541">
        <f t="shared" si="60"/>
        <v>456.08605078092359</v>
      </c>
      <c r="BU27" s="541">
        <f t="shared" si="61"/>
        <v>472.86361485407684</v>
      </c>
      <c r="BV27" s="540" t="str">
        <f t="shared" si="4"/>
        <v/>
      </c>
      <c r="BW27" s="541">
        <f t="shared" si="5"/>
        <v>88.560276357521047</v>
      </c>
      <c r="BX27" s="541">
        <f t="shared" si="6"/>
        <v>61.494210767569712</v>
      </c>
      <c r="BY27" s="541">
        <f t="shared" si="7"/>
        <v>91.260530688417361</v>
      </c>
      <c r="BZ27" s="541">
        <f t="shared" si="8"/>
        <v>36.086050780923586</v>
      </c>
      <c r="CA27" s="542">
        <f t="shared" si="8"/>
        <v>52.863614854076843</v>
      </c>
    </row>
    <row r="28" spans="1:79" x14ac:dyDescent="0.2">
      <c r="A28" s="239">
        <f t="shared" si="40"/>
        <v>14</v>
      </c>
      <c r="B28" s="822">
        <v>8687227.8499999996</v>
      </c>
      <c r="C28" s="239">
        <f t="shared" si="41"/>
        <v>2032</v>
      </c>
      <c r="E28" s="254">
        <f>IF(E27&gt;$K$10,MAX($K$7,E27*(1+$K$9)),MAX($K$7,scenarios!E27+scenarios!F27))</f>
        <v>14.789123837029395</v>
      </c>
      <c r="F28" s="14">
        <f t="shared" si="9"/>
        <v>-1.2455157933625873</v>
      </c>
      <c r="G28" s="9">
        <f t="shared" si="42"/>
        <v>-7.767656910741183E-2</v>
      </c>
      <c r="H28" s="18">
        <f t="shared" si="1"/>
        <v>-0.46242461705294907</v>
      </c>
      <c r="I28" s="102">
        <f t="shared" si="10"/>
        <v>-0.65047186323352568</v>
      </c>
      <c r="J28" s="18">
        <f t="shared" si="11"/>
        <v>-0.63504963405469572</v>
      </c>
      <c r="K28" s="136">
        <f t="shared" si="2"/>
        <v>1.7023985202632157</v>
      </c>
      <c r="L28" s="263"/>
      <c r="M28" s="243">
        <f>IF(M27&gt;'goal seek'!$F$28,MAX($T$7,M27*(1+O28)),MAX($T$7,M27+N27))</f>
        <v>24.498353138093332</v>
      </c>
      <c r="N28" s="14">
        <f t="shared" si="12"/>
        <v>-2.1740397364466197</v>
      </c>
      <c r="O28" s="135">
        <f t="shared" si="62"/>
        <v>-8.1508987464032234E-2</v>
      </c>
      <c r="P28" s="9">
        <f t="shared" si="43"/>
        <v>-8.1508987464032234E-2</v>
      </c>
      <c r="Q28" s="18">
        <f t="shared" si="13"/>
        <v>-0.10950021685477128</v>
      </c>
      <c r="R28" s="102">
        <f t="shared" si="14"/>
        <v>-0.42100263541204852</v>
      </c>
      <c r="S28" s="18">
        <f t="shared" si="15"/>
        <v>-0.39545553601907502</v>
      </c>
      <c r="T28" s="136">
        <f t="shared" si="44"/>
        <v>2.8200426604550652</v>
      </c>
      <c r="U28" s="6"/>
      <c r="V28" s="243">
        <f>IF(V27&gt;'goal seek'!$F$28,MAX($AC$7,V27*(1+X28)),MAX($AC$7,V27+W27))</f>
        <v>20.234783365292255</v>
      </c>
      <c r="W28" s="14">
        <f t="shared" si="16"/>
        <v>-2.0921468076131013</v>
      </c>
      <c r="X28" s="135">
        <f t="shared" si="63"/>
        <v>-9.3705081326048364E-2</v>
      </c>
      <c r="Y28" s="9">
        <f t="shared" si="45"/>
        <v>-9.3705081326048489E-2</v>
      </c>
      <c r="Z28" s="18">
        <f t="shared" si="17"/>
        <v>-0.26447830606356298</v>
      </c>
      <c r="AA28" s="102">
        <f t="shared" si="18"/>
        <v>-0.52176841539217989</v>
      </c>
      <c r="AB28" s="18">
        <f t="shared" si="19"/>
        <v>-0.50066740427871859</v>
      </c>
      <c r="AC28" s="136">
        <f t="shared" si="46"/>
        <v>2.3292566644596819</v>
      </c>
      <c r="AD28" s="6"/>
      <c r="AE28" s="243">
        <f>IF(AE27&gt;'goal seek'!$F$28,MAX($AL$7,AE27*(1+AG28)),MAX($AL$7,AE27+AF27))</f>
        <v>23.931438247852281</v>
      </c>
      <c r="AF28" s="14">
        <f t="shared" si="20"/>
        <v>-2.4395421268417614</v>
      </c>
      <c r="AG28" s="135">
        <f t="shared" si="21"/>
        <v>-9.2508586794246825E-2</v>
      </c>
      <c r="AH28" s="9">
        <f t="shared" si="47"/>
        <v>-9.2508586794246783E-2</v>
      </c>
      <c r="AI28" s="18">
        <f t="shared" si="22"/>
        <v>-0.13010721782237789</v>
      </c>
      <c r="AJ28" s="102">
        <f t="shared" si="23"/>
        <v>-0.4344011779812158</v>
      </c>
      <c r="AK28" s="18">
        <f t="shared" si="24"/>
        <v>-0.40944526245136592</v>
      </c>
      <c r="AL28" s="136">
        <f t="shared" si="48"/>
        <v>2.7547842258853934</v>
      </c>
      <c r="AM28" s="6"/>
      <c r="AN28" s="243">
        <f>IF(AN27&gt;'goal seek'!$F$28,MAX($AL$7,AN27*(1+AP28)),MAX($AL$7,AN27+AO27))</f>
        <v>17.771726106477395</v>
      </c>
      <c r="AO28" s="14">
        <f t="shared" si="25"/>
        <v>-1.8149137385746954</v>
      </c>
      <c r="AP28" s="135">
        <f t="shared" si="49"/>
        <v>-9.2660801083406547E-2</v>
      </c>
      <c r="AQ28" s="9">
        <f t="shared" si="50"/>
        <v>-9.2660801083406463E-2</v>
      </c>
      <c r="AR28" s="18">
        <f t="shared" si="26"/>
        <v>-0.35400889379267841</v>
      </c>
      <c r="AS28" s="102">
        <f t="shared" si="27"/>
        <v>-0.57998064107299641</v>
      </c>
      <c r="AT28" s="18">
        <f t="shared" si="28"/>
        <v>-0.56144812786006071</v>
      </c>
      <c r="AU28" s="136">
        <f t="shared" si="51"/>
        <v>2.0457304002308856</v>
      </c>
      <c r="AV28" s="6"/>
      <c r="AW28" s="243">
        <f t="shared" si="52"/>
        <v>22.430109019773806</v>
      </c>
      <c r="AX28" s="730">
        <f t="shared" si="53"/>
        <v>-1.5293518698504478</v>
      </c>
      <c r="AY28" s="9">
        <f t="shared" si="54"/>
        <v>-6.3830813092824679E-2</v>
      </c>
      <c r="AZ28" s="9">
        <f t="shared" si="55"/>
        <v>-6.3830813092824679E-2</v>
      </c>
      <c r="BA28" s="18">
        <f t="shared" si="29"/>
        <v>-0.18467959436121681</v>
      </c>
      <c r="BB28" s="102">
        <f t="shared" si="30"/>
        <v>-0.46988379436511668</v>
      </c>
      <c r="BC28" s="18">
        <f t="shared" si="31"/>
        <v>-0.44649347823678975</v>
      </c>
      <c r="BD28" s="136">
        <f t="shared" si="56"/>
        <v>2.5819639368355936</v>
      </c>
      <c r="BE28" s="6"/>
      <c r="BF28" s="243">
        <f t="shared" si="57"/>
        <v>7.6103634168143444</v>
      </c>
      <c r="BG28" s="14">
        <f t="shared" si="32"/>
        <v>-1.5657252328518823</v>
      </c>
      <c r="BH28" s="9"/>
      <c r="BI28" s="9">
        <f t="shared" si="58"/>
        <v>-0.17063100550023935</v>
      </c>
      <c r="BJ28" s="18">
        <f t="shared" si="33"/>
        <v>-0.72336805930878179</v>
      </c>
      <c r="BK28" s="102">
        <f t="shared" si="34"/>
        <v>-0.82013565005557743</v>
      </c>
      <c r="BL28" s="18">
        <f t="shared" si="35"/>
        <v>-0.81219949575450756</v>
      </c>
      <c r="BM28" s="136">
        <f t="shared" si="59"/>
        <v>0.87604049855954269</v>
      </c>
      <c r="BP28" s="540">
        <f t="shared" si="36"/>
        <v>411.21284418942935</v>
      </c>
      <c r="BQ28" s="541">
        <f t="shared" si="37"/>
        <v>533.05862949561435</v>
      </c>
      <c r="BR28" s="541">
        <f t="shared" si="38"/>
        <v>501.72899413286194</v>
      </c>
      <c r="BS28" s="541">
        <f t="shared" si="39"/>
        <v>535.19196893626963</v>
      </c>
      <c r="BT28" s="541">
        <f t="shared" si="60"/>
        <v>473.85777688740097</v>
      </c>
      <c r="BU28" s="541">
        <f t="shared" si="61"/>
        <v>495.29372387385064</v>
      </c>
      <c r="BV28" s="540" t="str">
        <f t="shared" si="4"/>
        <v/>
      </c>
      <c r="BW28" s="541">
        <f t="shared" si="5"/>
        <v>113.05862949561435</v>
      </c>
      <c r="BX28" s="541">
        <f t="shared" si="6"/>
        <v>81.728994132861942</v>
      </c>
      <c r="BY28" s="541">
        <f t="shared" si="7"/>
        <v>115.19196893626963</v>
      </c>
      <c r="BZ28" s="541">
        <f t="shared" si="8"/>
        <v>53.857776887400973</v>
      </c>
      <c r="CA28" s="542">
        <f t="shared" si="8"/>
        <v>75.293723873850638</v>
      </c>
    </row>
    <row r="29" spans="1:79" x14ac:dyDescent="0.2">
      <c r="A29" s="239">
        <f t="shared" si="40"/>
        <v>15</v>
      </c>
      <c r="B29" s="822">
        <v>8755083.4310000092</v>
      </c>
      <c r="C29" s="239">
        <f t="shared" si="41"/>
        <v>2033</v>
      </c>
      <c r="E29" s="254">
        <f>IF(E28&gt;$K$10,MAX($K$7,E28*(1+$K$9)),MAX($K$7,scenarios!E28+scenarios!F28))</f>
        <v>13.64035543726431</v>
      </c>
      <c r="F29" s="14">
        <f t="shared" si="9"/>
        <v>-1.1487683997650855</v>
      </c>
      <c r="G29" s="9">
        <f t="shared" si="42"/>
        <v>-7.767656910741183E-2</v>
      </c>
      <c r="H29" s="18">
        <f t="shared" si="1"/>
        <v>-0.50418162843687908</v>
      </c>
      <c r="I29" s="102">
        <f t="shared" si="10"/>
        <v>-0.67762200970405151</v>
      </c>
      <c r="J29" s="18">
        <f t="shared" si="11"/>
        <v>-0.66339772637582128</v>
      </c>
      <c r="K29" s="136">
        <f t="shared" si="2"/>
        <v>1.5579926273422506</v>
      </c>
      <c r="L29" s="263"/>
      <c r="M29" s="243">
        <f>IF(M28&gt;'goal seek'!$F$28,MAX($T$7,M28*(1+O29)),MAX($T$7,M28+N28))</f>
        <v>22.211353047731443</v>
      </c>
      <c r="N29" s="14">
        <f t="shared" si="12"/>
        <v>-2.2870000903618894</v>
      </c>
      <c r="O29" s="135">
        <f t="shared" si="62"/>
        <v>-9.3353217559989946E-2</v>
      </c>
      <c r="P29" s="9">
        <f t="shared" si="43"/>
        <v>-9.3353217559989932E-2</v>
      </c>
      <c r="Q29" s="18">
        <f t="shared" si="13"/>
        <v>-0.19263123684785169</v>
      </c>
      <c r="R29" s="102">
        <f t="shared" si="14"/>
        <v>-0.47505390235508838</v>
      </c>
      <c r="S29" s="18">
        <f t="shared" si="15"/>
        <v>-0.45189170688977381</v>
      </c>
      <c r="T29" s="136">
        <f t="shared" si="44"/>
        <v>2.5369664632875413</v>
      </c>
      <c r="U29" s="6"/>
      <c r="V29" s="243">
        <f>IF(V28&gt;'goal seek'!$F$28,MAX($AC$7,V28*(1+X29)),MAX($AC$7,V28+W28))</f>
        <v>18.207652553847989</v>
      </c>
      <c r="W29" s="14">
        <f t="shared" si="16"/>
        <v>-2.0271308114442661</v>
      </c>
      <c r="X29" s="135">
        <f t="shared" si="63"/>
        <v>-0.10018050476988573</v>
      </c>
      <c r="Y29" s="9">
        <f t="shared" si="45"/>
        <v>-0.10018050476988583</v>
      </c>
      <c r="Z29" s="18">
        <f t="shared" si="17"/>
        <v>-0.3381632406313167</v>
      </c>
      <c r="AA29" s="102">
        <f t="shared" si="18"/>
        <v>-0.56967789693509363</v>
      </c>
      <c r="AB29" s="18">
        <f t="shared" si="19"/>
        <v>-0.55069079576613389</v>
      </c>
      <c r="AC29" s="136">
        <f t="shared" si="46"/>
        <v>2.0796663672419515</v>
      </c>
      <c r="AD29" s="6"/>
      <c r="AE29" s="243">
        <f>IF(AE28&gt;'goal seek'!$F$28,MAX($AL$7,AE28*(1+AG29)),MAX($AL$7,AE28+AF28))</f>
        <v>21.399699625260347</v>
      </c>
      <c r="AF29" s="14">
        <f t="shared" si="20"/>
        <v>-2.5317386225919343</v>
      </c>
      <c r="AG29" s="135">
        <f t="shared" si="21"/>
        <v>-0.1057913275571369</v>
      </c>
      <c r="AH29" s="9">
        <f t="shared" si="47"/>
        <v>-0.10579132755713683</v>
      </c>
      <c r="AI29" s="18">
        <f t="shared" si="22"/>
        <v>-0.2221343300813198</v>
      </c>
      <c r="AJ29" s="102">
        <f t="shared" si="23"/>
        <v>-0.49423662822733572</v>
      </c>
      <c r="AK29" s="18">
        <f t="shared" si="24"/>
        <v>-0.47192083213179248</v>
      </c>
      <c r="AL29" s="136">
        <f t="shared" si="48"/>
        <v>2.4442599312632778</v>
      </c>
      <c r="AM29" s="6"/>
      <c r="AN29" s="243">
        <f>IF(AN28&gt;'goal seek'!$F$28,MAX($AL$7,AN28*(1+AP29)),MAX($AL$7,AN28+AO28))</f>
        <v>16.066983763338975</v>
      </c>
      <c r="AO29" s="14">
        <f t="shared" si="25"/>
        <v>-1.7047423431384203</v>
      </c>
      <c r="AP29" s="135">
        <f t="shared" si="49"/>
        <v>-9.5924410095262383E-2</v>
      </c>
      <c r="AQ29" s="9">
        <f t="shared" si="50"/>
        <v>-9.5924410095262536E-2</v>
      </c>
      <c r="AR29" s="18">
        <f t="shared" si="26"/>
        <v>-0.41597520958240181</v>
      </c>
      <c r="AS29" s="102">
        <f t="shared" si="27"/>
        <v>-0.62027075030665957</v>
      </c>
      <c r="AT29" s="18">
        <f t="shared" si="28"/>
        <v>-0.6035159574912573</v>
      </c>
      <c r="AU29" s="136">
        <f t="shared" si="51"/>
        <v>1.8351605544327518</v>
      </c>
      <c r="AV29" s="6"/>
      <c r="AW29" s="243">
        <f t="shared" si="52"/>
        <v>20.900757149923358</v>
      </c>
      <c r="AX29" s="730">
        <f t="shared" si="53"/>
        <v>-1.5293518698504478</v>
      </c>
      <c r="AY29" s="9">
        <f t="shared" si="54"/>
        <v>-6.8182988700688507E-2</v>
      </c>
      <c r="AZ29" s="9">
        <f t="shared" si="55"/>
        <v>-6.8182988700688507E-2</v>
      </c>
      <c r="BA29" s="18">
        <f t="shared" si="29"/>
        <v>-0.2402705763663267</v>
      </c>
      <c r="BB29" s="102">
        <f t="shared" si="30"/>
        <v>-0.50602870162397173</v>
      </c>
      <c r="BC29" s="18">
        <f t="shared" si="31"/>
        <v>-0.4842332071559281</v>
      </c>
      <c r="BD29" s="136">
        <f t="shared" si="56"/>
        <v>2.387271042548599</v>
      </c>
      <c r="BE29" s="6"/>
      <c r="BF29" s="243">
        <f t="shared" si="57"/>
        <v>6.2888168284638262</v>
      </c>
      <c r="BG29" s="14">
        <f t="shared" si="32"/>
        <v>-1.3215465883505182</v>
      </c>
      <c r="BH29" s="9"/>
      <c r="BI29" s="9">
        <f t="shared" si="58"/>
        <v>-0.17365091730451299</v>
      </c>
      <c r="BJ29" s="18">
        <f t="shared" si="33"/>
        <v>-0.77140544956553936</v>
      </c>
      <c r="BK29" s="102">
        <f t="shared" si="34"/>
        <v>-0.85136925941380615</v>
      </c>
      <c r="BL29" s="18">
        <f t="shared" si="35"/>
        <v>-0.84481122558698751</v>
      </c>
      <c r="BM29" s="136">
        <f t="shared" si="59"/>
        <v>0.71830461445934102</v>
      </c>
      <c r="BP29" s="540">
        <f t="shared" si="36"/>
        <v>424.85319962669365</v>
      </c>
      <c r="BQ29" s="541">
        <f t="shared" si="37"/>
        <v>555.2699825433458</v>
      </c>
      <c r="BR29" s="541">
        <f t="shared" si="38"/>
        <v>519.93664668670988</v>
      </c>
      <c r="BS29" s="541">
        <f t="shared" si="39"/>
        <v>556.59166856153001</v>
      </c>
      <c r="BT29" s="541">
        <f t="shared" si="60"/>
        <v>489.92476065073993</v>
      </c>
      <c r="BU29" s="541">
        <f t="shared" si="61"/>
        <v>516.19448102377396</v>
      </c>
      <c r="BV29" s="540">
        <f t="shared" si="4"/>
        <v>4.8531996266936517</v>
      </c>
      <c r="BW29" s="541">
        <f t="shared" si="5"/>
        <v>135.2699825433458</v>
      </c>
      <c r="BX29" s="541">
        <f t="shared" si="6"/>
        <v>99.936646686709878</v>
      </c>
      <c r="BY29" s="541">
        <f t="shared" si="7"/>
        <v>136.59166856153001</v>
      </c>
      <c r="BZ29" s="541">
        <f t="shared" si="8"/>
        <v>69.924760650739927</v>
      </c>
      <c r="CA29" s="542">
        <f t="shared" si="8"/>
        <v>96.19448102377396</v>
      </c>
    </row>
    <row r="30" spans="1:79" x14ac:dyDescent="0.2">
      <c r="A30" s="239">
        <f t="shared" si="40"/>
        <v>16</v>
      </c>
      <c r="B30" s="822">
        <v>8821862.6610000003</v>
      </c>
      <c r="C30" s="239">
        <f t="shared" si="41"/>
        <v>2034</v>
      </c>
      <c r="E30" s="254">
        <f>IF(E29&gt;$K$10,MAX($K$7,E29*(1+$K$9)),MAX($K$7,scenarios!E29+scenarios!F29))</f>
        <v>12.580819425491988</v>
      </c>
      <c r="F30" s="14">
        <f t="shared" si="9"/>
        <v>-1.0595360117723214</v>
      </c>
      <c r="G30" s="9">
        <f t="shared" si="42"/>
        <v>-7.767656910741183E-2</v>
      </c>
      <c r="H30" s="18">
        <f t="shared" si="1"/>
        <v>-0.54269509844032626</v>
      </c>
      <c r="I30" s="102">
        <f t="shared" si="10"/>
        <v>-0.70266322594598329</v>
      </c>
      <c r="J30" s="18">
        <f t="shared" si="11"/>
        <v>-0.68954383614470183</v>
      </c>
      <c r="K30" s="136">
        <f t="shared" si="2"/>
        <v>1.4260955887592444</v>
      </c>
      <c r="L30" s="263"/>
      <c r="M30" s="243">
        <f>IF(M29&gt;'goal seek'!$F$28,MAX($T$7,M29*(1+O30)),MAX($T$7,M29+N29))</f>
        <v>19.836547256297379</v>
      </c>
      <c r="N30" s="14">
        <f t="shared" si="12"/>
        <v>-2.3748057914340635</v>
      </c>
      <c r="O30" s="135">
        <f t="shared" si="62"/>
        <v>-0.10691855585432755</v>
      </c>
      <c r="P30" s="9">
        <f t="shared" si="43"/>
        <v>-0.10691855585432763</v>
      </c>
      <c r="Q30" s="18">
        <f t="shared" si="13"/>
        <v>-0.27895393904597404</v>
      </c>
      <c r="R30" s="102">
        <f t="shared" si="14"/>
        <v>-0.53118038101664711</v>
      </c>
      <c r="S30" s="18">
        <f t="shared" si="15"/>
        <v>-0.51049465404089966</v>
      </c>
      <c r="T30" s="136">
        <f t="shared" si="44"/>
        <v>2.248566773091071</v>
      </c>
      <c r="U30" s="6"/>
      <c r="V30" s="243">
        <f>IF(V29&gt;'goal seek'!$F$28,MAX($AC$7,V29*(1+X30)),MAX($AC$7,V29+W29))</f>
        <v>16.265698470124367</v>
      </c>
      <c r="W30" s="14">
        <f t="shared" si="16"/>
        <v>-1.9419540837236227</v>
      </c>
      <c r="X30" s="135">
        <f t="shared" si="63"/>
        <v>-0.10665592821372309</v>
      </c>
      <c r="Y30" s="9">
        <f t="shared" si="45"/>
        <v>-0.10665592821372305</v>
      </c>
      <c r="Z30" s="18">
        <f t="shared" si="17"/>
        <v>-0.4087520545277461</v>
      </c>
      <c r="AA30" s="102">
        <f t="shared" si="18"/>
        <v>-0.61557430026836268</v>
      </c>
      <c r="AB30" s="18">
        <f t="shared" si="19"/>
        <v>-0.59861228599866612</v>
      </c>
      <c r="AC30" s="136">
        <f t="shared" si="46"/>
        <v>1.8437941164094898</v>
      </c>
      <c r="AD30" s="6"/>
      <c r="AE30" s="243">
        <f>IF(AE29&gt;'goal seek'!$F$28,MAX($AL$7,AE29*(1+AG30)),MAX($AL$7,AE29+AF29))</f>
        <v>18.828810597051955</v>
      </c>
      <c r="AF30" s="14">
        <f t="shared" si="20"/>
        <v>-2.5708890282083914</v>
      </c>
      <c r="AG30" s="135">
        <f t="shared" si="21"/>
        <v>-0.12013668758105818</v>
      </c>
      <c r="AH30" s="9">
        <f t="shared" si="47"/>
        <v>-0.12013668758105822</v>
      </c>
      <c r="AI30" s="18">
        <f t="shared" si="22"/>
        <v>-0.31558453504837086</v>
      </c>
      <c r="AJ30" s="102">
        <f t="shared" si="23"/>
        <v>-0.55499736441193093</v>
      </c>
      <c r="AK30" s="18">
        <f t="shared" si="24"/>
        <v>-0.53536251414004055</v>
      </c>
      <c r="AL30" s="136">
        <f t="shared" si="48"/>
        <v>2.1343350401827292</v>
      </c>
      <c r="AM30" s="6"/>
      <c r="AN30" s="243">
        <f>IF(AN29&gt;'goal seek'!$F$28,MAX($AL$7,AN29*(1+AP30)),MAX($AL$7,AN29+AO29))</f>
        <v>14.475390224671248</v>
      </c>
      <c r="AO30" s="14">
        <f t="shared" si="25"/>
        <v>-1.5915935386677269</v>
      </c>
      <c r="AP30" s="135">
        <f t="shared" si="49"/>
        <v>-9.9059883429979206E-2</v>
      </c>
      <c r="AQ30" s="9">
        <f t="shared" si="50"/>
        <v>-9.9059883429979179E-2</v>
      </c>
      <c r="AR30" s="18">
        <f t="shared" si="26"/>
        <v>-0.47382863724138707</v>
      </c>
      <c r="AS30" s="102">
        <f t="shared" si="27"/>
        <v>-0.6578866855162353</v>
      </c>
      <c r="AT30" s="18">
        <f t="shared" si="28"/>
        <v>-0.64279162052402028</v>
      </c>
      <c r="AU30" s="136">
        <f t="shared" si="51"/>
        <v>1.6408541802248362</v>
      </c>
      <c r="AV30" s="6"/>
      <c r="AW30" s="243">
        <f t="shared" si="52"/>
        <v>19.37140528007291</v>
      </c>
      <c r="AX30" s="730">
        <f t="shared" si="53"/>
        <v>-1.5293518698504478</v>
      </c>
      <c r="AY30" s="9">
        <f t="shared" si="54"/>
        <v>-7.3172079790231659E-2</v>
      </c>
      <c r="AZ30" s="9">
        <f t="shared" si="55"/>
        <v>-7.3172079790231659E-2</v>
      </c>
      <c r="BA30" s="18">
        <f t="shared" si="29"/>
        <v>-0.29586155837143657</v>
      </c>
      <c r="BB30" s="102">
        <f t="shared" si="30"/>
        <v>-0.54217360888282684</v>
      </c>
      <c r="BC30" s="18">
        <f t="shared" si="31"/>
        <v>-0.52197293607506645</v>
      </c>
      <c r="BD30" s="136">
        <f t="shared" si="56"/>
        <v>2.1958407225846641</v>
      </c>
      <c r="BE30" s="6"/>
      <c r="BF30" s="243">
        <f t="shared" si="57"/>
        <v>5.1799279200617256</v>
      </c>
      <c r="BG30" s="14">
        <f t="shared" si="32"/>
        <v>-1.1088889084021005</v>
      </c>
      <c r="BH30" s="9"/>
      <c r="BI30" s="9">
        <f t="shared" si="58"/>
        <v>-0.17632711186357919</v>
      </c>
      <c r="BJ30" s="18">
        <f t="shared" si="33"/>
        <v>-0.81171286643140117</v>
      </c>
      <c r="BK30" s="102">
        <f t="shared" si="34"/>
        <v>-0.87757688863551475</v>
      </c>
      <c r="BL30" s="18">
        <f t="shared" si="35"/>
        <v>-0.87217521397288233</v>
      </c>
      <c r="BM30" s="136">
        <f t="shared" si="59"/>
        <v>0.58716941298138003</v>
      </c>
      <c r="BP30" s="540">
        <f t="shared" si="36"/>
        <v>437.43401905218565</v>
      </c>
      <c r="BQ30" s="541">
        <f t="shared" si="37"/>
        <v>575.10652979964323</v>
      </c>
      <c r="BR30" s="541">
        <f t="shared" si="38"/>
        <v>536.20234515683421</v>
      </c>
      <c r="BS30" s="541">
        <f t="shared" si="39"/>
        <v>575.420479158582</v>
      </c>
      <c r="BT30" s="541">
        <f t="shared" si="60"/>
        <v>504.40015087541116</v>
      </c>
      <c r="BU30" s="541">
        <f t="shared" si="61"/>
        <v>535.56588630384692</v>
      </c>
      <c r="BV30" s="540">
        <f t="shared" si="4"/>
        <v>17.434019052185647</v>
      </c>
      <c r="BW30" s="541">
        <f t="shared" si="5"/>
        <v>155.10652979964323</v>
      </c>
      <c r="BX30" s="541">
        <f t="shared" si="6"/>
        <v>116.20234515683421</v>
      </c>
      <c r="BY30" s="541">
        <f t="shared" si="7"/>
        <v>155.420479158582</v>
      </c>
      <c r="BZ30" s="541">
        <f t="shared" si="8"/>
        <v>84.400150875411157</v>
      </c>
      <c r="CA30" s="542">
        <f t="shared" si="8"/>
        <v>115.56588630384692</v>
      </c>
    </row>
    <row r="31" spans="1:79" x14ac:dyDescent="0.2">
      <c r="A31" s="239">
        <f t="shared" si="40"/>
        <v>17</v>
      </c>
      <c r="B31" s="822">
        <v>8887524.2129999995</v>
      </c>
      <c r="C31" s="239">
        <f t="shared" si="41"/>
        <v>2035</v>
      </c>
      <c r="E31" s="254">
        <f>IF(E30&gt;$K$10,MAX($K$7,E30*(1+$K$9)),MAX($K$7,scenarios!E30+scenarios!F30))</f>
        <v>11.603584535959891</v>
      </c>
      <c r="F31" s="14">
        <f t="shared" si="9"/>
        <v>-0.97723488953209703</v>
      </c>
      <c r="G31" s="9">
        <f t="shared" si="42"/>
        <v>-7.767656910741183E-2</v>
      </c>
      <c r="H31" s="18">
        <f t="shared" si="1"/>
        <v>-0.57821697422948437</v>
      </c>
      <c r="I31" s="102">
        <f t="shared" si="10"/>
        <v>-0.72575932642396512</v>
      </c>
      <c r="J31" s="18">
        <f t="shared" si="11"/>
        <v>-0.71365900581122987</v>
      </c>
      <c r="K31" s="136">
        <f t="shared" si="2"/>
        <v>1.3056037044587787</v>
      </c>
      <c r="L31" s="263"/>
      <c r="M31" s="243">
        <f>IF(M30&gt;'goal seek'!$F$28,MAX($T$7,M30*(1+O31)),MAX($T$7,M30+N30))</f>
        <v>17.407460879574462</v>
      </c>
      <c r="N31" s="14">
        <f t="shared" si="12"/>
        <v>-2.4290863767229176</v>
      </c>
      <c r="O31" s="135">
        <f t="shared" si="62"/>
        <v>-0.12245509993941972</v>
      </c>
      <c r="P31" s="9">
        <f t="shared" si="43"/>
        <v>-0.12245509993941972</v>
      </c>
      <c r="Q31" s="18">
        <f t="shared" si="13"/>
        <v>-0.36724970650102423</v>
      </c>
      <c r="R31" s="102">
        <f t="shared" si="14"/>
        <v>-0.58858973431281425</v>
      </c>
      <c r="S31" s="18">
        <f t="shared" si="15"/>
        <v>-0.57043708010120153</v>
      </c>
      <c r="T31" s="136">
        <f t="shared" si="44"/>
        <v>1.9586400511980764</v>
      </c>
      <c r="U31" s="6"/>
      <c r="V31" s="243">
        <f>IF(V30&gt;'goal seek'!$F$28,MAX($AC$7,V30*(1+X31)),MAX($AC$7,V30+W30))</f>
        <v>14.425538016544882</v>
      </c>
      <c r="W31" s="14">
        <f t="shared" si="16"/>
        <v>-1.8401604535794842</v>
      </c>
      <c r="X31" s="135">
        <f t="shared" si="63"/>
        <v>-0.11313135165756046</v>
      </c>
      <c r="Y31" s="9">
        <f t="shared" si="45"/>
        <v>-0.1131313516575605</v>
      </c>
      <c r="Z31" s="18">
        <f t="shared" si="17"/>
        <v>-0.4756407337637778</v>
      </c>
      <c r="AA31" s="102">
        <f t="shared" si="18"/>
        <v>-0.65906489929090628</v>
      </c>
      <c r="AB31" s="18">
        <f t="shared" si="19"/>
        <v>-0.64402182062237534</v>
      </c>
      <c r="AC31" s="136">
        <f t="shared" si="46"/>
        <v>1.6231222183838661</v>
      </c>
      <c r="AD31" s="6"/>
      <c r="AE31" s="243">
        <f>IF(AE30&gt;'goal seek'!$F$28,MAX($AL$7,AE30*(1+AG31)),MAX($AL$7,AE30+AF30))</f>
        <v>16.276665737191337</v>
      </c>
      <c r="AF31" s="14">
        <f t="shared" si="20"/>
        <v>-2.5521448598606185</v>
      </c>
      <c r="AG31" s="135">
        <f t="shared" si="21"/>
        <v>-0.13554466686601066</v>
      </c>
      <c r="AH31" s="9">
        <f t="shared" si="47"/>
        <v>-0.13554466686601063</v>
      </c>
      <c r="AI31" s="18">
        <f t="shared" si="22"/>
        <v>-0.40835340124318525</v>
      </c>
      <c r="AJ31" s="102">
        <f t="shared" si="23"/>
        <v>-0.61531509840721244</v>
      </c>
      <c r="AK31" s="18">
        <f t="shared" si="24"/>
        <v>-0.59834164737438944</v>
      </c>
      <c r="AL31" s="136">
        <f t="shared" si="48"/>
        <v>1.8314060639500771</v>
      </c>
      <c r="AM31" s="6"/>
      <c r="AN31" s="243">
        <f>IF(AN30&gt;'goal seek'!$F$28,MAX($AL$7,AN30*(1+AP31)),MAX($AL$7,AN30+AO30))</f>
        <v>12.997724671281137</v>
      </c>
      <c r="AO31" s="14">
        <f t="shared" si="25"/>
        <v>-1.4776655533901106</v>
      </c>
      <c r="AP31" s="135">
        <f t="shared" si="49"/>
        <v>-0.10208122409519854</v>
      </c>
      <c r="AQ31" s="9">
        <f t="shared" si="50"/>
        <v>-0.10208122409519849</v>
      </c>
      <c r="AR31" s="18">
        <f t="shared" si="26"/>
        <v>-0.52754085403562501</v>
      </c>
      <c r="AS31" s="102">
        <f t="shared" si="27"/>
        <v>-0.69281003143800357</v>
      </c>
      <c r="AT31" s="18">
        <f t="shared" si="28"/>
        <v>-0.67925588915799051</v>
      </c>
      <c r="AU31" s="136">
        <f t="shared" si="51"/>
        <v>1.4624685525209649</v>
      </c>
      <c r="AV31" s="6"/>
      <c r="AW31" s="243">
        <f t="shared" si="52"/>
        <v>17.842053410222462</v>
      </c>
      <c r="AX31" s="730">
        <f t="shared" si="53"/>
        <v>-1.5293518698504478</v>
      </c>
      <c r="AY31" s="9">
        <f t="shared" si="54"/>
        <v>-7.8948937763625771E-2</v>
      </c>
      <c r="AZ31" s="9">
        <f t="shared" si="55"/>
        <v>-7.8948937763625771E-2</v>
      </c>
      <c r="BA31" s="18">
        <f t="shared" si="29"/>
        <v>-0.3514525403765465</v>
      </c>
      <c r="BB31" s="102">
        <f t="shared" si="30"/>
        <v>-0.57831851614168195</v>
      </c>
      <c r="BC31" s="18">
        <f t="shared" si="31"/>
        <v>-0.5597126649942048</v>
      </c>
      <c r="BD31" s="136">
        <f t="shared" si="56"/>
        <v>2.0075392181913219</v>
      </c>
      <c r="BE31" s="6"/>
      <c r="BF31" s="243">
        <f t="shared" si="57"/>
        <v>4.2541965278203868</v>
      </c>
      <c r="BG31" s="14">
        <f t="shared" si="32"/>
        <v>-0.92573139224133882</v>
      </c>
      <c r="BH31" s="9"/>
      <c r="BI31" s="9">
        <f t="shared" si="58"/>
        <v>-0.17871511081380209</v>
      </c>
      <c r="BJ31" s="18">
        <f t="shared" si="33"/>
        <v>-0.8453626223719265</v>
      </c>
      <c r="BK31" s="102">
        <f t="shared" si="34"/>
        <v>-0.89945574854918908</v>
      </c>
      <c r="BL31" s="18">
        <f t="shared" si="35"/>
        <v>-0.89501943477246937</v>
      </c>
      <c r="BM31" s="136">
        <f t="shared" si="59"/>
        <v>0.47867059777993848</v>
      </c>
      <c r="BP31" s="540">
        <f t="shared" si="36"/>
        <v>449.03760358814554</v>
      </c>
      <c r="BQ31" s="541">
        <f t="shared" si="37"/>
        <v>592.51399067921773</v>
      </c>
      <c r="BR31" s="541">
        <f t="shared" si="38"/>
        <v>550.62788317337913</v>
      </c>
      <c r="BS31" s="541">
        <f t="shared" si="39"/>
        <v>591.69714489577336</v>
      </c>
      <c r="BT31" s="541">
        <f t="shared" si="60"/>
        <v>517.39787554669226</v>
      </c>
      <c r="BU31" s="541">
        <f t="shared" si="61"/>
        <v>553.40793971406936</v>
      </c>
      <c r="BV31" s="540">
        <f t="shared" si="4"/>
        <v>29.037603588145544</v>
      </c>
      <c r="BW31" s="541">
        <f t="shared" si="5"/>
        <v>172.51399067921773</v>
      </c>
      <c r="BX31" s="541">
        <f t="shared" si="6"/>
        <v>130.62788317337913</v>
      </c>
      <c r="BY31" s="541">
        <f t="shared" si="7"/>
        <v>171.69714489577336</v>
      </c>
      <c r="BZ31" s="541">
        <f t="shared" si="8"/>
        <v>97.397875546692262</v>
      </c>
      <c r="CA31" s="542">
        <f t="shared" si="8"/>
        <v>133.40793971406936</v>
      </c>
    </row>
    <row r="32" spans="1:79" x14ac:dyDescent="0.2">
      <c r="A32" s="239">
        <f t="shared" si="40"/>
        <v>18</v>
      </c>
      <c r="B32" s="822">
        <v>8952048.9399999995</v>
      </c>
      <c r="C32" s="239">
        <f t="shared" si="41"/>
        <v>2036</v>
      </c>
      <c r="E32" s="254">
        <f>IF(E31&gt;$K$10,MAX($K$7,E31*(1+$K$9)),MAX($K$7,scenarios!E31+scenarios!F31))</f>
        <v>10.702257899858708</v>
      </c>
      <c r="F32" s="14">
        <f t="shared" si="9"/>
        <v>-0.90132663610118335</v>
      </c>
      <c r="G32" s="9">
        <f t="shared" si="42"/>
        <v>-7.767656910741183E-2</v>
      </c>
      <c r="H32" s="18">
        <f t="shared" si="1"/>
        <v>-0.61097963257908106</v>
      </c>
      <c r="I32" s="102">
        <f t="shared" si="10"/>
        <v>-0.7470614010570571</v>
      </c>
      <c r="J32" s="18">
        <f t="shared" si="11"/>
        <v>-0.73590099183461877</v>
      </c>
      <c r="K32" s="136">
        <f t="shared" si="2"/>
        <v>1.1955093154192149</v>
      </c>
      <c r="L32" s="263"/>
      <c r="M32" s="243">
        <f>IF(M31&gt;'goal seek'!$F$28,MAX($T$7,M31*(1+O32)),MAX($T$7,M31+N31))</f>
        <v>14.966076857873905</v>
      </c>
      <c r="N32" s="14">
        <f t="shared" si="12"/>
        <v>-2.4413840217005571</v>
      </c>
      <c r="O32" s="135">
        <f t="shared" si="62"/>
        <v>-0.14024928957704713</v>
      </c>
      <c r="P32" s="9">
        <f t="shared" si="43"/>
        <v>-0.14024928957704708</v>
      </c>
      <c r="Q32" s="18">
        <f t="shared" si="13"/>
        <v>-0.45599248564392358</v>
      </c>
      <c r="R32" s="102">
        <f t="shared" si="14"/>
        <v>-0.64628973180014626</v>
      </c>
      <c r="S32" s="18">
        <f t="shared" si="15"/>
        <v>-0.63068297444565002</v>
      </c>
      <c r="T32" s="136">
        <f t="shared" si="44"/>
        <v>1.6718046291058262</v>
      </c>
      <c r="U32" s="6"/>
      <c r="V32" s="243">
        <f>IF(V31&gt;'goal seek'!$F$28,MAX($AC$7,V31*(1+X32)),MAX($AC$7,V31+W31))</f>
        <v>12.700145935283334</v>
      </c>
      <c r="W32" s="14">
        <f t="shared" si="16"/>
        <v>-1.725392081261548</v>
      </c>
      <c r="X32" s="135">
        <f t="shared" si="63"/>
        <v>-0.11960677510139782</v>
      </c>
      <c r="Y32" s="9">
        <f t="shared" si="45"/>
        <v>-0.11960677510139783</v>
      </c>
      <c r="Z32" s="18">
        <f t="shared" si="17"/>
        <v>-0.53835765459282758</v>
      </c>
      <c r="AA32" s="102">
        <f t="shared" si="18"/>
        <v>-0.69984304720559132</v>
      </c>
      <c r="AB32" s="18">
        <f t="shared" si="19"/>
        <v>-0.68659922266419993</v>
      </c>
      <c r="AC32" s="136">
        <f t="shared" si="46"/>
        <v>1.4186859366391418</v>
      </c>
      <c r="AD32" s="6"/>
      <c r="AE32" s="243">
        <f>IF(AE31&gt;'goal seek'!$F$28,MAX($AL$7,AE31*(1+AG32)),MAX($AL$7,AE31+AF31))</f>
        <v>13.80236407512988</v>
      </c>
      <c r="AF32" s="14">
        <f t="shared" si="20"/>
        <v>-2.4743016620614569</v>
      </c>
      <c r="AG32" s="135">
        <f t="shared" si="21"/>
        <v>-0.15201526541199434</v>
      </c>
      <c r="AH32" s="9">
        <f t="shared" si="47"/>
        <v>-0.15201526541199439</v>
      </c>
      <c r="AI32" s="18">
        <f t="shared" si="22"/>
        <v>-0.49829271598330621</v>
      </c>
      <c r="AJ32" s="102">
        <f t="shared" si="23"/>
        <v>-0.67379307582282699</v>
      </c>
      <c r="AK32" s="18">
        <f t="shared" si="24"/>
        <v>-0.65939984845371613</v>
      </c>
      <c r="AL32" s="136">
        <f t="shared" si="48"/>
        <v>1.5418106142670263</v>
      </c>
      <c r="AM32" s="6"/>
      <c r="AN32" s="243">
        <f>IF(AN31&gt;'goal seek'!$F$28,MAX($AL$7,AN31*(1+AP32)),MAX($AL$7,AN31+AO31))</f>
        <v>11.632962847078664</v>
      </c>
      <c r="AO32" s="14">
        <f t="shared" si="25"/>
        <v>-1.3647618242024731</v>
      </c>
      <c r="AP32" s="135">
        <f t="shared" si="49"/>
        <v>-0.1050000564497228</v>
      </c>
      <c r="AQ32" s="9">
        <f t="shared" si="50"/>
        <v>-0.10500005644972277</v>
      </c>
      <c r="AR32" s="18">
        <f t="shared" si="26"/>
        <v>-0.57714909103207213</v>
      </c>
      <c r="AS32" s="102">
        <f t="shared" si="27"/>
        <v>-0.72506499547780168</v>
      </c>
      <c r="AT32" s="18">
        <f t="shared" si="28"/>
        <v>-0.71293403890231755</v>
      </c>
      <c r="AU32" s="136">
        <f t="shared" si="51"/>
        <v>1.2994748939652987</v>
      </c>
      <c r="AV32" s="6"/>
      <c r="AW32" s="243">
        <f t="shared" si="52"/>
        <v>16.312701540372014</v>
      </c>
      <c r="AX32" s="730">
        <f t="shared" si="53"/>
        <v>-1.5293518698504478</v>
      </c>
      <c r="AY32" s="9">
        <f t="shared" si="54"/>
        <v>-8.5716135620029998E-2</v>
      </c>
      <c r="AZ32" s="9">
        <f t="shared" si="55"/>
        <v>-8.5716135620029998E-2</v>
      </c>
      <c r="BA32" s="18">
        <f t="shared" si="29"/>
        <v>-0.40704352238165636</v>
      </c>
      <c r="BB32" s="102">
        <f t="shared" si="30"/>
        <v>-0.61446342340053706</v>
      </c>
      <c r="BC32" s="18">
        <f t="shared" si="31"/>
        <v>-0.59745239391334315</v>
      </c>
      <c r="BD32" s="136">
        <f t="shared" si="56"/>
        <v>1.8222310500876255</v>
      </c>
      <c r="BE32" s="6"/>
      <c r="BF32" s="243">
        <f t="shared" si="57"/>
        <v>3.4847864207506483</v>
      </c>
      <c r="BG32" s="14">
        <f t="shared" si="32"/>
        <v>-0.76941010706973856</v>
      </c>
      <c r="BH32" s="9"/>
      <c r="BI32" s="9">
        <f t="shared" si="58"/>
        <v>-0.18085908867589184</v>
      </c>
      <c r="BJ32" s="18">
        <f t="shared" si="33"/>
        <v>-0.87333019756496955</v>
      </c>
      <c r="BK32" s="102">
        <f t="shared" si="34"/>
        <v>-0.9176400902381826</v>
      </c>
      <c r="BL32" s="18">
        <f t="shared" si="35"/>
        <v>-0.91400612412820048</v>
      </c>
      <c r="BM32" s="136">
        <f t="shared" si="59"/>
        <v>0.38927249438726241</v>
      </c>
      <c r="BP32" s="540">
        <f t="shared" si="36"/>
        <v>459.73986148800424</v>
      </c>
      <c r="BQ32" s="541">
        <f t="shared" si="37"/>
        <v>607.4800675370916</v>
      </c>
      <c r="BR32" s="541">
        <f t="shared" si="38"/>
        <v>563.32802910866246</v>
      </c>
      <c r="BS32" s="541">
        <f t="shared" si="39"/>
        <v>605.49950897090321</v>
      </c>
      <c r="BT32" s="541">
        <f t="shared" si="60"/>
        <v>529.03083839377098</v>
      </c>
      <c r="BU32" s="541">
        <f t="shared" si="61"/>
        <v>569.72064125444138</v>
      </c>
      <c r="BV32" s="540">
        <f t="shared" si="4"/>
        <v>39.739861488004237</v>
      </c>
      <c r="BW32" s="541">
        <f t="shared" si="5"/>
        <v>187.4800675370916</v>
      </c>
      <c r="BX32" s="541">
        <f t="shared" si="6"/>
        <v>143.32802910866246</v>
      </c>
      <c r="BY32" s="541">
        <f t="shared" si="7"/>
        <v>185.49950897090321</v>
      </c>
      <c r="BZ32" s="541">
        <f t="shared" si="8"/>
        <v>109.03083839377098</v>
      </c>
      <c r="CA32" s="542">
        <f t="shared" si="8"/>
        <v>149.72064125444138</v>
      </c>
    </row>
    <row r="33" spans="1:79" x14ac:dyDescent="0.2">
      <c r="A33" s="239">
        <f t="shared" si="40"/>
        <v>19</v>
      </c>
      <c r="B33" s="822">
        <v>9015437.6530000009</v>
      </c>
      <c r="C33" s="239">
        <f t="shared" si="41"/>
        <v>2037</v>
      </c>
      <c r="E33" s="254">
        <f>IF(E32&gt;$K$10,MAX($K$7,E32*(1+$K$9)),MAX($K$7,scenarios!E32+scenarios!F32))</f>
        <v>9.8709432244949884</v>
      </c>
      <c r="F33" s="14">
        <f t="shared" si="9"/>
        <v>-0.8313146753637195</v>
      </c>
      <c r="G33" s="9">
        <f t="shared" si="42"/>
        <v>-7.767656910741183E-2</v>
      </c>
      <c r="H33" s="18">
        <f t="shared" si="1"/>
        <v>-0.64119740003324277</v>
      </c>
      <c r="I33" s="102">
        <f t="shared" si="10"/>
        <v>-0.7667088036177806</v>
      </c>
      <c r="J33" s="18">
        <f t="shared" si="11"/>
        <v>-0.75641529669357599</v>
      </c>
      <c r="K33" s="136">
        <f t="shared" si="2"/>
        <v>1.0948934044494565</v>
      </c>
      <c r="L33" s="263"/>
      <c r="M33" s="243">
        <f>IF(M32&gt;'goal seek'!$F$28,MAX($T$7,M32*(1+O33)),MAX($T$7,M32+N32))</f>
        <v>12.562088089886416</v>
      </c>
      <c r="N33" s="14">
        <f t="shared" si="12"/>
        <v>-2.4039887679874887</v>
      </c>
      <c r="O33" s="135">
        <f t="shared" si="62"/>
        <v>-0.16062918764998257</v>
      </c>
      <c r="P33" s="9">
        <f t="shared" si="43"/>
        <v>-0.16062918764998257</v>
      </c>
      <c r="Q33" s="18">
        <f t="shared" si="13"/>
        <v>-0.54337597075042632</v>
      </c>
      <c r="R33" s="102">
        <f t="shared" si="14"/>
        <v>-0.70310592484454626</v>
      </c>
      <c r="S33" s="18">
        <f t="shared" si="15"/>
        <v>-0.69000606824575306</v>
      </c>
      <c r="T33" s="136">
        <f t="shared" si="44"/>
        <v>1.3933974781253378</v>
      </c>
      <c r="U33" s="6"/>
      <c r="V33" s="243">
        <f>IF(V32&gt;'goal seek'!$F$28,MAX($AC$7,V32*(1+X33)),MAX($AC$7,V32+W32))</f>
        <v>11.098883613917479</v>
      </c>
      <c r="W33" s="14">
        <f t="shared" si="16"/>
        <v>-1.601262321365855</v>
      </c>
      <c r="X33" s="135">
        <f t="shared" si="63"/>
        <v>-0.12608219854523517</v>
      </c>
      <c r="Y33" s="9">
        <f t="shared" si="45"/>
        <v>-0.12608219854523517</v>
      </c>
      <c r="Z33" s="18">
        <f t="shared" si="17"/>
        <v>-0.59656253644334278</v>
      </c>
      <c r="AA33" s="102">
        <f t="shared" si="18"/>
        <v>-0.73768749572254866</v>
      </c>
      <c r="AB33" s="18">
        <f t="shared" si="19"/>
        <v>-0.72611348169648338</v>
      </c>
      <c r="AC33" s="136">
        <f t="shared" si="46"/>
        <v>1.2310975951593637</v>
      </c>
      <c r="AD33" s="6"/>
      <c r="AE33" s="243">
        <f>IF(AE32&gt;'goal seek'!$F$28,MAX($AL$7,AE32*(1+AG33)),MAX($AL$7,AE32+AF32))</f>
        <v>11.462194181355065</v>
      </c>
      <c r="AF33" s="14">
        <f t="shared" si="20"/>
        <v>-2.3401698937748154</v>
      </c>
      <c r="AG33" s="135">
        <f t="shared" si="21"/>
        <v>-0.16954848321900923</v>
      </c>
      <c r="AH33" s="9">
        <f t="shared" si="47"/>
        <v>-0.16954848321900928</v>
      </c>
      <c r="AI33" s="18">
        <f t="shared" si="22"/>
        <v>-0.58335642500826546</v>
      </c>
      <c r="AJ33" s="102">
        <f t="shared" si="23"/>
        <v>-0.72910096503260502</v>
      </c>
      <c r="AK33" s="18">
        <f t="shared" si="24"/>
        <v>-0.71714808753255321</v>
      </c>
      <c r="AL33" s="136">
        <f t="shared" si="48"/>
        <v>1.2713963118075444</v>
      </c>
      <c r="AM33" s="6"/>
      <c r="AN33" s="243">
        <f>IF(AN32&gt;'goal seek'!$F$28,MAX($AL$7,AN32*(1+AP33)),MAX($AL$7,AN32+AO32))</f>
        <v>10.378625178573007</v>
      </c>
      <c r="AO33" s="14">
        <f t="shared" si="25"/>
        <v>-1.2543376685056575</v>
      </c>
      <c r="AP33" s="135">
        <f t="shared" si="49"/>
        <v>-0.10782615615596625</v>
      </c>
      <c r="AQ33" s="9">
        <f t="shared" si="50"/>
        <v>-0.10782615615596625</v>
      </c>
      <c r="AR33" s="18">
        <f t="shared" si="26"/>
        <v>-0.62274347917314021</v>
      </c>
      <c r="AS33" s="102">
        <f t="shared" si="27"/>
        <v>-0.75471018020815361</v>
      </c>
      <c r="AT33" s="18">
        <f t="shared" si="28"/>
        <v>-0.74388725805069877</v>
      </c>
      <c r="AU33" s="136">
        <f t="shared" si="51"/>
        <v>1.1512059178978835</v>
      </c>
      <c r="AV33" s="6"/>
      <c r="AW33" s="243">
        <f t="shared" si="52"/>
        <v>14.783349670521565</v>
      </c>
      <c r="AX33" s="730">
        <f t="shared" si="53"/>
        <v>-1.5293518698504496</v>
      </c>
      <c r="AY33" s="9">
        <f t="shared" si="54"/>
        <v>-9.3752213026486397E-2</v>
      </c>
      <c r="AZ33" s="9">
        <f t="shared" si="55"/>
        <v>-9.3752213026486397E-2</v>
      </c>
      <c r="BA33" s="18">
        <f t="shared" si="29"/>
        <v>-0.46263450438676634</v>
      </c>
      <c r="BB33" s="102">
        <f t="shared" si="30"/>
        <v>-0.65060833065939216</v>
      </c>
      <c r="BC33" s="18">
        <f t="shared" si="31"/>
        <v>-0.6351921228324815</v>
      </c>
      <c r="BD33" s="136">
        <f t="shared" si="56"/>
        <v>1.6397816988509946</v>
      </c>
      <c r="BE33" s="6"/>
      <c r="BF33" s="243">
        <f t="shared" si="57"/>
        <v>2.8477861737325547</v>
      </c>
      <c r="BG33" s="14">
        <f t="shared" si="32"/>
        <v>-0.63700024701809355</v>
      </c>
      <c r="BH33" s="9"/>
      <c r="BI33" s="9">
        <f t="shared" si="58"/>
        <v>-0.18279463074838287</v>
      </c>
      <c r="BJ33" s="18">
        <f t="shared" si="33"/>
        <v>-0.89648475732805155</v>
      </c>
      <c r="BK33" s="102">
        <f t="shared" si="34"/>
        <v>-0.93269503953156419</v>
      </c>
      <c r="BL33" s="18">
        <f t="shared" si="35"/>
        <v>-0.92972534291480835</v>
      </c>
      <c r="BM33" s="136">
        <f t="shared" si="59"/>
        <v>0.3158788606102686</v>
      </c>
      <c r="BP33" s="540">
        <f t="shared" si="36"/>
        <v>469.6108047124992</v>
      </c>
      <c r="BQ33" s="541">
        <f t="shared" si="37"/>
        <v>620.042155626978</v>
      </c>
      <c r="BR33" s="541">
        <f t="shared" si="38"/>
        <v>574.42691272257991</v>
      </c>
      <c r="BS33" s="541">
        <f t="shared" si="39"/>
        <v>616.96170315225822</v>
      </c>
      <c r="BT33" s="541">
        <f t="shared" si="60"/>
        <v>539.40946357234395</v>
      </c>
      <c r="BU33" s="541">
        <f t="shared" si="61"/>
        <v>584.50399092496298</v>
      </c>
      <c r="BV33" s="540">
        <f t="shared" si="4"/>
        <v>49.610804712499203</v>
      </c>
      <c r="BW33" s="541">
        <f t="shared" si="5"/>
        <v>200.042155626978</v>
      </c>
      <c r="BX33" s="541">
        <f t="shared" si="6"/>
        <v>154.42691272257991</v>
      </c>
      <c r="BY33" s="541">
        <f t="shared" si="7"/>
        <v>196.96170315225822</v>
      </c>
      <c r="BZ33" s="541">
        <f t="shared" si="8"/>
        <v>119.40946357234395</v>
      </c>
      <c r="CA33" s="542">
        <f t="shared" si="8"/>
        <v>164.50399092496298</v>
      </c>
    </row>
    <row r="34" spans="1:79" x14ac:dyDescent="0.2">
      <c r="A34" s="239">
        <f t="shared" si="40"/>
        <v>20</v>
      </c>
      <c r="B34" s="822">
        <v>9077693.6760000009</v>
      </c>
      <c r="C34" s="239">
        <f t="shared" si="41"/>
        <v>2038</v>
      </c>
      <c r="E34" s="254">
        <f>IF(E33&gt;$K$10,MAX($K$7,E33*(1+$K$9)),MAX($K$7,scenarios!E33+scenarios!F33))</f>
        <v>9.1042022209621649</v>
      </c>
      <c r="F34" s="14">
        <f t="shared" si="9"/>
        <v>-0.76674100353282348</v>
      </c>
      <c r="G34" s="9">
        <f t="shared" si="42"/>
        <v>-7.767656910741183E-2</v>
      </c>
      <c r="H34" s="18">
        <f t="shared" si="1"/>
        <v>-0.66906795498547966</v>
      </c>
      <c r="I34" s="102">
        <f t="shared" si="10"/>
        <v>-0.78483006335571481</v>
      </c>
      <c r="J34" s="18">
        <f t="shared" si="11"/>
        <v>-0.77533612073346581</v>
      </c>
      <c r="K34" s="136">
        <f t="shared" si="2"/>
        <v>1.0029201850060494</v>
      </c>
      <c r="L34" s="263"/>
      <c r="M34" s="243">
        <f>IF(M33&gt;'goal seek'!$F$28,MAX($T$7,M33*(1+O34)),MAX($T$7,M33+N33))</f>
        <v>10.251034104939498</v>
      </c>
      <c r="N34" s="14">
        <f t="shared" si="12"/>
        <v>-2.311053984946918</v>
      </c>
      <c r="O34" s="135">
        <f t="shared" si="62"/>
        <v>-0.18397052849896192</v>
      </c>
      <c r="P34" s="9">
        <f t="shared" si="43"/>
        <v>-0.18397052849896189</v>
      </c>
      <c r="Q34" s="18">
        <f t="shared" si="13"/>
        <v>-0.62738133473679591</v>
      </c>
      <c r="R34" s="102">
        <f t="shared" si="14"/>
        <v>-0.75772568475910551</v>
      </c>
      <c r="S34" s="18">
        <f t="shared" si="15"/>
        <v>-0.74703581570205291</v>
      </c>
      <c r="T34" s="136">
        <f t="shared" si="44"/>
        <v>1.1292553451149849</v>
      </c>
      <c r="U34" s="6"/>
      <c r="V34" s="243">
        <f>IF(V33&gt;'goal seek'!$F$28,MAX($AC$7,V33*(1+X34)),MAX($AC$7,V33+W33))</f>
        <v>9.6276419953230956</v>
      </c>
      <c r="W34" s="14">
        <f t="shared" si="16"/>
        <v>-1.4712416185943837</v>
      </c>
      <c r="X34" s="135">
        <f t="shared" si="63"/>
        <v>-0.13255762198907253</v>
      </c>
      <c r="Y34" s="9">
        <f t="shared" si="45"/>
        <v>-0.1325576219890725</v>
      </c>
      <c r="Z34" s="18">
        <f t="shared" si="17"/>
        <v>-0.65004124723371637</v>
      </c>
      <c r="AA34" s="102">
        <f t="shared" si="18"/>
        <v>-0.77245901750756607</v>
      </c>
      <c r="AB34" s="18">
        <f t="shared" si="19"/>
        <v>-0.76241922725766409</v>
      </c>
      <c r="AC34" s="136">
        <f t="shared" si="46"/>
        <v>1.0605823834722548</v>
      </c>
      <c r="AD34" s="6"/>
      <c r="AE34" s="243">
        <f>IF(AE33&gt;'goal seek'!$F$28,MAX($AL$7,AE33*(1+AG34)),MAX($AL$7,AE33+AF33))</f>
        <v>9.3056474481057752</v>
      </c>
      <c r="AF34" s="14">
        <f t="shared" si="20"/>
        <v>-2.1565467332492894</v>
      </c>
      <c r="AG34" s="135">
        <f t="shared" si="21"/>
        <v>-0.18814432028705536</v>
      </c>
      <c r="AH34" s="9">
        <f t="shared" si="47"/>
        <v>-0.1881443202870553</v>
      </c>
      <c r="AI34" s="18">
        <f t="shared" si="22"/>
        <v>-0.66174554722705392</v>
      </c>
      <c r="AJ34" s="102">
        <f t="shared" si="23"/>
        <v>-0.78006907983296492</v>
      </c>
      <c r="AK34" s="18">
        <f t="shared" si="24"/>
        <v>-0.77036506834563467</v>
      </c>
      <c r="AL34" s="136">
        <f t="shared" si="48"/>
        <v>1.0251114192923747</v>
      </c>
      <c r="AM34" s="6"/>
      <c r="AN34" s="243">
        <f>IF(AN33&gt;'goal seek'!$F$28,MAX($AL$7,AN33*(1+AP34)),MAX($AL$7,AN33+AO33))</f>
        <v>9.2310830379311444</v>
      </c>
      <c r="AO34" s="14">
        <f t="shared" si="25"/>
        <v>-1.1475421406418622</v>
      </c>
      <c r="AP34" s="135">
        <f t="shared" si="49"/>
        <v>-0.11056783734814893</v>
      </c>
      <c r="AQ34" s="9">
        <f t="shared" si="50"/>
        <v>-0.11056783734814879</v>
      </c>
      <c r="AR34" s="18">
        <f t="shared" si="26"/>
        <v>-0.66445591680645288</v>
      </c>
      <c r="AS34" s="102">
        <f t="shared" si="27"/>
        <v>-0.78183134510605523</v>
      </c>
      <c r="AT34" s="18">
        <f t="shared" si="28"/>
        <v>-0.77220509004533766</v>
      </c>
      <c r="AU34" s="136">
        <f t="shared" si="51"/>
        <v>1.0168973934796546</v>
      </c>
      <c r="AV34" s="6"/>
      <c r="AW34" s="243">
        <f t="shared" si="52"/>
        <v>13.253997800671115</v>
      </c>
      <c r="AX34" s="730">
        <f t="shared" si="53"/>
        <v>-1.5293518698504496</v>
      </c>
      <c r="AY34" s="9">
        <f t="shared" si="54"/>
        <v>-0.10345097044548857</v>
      </c>
      <c r="AZ34" s="9">
        <f t="shared" si="55"/>
        <v>-0.10345097044548857</v>
      </c>
      <c r="BA34" s="18">
        <f t="shared" si="29"/>
        <v>-0.51822548639187627</v>
      </c>
      <c r="BB34" s="102">
        <f t="shared" si="30"/>
        <v>-0.68675323791824727</v>
      </c>
      <c r="BC34" s="18">
        <f t="shared" si="31"/>
        <v>-0.67293185175161985</v>
      </c>
      <c r="BD34" s="136">
        <f t="shared" si="56"/>
        <v>1.4600622441923337</v>
      </c>
      <c r="BE34" s="6"/>
      <c r="BF34" s="243">
        <f t="shared" si="57"/>
        <v>2.3222251737788593</v>
      </c>
      <c r="BG34" s="14">
        <f t="shared" si="32"/>
        <v>-0.52556099995369543</v>
      </c>
      <c r="BH34" s="9"/>
      <c r="BI34" s="9">
        <f t="shared" si="58"/>
        <v>-0.18455072392772021</v>
      </c>
      <c r="BJ34" s="18">
        <f t="shared" si="33"/>
        <v>-0.91558857030071339</v>
      </c>
      <c r="BK34" s="102">
        <f t="shared" si="34"/>
        <v>-0.94511621870994045</v>
      </c>
      <c r="BL34" s="18">
        <f t="shared" si="35"/>
        <v>-0.94269458175365273</v>
      </c>
      <c r="BM34" s="136">
        <f t="shared" si="59"/>
        <v>0.25581664866247456</v>
      </c>
      <c r="BP34" s="540">
        <f t="shared" si="36"/>
        <v>478.71500693346138</v>
      </c>
      <c r="BQ34" s="541">
        <f t="shared" si="37"/>
        <v>630.29318973191755</v>
      </c>
      <c r="BR34" s="541">
        <f t="shared" si="38"/>
        <v>584.05455471790299</v>
      </c>
      <c r="BS34" s="541">
        <f t="shared" si="39"/>
        <v>626.26735060036401</v>
      </c>
      <c r="BT34" s="541">
        <f t="shared" si="60"/>
        <v>548.64054661027512</v>
      </c>
      <c r="BU34" s="541">
        <f t="shared" si="61"/>
        <v>597.75798872563405</v>
      </c>
      <c r="BV34" s="540">
        <f t="shared" si="4"/>
        <v>58.715006933461382</v>
      </c>
      <c r="BW34" s="541">
        <f t="shared" si="5"/>
        <v>210.29318973191755</v>
      </c>
      <c r="BX34" s="541">
        <f t="shared" si="6"/>
        <v>164.05455471790299</v>
      </c>
      <c r="BY34" s="541">
        <f t="shared" si="7"/>
        <v>206.26735060036401</v>
      </c>
      <c r="BZ34" s="541">
        <f t="shared" si="8"/>
        <v>128.64054661027512</v>
      </c>
      <c r="CA34" s="542">
        <f t="shared" si="8"/>
        <v>177.75798872563405</v>
      </c>
    </row>
    <row r="35" spans="1:79" x14ac:dyDescent="0.2">
      <c r="A35" s="239">
        <f t="shared" si="40"/>
        <v>21</v>
      </c>
      <c r="B35" s="822">
        <v>9138828.4680000003</v>
      </c>
      <c r="C35" s="239">
        <f t="shared" si="41"/>
        <v>2039</v>
      </c>
      <c r="E35" s="254">
        <f>IF(E34&gt;$K$10,MAX($K$7,E34*(1+$K$9)),MAX($K$7,scenarios!E34+scenarios!F34))</f>
        <v>8.3970190279777448</v>
      </c>
      <c r="F35" s="14">
        <f t="shared" si="9"/>
        <v>-0.70718319298442012</v>
      </c>
      <c r="G35" s="9">
        <f t="shared" si="42"/>
        <v>-7.767656910741183E-2</v>
      </c>
      <c r="H35" s="18">
        <f t="shared" si="1"/>
        <v>-0.69477362084990724</v>
      </c>
      <c r="I35" s="102">
        <f t="shared" si="10"/>
        <v>-0.80154372580930211</v>
      </c>
      <c r="J35" s="18">
        <f t="shared" si="11"/>
        <v>-0.79278724007725188</v>
      </c>
      <c r="K35" s="136">
        <f t="shared" si="2"/>
        <v>0.91882882553056622</v>
      </c>
      <c r="L35" s="263"/>
      <c r="M35" s="243">
        <f>IF(M34&gt;'goal seek'!$F$28,MAX($T$7,M34*(1+O35)),MAX($T$7,M34+N34))</f>
        <v>8.091103852417362</v>
      </c>
      <c r="N35" s="14">
        <f t="shared" si="12"/>
        <v>-2.1599302525221358</v>
      </c>
      <c r="O35" s="135">
        <f t="shared" si="62"/>
        <v>-0.21070364515530832</v>
      </c>
      <c r="P35" s="9">
        <f t="shared" si="43"/>
        <v>-0.21070364515530837</v>
      </c>
      <c r="Q35" s="18">
        <f t="shared" si="13"/>
        <v>-0.7058934457606586</v>
      </c>
      <c r="R35" s="102">
        <f t="shared" si="14"/>
        <v>-0.80877376610786833</v>
      </c>
      <c r="S35" s="18">
        <f t="shared" si="15"/>
        <v>-0.80033629142736962</v>
      </c>
      <c r="T35" s="136">
        <f t="shared" si="44"/>
        <v>0.88535460324577808</v>
      </c>
      <c r="U35" s="6"/>
      <c r="V35" s="243">
        <f>IF(V34&gt;'goal seek'!$F$28,MAX($AC$7,V34*(1+X35)),MAX($AC$7,V34+W34))</f>
        <v>8.2890816083755485</v>
      </c>
      <c r="W35" s="14">
        <f t="shared" si="16"/>
        <v>-1.3385603869475471</v>
      </c>
      <c r="X35" s="135">
        <f t="shared" si="63"/>
        <v>-0.1390330454329099</v>
      </c>
      <c r="Y35" s="9">
        <f t="shared" si="45"/>
        <v>-0.13903304543290984</v>
      </c>
      <c r="Z35" s="18">
        <f t="shared" si="17"/>
        <v>-0.69869707840671547</v>
      </c>
      <c r="AA35" s="102">
        <f t="shared" si="18"/>
        <v>-0.8040947332642856</v>
      </c>
      <c r="AB35" s="18">
        <f t="shared" si="19"/>
        <v>-0.79545080562833514</v>
      </c>
      <c r="AC35" s="136">
        <f t="shared" si="46"/>
        <v>0.90701796596797091</v>
      </c>
      <c r="AD35" s="6"/>
      <c r="AE35" s="243">
        <f>IF(AE34&gt;'goal seek'!$F$28,MAX($AL$7,AE34*(1+AG35)),MAX($AL$7,AE34+AF34))</f>
        <v>7.3719080701785655</v>
      </c>
      <c r="AF35" s="14">
        <f t="shared" si="20"/>
        <v>-1.9337393779272096</v>
      </c>
      <c r="AG35" s="135">
        <f t="shared" si="21"/>
        <v>-0.20780277661613267</v>
      </c>
      <c r="AH35" s="9">
        <f t="shared" si="47"/>
        <v>-0.20780277661613267</v>
      </c>
      <c r="AI35" s="18">
        <f t="shared" si="22"/>
        <v>-0.73203576171604268</v>
      </c>
      <c r="AJ35" s="102">
        <f t="shared" si="23"/>
        <v>-0.82577133570741579</v>
      </c>
      <c r="AK35" s="18">
        <f t="shared" si="24"/>
        <v>-0.81808384475146767</v>
      </c>
      <c r="AL35" s="136">
        <f t="shared" si="48"/>
        <v>0.80665788793296844</v>
      </c>
      <c r="AM35" s="6"/>
      <c r="AN35" s="243">
        <f>IF(AN34&gt;'goal seek'!$F$28,MAX($AL$7,AN34*(1+AP35)),MAX($AL$7,AN34+AO34))</f>
        <v>8.1858268150268643</v>
      </c>
      <c r="AO35" s="14">
        <f t="shared" si="25"/>
        <v>-1.0452562229042801</v>
      </c>
      <c r="AP35" s="135">
        <f t="shared" si="49"/>
        <v>-0.11323224139673016</v>
      </c>
      <c r="AQ35" s="9">
        <f t="shared" si="50"/>
        <v>-0.11323224139673016</v>
      </c>
      <c r="AR35" s="18">
        <f t="shared" si="26"/>
        <v>-0.7024503254338692</v>
      </c>
      <c r="AS35" s="102">
        <f t="shared" si="27"/>
        <v>-0.80653507090220622</v>
      </c>
      <c r="AT35" s="18">
        <f t="shared" si="28"/>
        <v>-0.79799881827827035</v>
      </c>
      <c r="AU35" s="136">
        <f t="shared" si="51"/>
        <v>0.89571949442862264</v>
      </c>
      <c r="AV35" s="6"/>
      <c r="AW35" s="243">
        <f t="shared" si="52"/>
        <v>11.724645930820666</v>
      </c>
      <c r="AX35" s="730">
        <f t="shared" si="53"/>
        <v>-1.5293518698504496</v>
      </c>
      <c r="AY35" s="9">
        <f t="shared" si="54"/>
        <v>-0.11538796767968462</v>
      </c>
      <c r="AZ35" s="9">
        <f t="shared" si="55"/>
        <v>-0.11538796767968462</v>
      </c>
      <c r="BA35" s="18">
        <f t="shared" si="29"/>
        <v>-0.57381646839698619</v>
      </c>
      <c r="BB35" s="102">
        <f t="shared" si="30"/>
        <v>-0.72289814517710249</v>
      </c>
      <c r="BC35" s="18">
        <f t="shared" si="31"/>
        <v>-0.71067158067075831</v>
      </c>
      <c r="BD35" s="136">
        <f t="shared" si="56"/>
        <v>1.2829484623630936</v>
      </c>
      <c r="BE35" s="6"/>
      <c r="BF35" s="243">
        <f t="shared" si="57"/>
        <v>1.8899401284246782</v>
      </c>
      <c r="BG35" s="14">
        <f t="shared" si="32"/>
        <v>-0.43228504535418111</v>
      </c>
      <c r="BH35" s="9"/>
      <c r="BI35" s="9">
        <f t="shared" si="58"/>
        <v>-0.18615121833803128</v>
      </c>
      <c r="BJ35" s="18">
        <f t="shared" si="33"/>
        <v>-0.9313018607808905</v>
      </c>
      <c r="BK35" s="102">
        <f t="shared" si="34"/>
        <v>-0.95533290146408312</v>
      </c>
      <c r="BL35" s="18">
        <f t="shared" si="35"/>
        <v>-0.95336205517758077</v>
      </c>
      <c r="BM35" s="136">
        <f t="shared" si="59"/>
        <v>0.20680332660169568</v>
      </c>
      <c r="BP35" s="540">
        <f t="shared" si="36"/>
        <v>487.11202596143914</v>
      </c>
      <c r="BQ35" s="541">
        <f t="shared" si="37"/>
        <v>638.38429358433496</v>
      </c>
      <c r="BR35" s="541">
        <f t="shared" si="38"/>
        <v>592.34363632627856</v>
      </c>
      <c r="BS35" s="541">
        <f t="shared" si="39"/>
        <v>633.63925867054263</v>
      </c>
      <c r="BT35" s="541">
        <f t="shared" si="60"/>
        <v>556.82637342530199</v>
      </c>
      <c r="BU35" s="541">
        <f t="shared" si="61"/>
        <v>609.48263465645471</v>
      </c>
      <c r="BV35" s="540">
        <f t="shared" si="4"/>
        <v>67.112025961439144</v>
      </c>
      <c r="BW35" s="541">
        <f t="shared" si="5"/>
        <v>218.38429358433496</v>
      </c>
      <c r="BX35" s="541">
        <f t="shared" si="6"/>
        <v>172.34363632627856</v>
      </c>
      <c r="BY35" s="541">
        <f t="shared" si="7"/>
        <v>213.63925867054263</v>
      </c>
      <c r="BZ35" s="541">
        <f t="shared" si="8"/>
        <v>136.82637342530199</v>
      </c>
      <c r="CA35" s="542">
        <f t="shared" si="8"/>
        <v>189.48263465645471</v>
      </c>
    </row>
    <row r="36" spans="1:79" x14ac:dyDescent="0.2">
      <c r="A36" s="239">
        <f t="shared" si="40"/>
        <v>22</v>
      </c>
      <c r="B36" s="822">
        <v>9198847.2400000002</v>
      </c>
      <c r="C36" s="239">
        <f t="shared" si="41"/>
        <v>2040</v>
      </c>
      <c r="E36" s="254">
        <f>IF(E35&gt;$K$10,MAX($K$7,E35*(1+$K$9)),MAX($K$7,scenarios!E35+scenarios!F35))</f>
        <v>7.744767399154779</v>
      </c>
      <c r="F36" s="14">
        <f t="shared" si="9"/>
        <v>-0.65225162882296583</v>
      </c>
      <c r="G36" s="9">
        <f t="shared" si="42"/>
        <v>-7.767656910741183E-2</v>
      </c>
      <c r="H36" s="18">
        <f t="shared" si="1"/>
        <v>-0.71848255878336453</v>
      </c>
      <c r="I36" s="102">
        <f t="shared" si="10"/>
        <v>-0.81695912830627515</v>
      </c>
      <c r="J36" s="18">
        <f t="shared" si="11"/>
        <v>-0.80888281634332881</v>
      </c>
      <c r="K36" s="136">
        <f t="shared" si="2"/>
        <v>0.8419280369694212</v>
      </c>
      <c r="L36" s="263"/>
      <c r="M36" s="243">
        <f>IF(M35&gt;'goal seek'!$F$28,MAX($T$7,M35*(1+O36)),MAX($T$7,M35+N35))</f>
        <v>6.1385473174505822</v>
      </c>
      <c r="N36" s="14">
        <f t="shared" si="12"/>
        <v>-1.9525565349667797</v>
      </c>
      <c r="O36" s="135">
        <f t="shared" si="62"/>
        <v>-0.24132140318325276</v>
      </c>
      <c r="P36" s="9">
        <f t="shared" si="43"/>
        <v>-0.24132140318325279</v>
      </c>
      <c r="Q36" s="18">
        <f t="shared" si="13"/>
        <v>-0.7768676521150879</v>
      </c>
      <c r="R36" s="102">
        <f t="shared" si="14"/>
        <v>-0.85492074919616645</v>
      </c>
      <c r="S36" s="18">
        <f t="shared" si="15"/>
        <v>-0.84851941774488893</v>
      </c>
      <c r="T36" s="136">
        <f t="shared" si="44"/>
        <v>0.66731701889318273</v>
      </c>
      <c r="U36" s="6"/>
      <c r="V36" s="243">
        <f>IF(V35&gt;'goal seek'!$F$28,MAX($AC$7,V35*(1+X36)),MAX($AC$7,V35+W35))</f>
        <v>7.0829500351464167</v>
      </c>
      <c r="W36" s="14">
        <f t="shared" si="16"/>
        <v>-1.2061315732291318</v>
      </c>
      <c r="X36" s="135">
        <f t="shared" si="63"/>
        <v>-0.14550846887674726</v>
      </c>
      <c r="Y36" s="9">
        <f t="shared" si="45"/>
        <v>-0.14550846887674729</v>
      </c>
      <c r="Z36" s="18">
        <f t="shared" si="17"/>
        <v>-0.74253920519584493</v>
      </c>
      <c r="AA36" s="102">
        <f t="shared" si="18"/>
        <v>-0.83260060867189012</v>
      </c>
      <c r="AB36" s="18">
        <f t="shared" si="19"/>
        <v>-0.82521444571132818</v>
      </c>
      <c r="AC36" s="136">
        <f t="shared" si="46"/>
        <v>0.76998235217420752</v>
      </c>
      <c r="AD36" s="6"/>
      <c r="AE36" s="243">
        <f>IF(AE35&gt;'goal seek'!$F$28,MAX($AL$7,AE35*(1+AG36)),MAX($AL$7,AE35+AF35))</f>
        <v>5.6872512398710828</v>
      </c>
      <c r="AF36" s="14">
        <f t="shared" si="20"/>
        <v>-1.6846568303074827</v>
      </c>
      <c r="AG36" s="135">
        <f t="shared" si="21"/>
        <v>-0.22852385220624116</v>
      </c>
      <c r="AH36" s="9">
        <f t="shared" si="47"/>
        <v>-0.22852385220624116</v>
      </c>
      <c r="AI36" s="18">
        <f t="shared" si="22"/>
        <v>-0.7932719817022037</v>
      </c>
      <c r="AJ36" s="102">
        <f t="shared" si="23"/>
        <v>-0.86558674123630508</v>
      </c>
      <c r="AK36" s="18">
        <f t="shared" si="24"/>
        <v>-0.85965602532741092</v>
      </c>
      <c r="AL36" s="136">
        <f t="shared" si="48"/>
        <v>0.61825695019054172</v>
      </c>
      <c r="AM36" s="6"/>
      <c r="AN36" s="243">
        <f>IF(AN35&gt;'goal seek'!$F$28,MAX($AL$7,AN35*(1+AP36)),MAX($AL$7,AN35+AO35))</f>
        <v>7.2376988711080346</v>
      </c>
      <c r="AO36" s="14">
        <f t="shared" si="25"/>
        <v>-0.94812794391882971</v>
      </c>
      <c r="AP36" s="135">
        <f t="shared" si="49"/>
        <v>-0.11582555621361727</v>
      </c>
      <c r="AQ36" s="9">
        <f t="shared" si="50"/>
        <v>-0.11582555621361723</v>
      </c>
      <c r="AR36" s="18">
        <f t="shared" si="26"/>
        <v>-0.73691418199167213</v>
      </c>
      <c r="AS36" s="102">
        <f t="shared" si="27"/>
        <v>-0.82894325392278623</v>
      </c>
      <c r="AT36" s="18">
        <f t="shared" si="28"/>
        <v>-0.82139571750699758</v>
      </c>
      <c r="AU36" s="136">
        <f t="shared" si="51"/>
        <v>0.78680498569819002</v>
      </c>
      <c r="AV36" s="6"/>
      <c r="AW36" s="243">
        <f t="shared" si="52"/>
        <v>10.195294060970216</v>
      </c>
      <c r="AX36" s="730">
        <f t="shared" si="53"/>
        <v>-1.5293518698504496</v>
      </c>
      <c r="AY36" s="9">
        <f t="shared" si="54"/>
        <v>-0.13043906646513148</v>
      </c>
      <c r="AZ36" s="9">
        <f t="shared" si="55"/>
        <v>-0.13043906646513148</v>
      </c>
      <c r="BA36" s="18">
        <f t="shared" si="29"/>
        <v>-0.62940745040209622</v>
      </c>
      <c r="BB36" s="102">
        <f t="shared" si="30"/>
        <v>-0.75904305243595749</v>
      </c>
      <c r="BC36" s="18">
        <f t="shared" si="31"/>
        <v>-0.74841130958989666</v>
      </c>
      <c r="BD36" s="136">
        <f t="shared" si="56"/>
        <v>1.1083230099351249</v>
      </c>
      <c r="BE36" s="6"/>
      <c r="BF36" s="243">
        <f t="shared" si="57"/>
        <v>1.5353572783066616</v>
      </c>
      <c r="BG36" s="14">
        <f t="shared" si="32"/>
        <v>-0.3545828501180166</v>
      </c>
      <c r="BH36" s="9"/>
      <c r="BI36" s="9">
        <f t="shared" si="58"/>
        <v>-0.1876159169198508</v>
      </c>
      <c r="BJ36" s="18">
        <f t="shared" si="33"/>
        <v>-0.94419072516117131</v>
      </c>
      <c r="BK36" s="102">
        <f t="shared" si="34"/>
        <v>-0.96371316011204844</v>
      </c>
      <c r="BL36" s="18">
        <f t="shared" si="35"/>
        <v>-0.9621120759586963</v>
      </c>
      <c r="BM36" s="136">
        <f t="shared" si="59"/>
        <v>0.16690757420455452</v>
      </c>
      <c r="BP36" s="540">
        <f t="shared" si="36"/>
        <v>494.85679336059394</v>
      </c>
      <c r="BQ36" s="541">
        <f t="shared" si="37"/>
        <v>644.52284090178557</v>
      </c>
      <c r="BR36" s="541">
        <f t="shared" si="38"/>
        <v>599.42658636142494</v>
      </c>
      <c r="BS36" s="541">
        <f t="shared" si="39"/>
        <v>639.32650991041373</v>
      </c>
      <c r="BT36" s="541">
        <f t="shared" si="60"/>
        <v>564.06407229641002</v>
      </c>
      <c r="BU36" s="541">
        <f t="shared" si="61"/>
        <v>619.67792871742495</v>
      </c>
      <c r="BV36" s="540">
        <f t="shared" si="4"/>
        <v>74.85679336059394</v>
      </c>
      <c r="BW36" s="541">
        <f t="shared" si="5"/>
        <v>224.52284090178557</v>
      </c>
      <c r="BX36" s="541">
        <f t="shared" si="6"/>
        <v>179.42658636142494</v>
      </c>
      <c r="BY36" s="541">
        <f t="shared" si="7"/>
        <v>219.32650991041373</v>
      </c>
      <c r="BZ36" s="541">
        <f t="shared" si="8"/>
        <v>144.06407229641002</v>
      </c>
      <c r="CA36" s="542">
        <f t="shared" si="8"/>
        <v>199.67792871742495</v>
      </c>
    </row>
    <row r="37" spans="1:79" x14ac:dyDescent="0.2">
      <c r="A37" s="239">
        <f t="shared" si="40"/>
        <v>23</v>
      </c>
      <c r="B37" s="822">
        <v>9257745.5350000001</v>
      </c>
      <c r="C37" s="239">
        <f t="shared" si="41"/>
        <v>2041</v>
      </c>
      <c r="E37" s="254">
        <f>IF(E36&gt;$K$10,MAX($K$7,E36*(1+$K$9)),MAX($K$7,scenarios!E36+scenarios!F36))</f>
        <v>7.143180439053503</v>
      </c>
      <c r="F37" s="14">
        <f t="shared" si="9"/>
        <v>-0.60158696010127599</v>
      </c>
      <c r="G37" s="9">
        <f t="shared" si="42"/>
        <v>-7.767656910741183E-2</v>
      </c>
      <c r="H37" s="18">
        <f t="shared" si="1"/>
        <v>-0.74034986776097023</v>
      </c>
      <c r="I37" s="102">
        <f t="shared" si="10"/>
        <v>-0.83117711522587379</v>
      </c>
      <c r="J37" s="18">
        <f t="shared" si="11"/>
        <v>-0.82372814346725021</v>
      </c>
      <c r="K37" s="136">
        <f t="shared" si="2"/>
        <v>0.77158962860319136</v>
      </c>
      <c r="L37" s="263"/>
      <c r="M37" s="243">
        <f>IF(M36&gt;'goal seek'!$F$28,MAX($T$7,M36*(1+O37)),MAX($T$7,M36+N36))</f>
        <v>4.4419247372297175</v>
      </c>
      <c r="N37" s="14">
        <f t="shared" si="12"/>
        <v>-1.6966225802208648</v>
      </c>
      <c r="O37" s="135">
        <f t="shared" si="62"/>
        <v>-0.27638828740437138</v>
      </c>
      <c r="P37" s="9">
        <f t="shared" si="43"/>
        <v>-0.27638828740437138</v>
      </c>
      <c r="Q37" s="18">
        <f t="shared" si="13"/>
        <v>-0.83853881961151522</v>
      </c>
      <c r="R37" s="102">
        <f t="shared" si="14"/>
        <v>-0.89501895486374716</v>
      </c>
      <c r="S37" s="18">
        <f t="shared" si="15"/>
        <v>-0.89038687644939596</v>
      </c>
      <c r="T37" s="136">
        <f t="shared" si="44"/>
        <v>0.47980631142177077</v>
      </c>
      <c r="U37" s="6"/>
      <c r="V37" s="243">
        <f>IF(V36&gt;'goal seek'!$F$28,MAX($AC$7,V36*(1+X37)),MAX($AC$7,V36+W36))</f>
        <v>6.0064557196926422</v>
      </c>
      <c r="W37" s="14">
        <f t="shared" si="16"/>
        <v>-1.0764943154537745</v>
      </c>
      <c r="X37" s="135">
        <f t="shared" si="63"/>
        <v>-0.15198389232058462</v>
      </c>
      <c r="Y37" s="9">
        <f t="shared" si="45"/>
        <v>-0.15198389232058473</v>
      </c>
      <c r="Z37" s="18">
        <f t="shared" si="17"/>
        <v>-0.78166909891013181</v>
      </c>
      <c r="AA37" s="102">
        <f t="shared" si="18"/>
        <v>-0.85804261973803297</v>
      </c>
      <c r="AB37" s="18">
        <f t="shared" si="19"/>
        <v>-0.85177903457353155</v>
      </c>
      <c r="AC37" s="136">
        <f t="shared" si="46"/>
        <v>0.64880328552826672</v>
      </c>
      <c r="AD37" s="6"/>
      <c r="AE37" s="243">
        <f>IF(AE36&gt;'goal seek'!$F$28,MAX($AL$7,AE36*(1+AG37)),MAX($AL$7,AE36+AF36))</f>
        <v>4.2636893325199043</v>
      </c>
      <c r="AF37" s="14">
        <f t="shared" si="20"/>
        <v>-1.4235619073511785</v>
      </c>
      <c r="AG37" s="135">
        <f t="shared" si="21"/>
        <v>-0.2503075470573809</v>
      </c>
      <c r="AH37" s="9">
        <f t="shared" si="47"/>
        <v>-0.25030754705738079</v>
      </c>
      <c r="AI37" s="18">
        <f t="shared" si="22"/>
        <v>-0.8450175648703584</v>
      </c>
      <c r="AJ37" s="102">
        <f t="shared" si="23"/>
        <v>-0.89923139432943455</v>
      </c>
      <c r="AK37" s="18">
        <f t="shared" si="24"/>
        <v>-0.89478518137198992</v>
      </c>
      <c r="AL37" s="136">
        <f t="shared" si="48"/>
        <v>0.4605537402600367</v>
      </c>
      <c r="AM37" s="6"/>
      <c r="AN37" s="243">
        <f>IF(AN36&gt;'goal seek'!$F$28,MAX($AL$7,AN36*(1+AP37)),MAX($AL$7,AN36+AO36))</f>
        <v>6.381094154104435</v>
      </c>
      <c r="AO37" s="14">
        <f t="shared" si="25"/>
        <v>-0.85660471700359953</v>
      </c>
      <c r="AP37" s="135">
        <f t="shared" si="49"/>
        <v>-0.11835318548869946</v>
      </c>
      <c r="AQ37" s="9">
        <f t="shared" si="50"/>
        <v>-0.11835318548869944</v>
      </c>
      <c r="AR37" s="18">
        <f t="shared" si="26"/>
        <v>-0.76805122660985792</v>
      </c>
      <c r="AS37" s="102">
        <f t="shared" si="27"/>
        <v>-0.84918836472035597</v>
      </c>
      <c r="AT37" s="18">
        <f t="shared" si="28"/>
        <v>-0.84253410328196809</v>
      </c>
      <c r="AU37" s="136">
        <f t="shared" si="51"/>
        <v>0.68927085217237338</v>
      </c>
      <c r="AV37" s="6"/>
      <c r="AW37" s="243">
        <f t="shared" si="52"/>
        <v>8.6659421911197665</v>
      </c>
      <c r="AX37" s="730">
        <f t="shared" si="53"/>
        <v>-1.5293518698504496</v>
      </c>
      <c r="AY37" s="9">
        <f t="shared" si="54"/>
        <v>-0.15000566542804672</v>
      </c>
      <c r="AZ37" s="9">
        <f t="shared" si="55"/>
        <v>-0.15000566542804672</v>
      </c>
      <c r="BA37" s="18">
        <f t="shared" si="29"/>
        <v>-0.68499843240720626</v>
      </c>
      <c r="BB37" s="102">
        <f t="shared" si="30"/>
        <v>-0.79518795969481271</v>
      </c>
      <c r="BC37" s="18">
        <f t="shared" si="31"/>
        <v>-0.78615103850903501</v>
      </c>
      <c r="BD37" s="136">
        <f t="shared" si="56"/>
        <v>0.9360747882253998</v>
      </c>
      <c r="BE37" s="6"/>
      <c r="BF37" s="243">
        <f t="shared" si="57"/>
        <v>1.2452340190892004</v>
      </c>
      <c r="BG37" s="14">
        <f t="shared" si="32"/>
        <v>-0.29012325921746118</v>
      </c>
      <c r="BH37" s="9"/>
      <c r="BI37" s="9">
        <f t="shared" si="58"/>
        <v>-0.18896139896339748</v>
      </c>
      <c r="BJ37" s="18">
        <f t="shared" si="33"/>
        <v>-0.95473652380984919</v>
      </c>
      <c r="BK37" s="102">
        <f t="shared" si="34"/>
        <v>-0.97056997214123653</v>
      </c>
      <c r="BL37" s="18">
        <f t="shared" si="35"/>
        <v>-0.96927143108935998</v>
      </c>
      <c r="BM37" s="136">
        <f t="shared" si="59"/>
        <v>0.13450726360769436</v>
      </c>
      <c r="BP37" s="540">
        <f t="shared" si="36"/>
        <v>501.99997379964742</v>
      </c>
      <c r="BQ37" s="541">
        <f t="shared" si="37"/>
        <v>648.96476563901524</v>
      </c>
      <c r="BR37" s="541">
        <f t="shared" si="38"/>
        <v>605.43304208111761</v>
      </c>
      <c r="BS37" s="541">
        <f t="shared" si="39"/>
        <v>643.59019924293364</v>
      </c>
      <c r="BT37" s="541">
        <f t="shared" si="60"/>
        <v>570.44516645051442</v>
      </c>
      <c r="BU37" s="541">
        <f t="shared" si="61"/>
        <v>628.34387090854466</v>
      </c>
      <c r="BV37" s="540">
        <f t="shared" si="4"/>
        <v>81.999973799647421</v>
      </c>
      <c r="BW37" s="541">
        <f t="shared" si="5"/>
        <v>228.96476563901524</v>
      </c>
      <c r="BX37" s="541">
        <f t="shared" si="6"/>
        <v>185.43304208111761</v>
      </c>
      <c r="BY37" s="541">
        <f t="shared" si="7"/>
        <v>223.59019924293364</v>
      </c>
      <c r="BZ37" s="541">
        <f t="shared" si="8"/>
        <v>150.44516645051442</v>
      </c>
      <c r="CA37" s="542">
        <f t="shared" si="8"/>
        <v>208.34387090854466</v>
      </c>
    </row>
    <row r="38" spans="1:79" x14ac:dyDescent="0.2">
      <c r="A38" s="239">
        <f t="shared" si="40"/>
        <v>24</v>
      </c>
      <c r="B38" s="822">
        <v>9315508.0500000007</v>
      </c>
      <c r="C38" s="239">
        <f t="shared" si="41"/>
        <v>2042</v>
      </c>
      <c r="E38" s="254">
        <f>IF(E37&gt;$K$10,MAX($K$7,E37*(1+$K$9)),MAX($K$7,scenarios!E37+scenarios!F37))</f>
        <v>6.5883226900326513</v>
      </c>
      <c r="F38" s="14">
        <f t="shared" si="9"/>
        <v>-0.55485774902085172</v>
      </c>
      <c r="G38" s="9">
        <f t="shared" si="42"/>
        <v>-7.767656910741183E-2</v>
      </c>
      <c r="H38" s="18">
        <f t="shared" si="1"/>
        <v>-0.76051859920158382</v>
      </c>
      <c r="I38" s="102">
        <f t="shared" si="10"/>
        <v>-0.84429069770194387</v>
      </c>
      <c r="J38" s="18">
        <f t="shared" si="11"/>
        <v>-0.83742033651290804</v>
      </c>
      <c r="K38" s="136">
        <f t="shared" si="2"/>
        <v>0.70724244503579714</v>
      </c>
      <c r="L38" s="263"/>
      <c r="M38" s="243">
        <f>IF(M37&gt;'goal seek'!$F$28,MAX($T$7,M37*(1+O38)),MAX($T$7,M37+N37))</f>
        <v>3.0358298680017715</v>
      </c>
      <c r="N38" s="14">
        <f t="shared" si="12"/>
        <v>-1.406094869227946</v>
      </c>
      <c r="O38" s="135">
        <f t="shared" si="62"/>
        <v>-0.31655080903169036</v>
      </c>
      <c r="P38" s="9">
        <f t="shared" si="43"/>
        <v>-0.31655080903169042</v>
      </c>
      <c r="Q38" s="18">
        <f t="shared" si="13"/>
        <v>-0.88964948689070167</v>
      </c>
      <c r="R38" s="102">
        <f t="shared" si="14"/>
        <v>-0.92825078963462049</v>
      </c>
      <c r="S38" s="18">
        <f t="shared" si="15"/>
        <v>-0.92508499938983035</v>
      </c>
      <c r="T38" s="136">
        <f t="shared" si="44"/>
        <v>0.325889887240425</v>
      </c>
      <c r="U38" s="6"/>
      <c r="V38" s="243">
        <f>IF(V37&gt;'goal seek'!$F$28,MAX($AC$7,V37*(1+X38)),MAX($AC$7,V37+W37))</f>
        <v>5.0546768561808477</v>
      </c>
      <c r="W38" s="14">
        <f t="shared" si="16"/>
        <v>-0.95177886351179453</v>
      </c>
      <c r="X38" s="135">
        <f t="shared" si="63"/>
        <v>-0.15845931576442199</v>
      </c>
      <c r="Y38" s="9">
        <f t="shared" si="45"/>
        <v>-0.15845931576442196</v>
      </c>
      <c r="Z38" s="18">
        <f t="shared" si="17"/>
        <v>-0.81626566410706203</v>
      </c>
      <c r="AA38" s="102">
        <f t="shared" si="18"/>
        <v>-0.88053708908205419</v>
      </c>
      <c r="AB38" s="18">
        <f t="shared" si="19"/>
        <v>-0.87526602733695169</v>
      </c>
      <c r="AC38" s="136">
        <f t="shared" si="46"/>
        <v>0.54260882273413391</v>
      </c>
      <c r="AD38" s="6"/>
      <c r="AE38" s="243">
        <f>IF(AE37&gt;'goal seek'!$F$28,MAX($AL$7,AE37*(1+AG38)),MAX($AL$7,AE37+AF37))</f>
        <v>3.0990461285146633</v>
      </c>
      <c r="AF38" s="14">
        <f t="shared" si="20"/>
        <v>-1.164643204005241</v>
      </c>
      <c r="AG38" s="135">
        <f t="shared" si="21"/>
        <v>-0.27315386116955181</v>
      </c>
      <c r="AH38" s="9">
        <f t="shared" si="47"/>
        <v>-0.27315386116955187</v>
      </c>
      <c r="AI38" s="18">
        <f t="shared" si="22"/>
        <v>-0.88735161543947971</v>
      </c>
      <c r="AJ38" s="102">
        <f t="shared" si="23"/>
        <v>-0.92675672805302145</v>
      </c>
      <c r="AK38" s="18">
        <f t="shared" si="24"/>
        <v>-0.92352501533248488</v>
      </c>
      <c r="AL38" s="136">
        <f t="shared" si="48"/>
        <v>0.33267601851459544</v>
      </c>
      <c r="AM38" s="6"/>
      <c r="AN38" s="243">
        <f>IF(AN37&gt;'goal seek'!$F$28,MAX($AL$7,AN37*(1+AP38)),MAX($AL$7,AN37+AO37))</f>
        <v>5.6101311167465262</v>
      </c>
      <c r="AO38" s="14">
        <f t="shared" si="25"/>
        <v>-0.77096303735790883</v>
      </c>
      <c r="AP38" s="135">
        <f t="shared" si="49"/>
        <v>-0.12081988115815706</v>
      </c>
      <c r="AQ38" s="9">
        <f t="shared" si="50"/>
        <v>-0.12081988115815712</v>
      </c>
      <c r="AR38" s="18">
        <f t="shared" si="26"/>
        <v>-0.79607524984563516</v>
      </c>
      <c r="AS38" s="102">
        <f t="shared" si="27"/>
        <v>-0.86740940857211013</v>
      </c>
      <c r="AT38" s="18">
        <f t="shared" si="28"/>
        <v>-0.86155911420990317</v>
      </c>
      <c r="AU38" s="136">
        <f t="shared" si="51"/>
        <v>0.60223565764043607</v>
      </c>
      <c r="AV38" s="6"/>
      <c r="AW38" s="243">
        <f t="shared" si="52"/>
        <v>7.1365903212693178</v>
      </c>
      <c r="AX38" s="730">
        <f t="shared" si="53"/>
        <v>-1.5293518698504487</v>
      </c>
      <c r="AY38" s="9">
        <f t="shared" si="54"/>
        <v>-0.17647842971046102</v>
      </c>
      <c r="AZ38" s="9">
        <f t="shared" si="55"/>
        <v>-0.17647842971046102</v>
      </c>
      <c r="BA38" s="18">
        <f t="shared" si="29"/>
        <v>-0.74058941441231607</v>
      </c>
      <c r="BB38" s="102">
        <f t="shared" si="30"/>
        <v>-0.83133286695366782</v>
      </c>
      <c r="BC38" s="18">
        <f t="shared" si="31"/>
        <v>-0.82389076742817335</v>
      </c>
      <c r="BD38" s="136">
        <f t="shared" si="56"/>
        <v>0.76609781055036685</v>
      </c>
      <c r="BE38" s="6"/>
      <c r="BF38" s="243">
        <f t="shared" si="57"/>
        <v>1.0083884535049643</v>
      </c>
      <c r="BG38" s="14">
        <f t="shared" si="32"/>
        <v>-0.23684556558423608</v>
      </c>
      <c r="BH38" s="9"/>
      <c r="BI38" s="9">
        <f t="shared" si="58"/>
        <v>-0.190201650415455</v>
      </c>
      <c r="BJ38" s="18">
        <f t="shared" si="33"/>
        <v>-0.96334571168475658</v>
      </c>
      <c r="BK38" s="102">
        <f t="shared" si="34"/>
        <v>-0.97616761201174629</v>
      </c>
      <c r="BL38" s="18">
        <f t="shared" si="35"/>
        <v>-0.97511605561106884</v>
      </c>
      <c r="BM38" s="136">
        <f t="shared" si="59"/>
        <v>0.10824835833886315</v>
      </c>
      <c r="BP38" s="540">
        <f t="shared" si="36"/>
        <v>508.58829648968009</v>
      </c>
      <c r="BQ38" s="541">
        <f t="shared" si="37"/>
        <v>652.00059550701701</v>
      </c>
      <c r="BR38" s="541">
        <f t="shared" si="38"/>
        <v>610.4877189372985</v>
      </c>
      <c r="BS38" s="541">
        <f t="shared" si="39"/>
        <v>646.68924537144835</v>
      </c>
      <c r="BT38" s="541">
        <f t="shared" si="60"/>
        <v>576.05529756726094</v>
      </c>
      <c r="BU38" s="541">
        <f t="shared" si="61"/>
        <v>635.48046122981395</v>
      </c>
      <c r="BV38" s="540">
        <f t="shared" si="4"/>
        <v>88.58829648968009</v>
      </c>
      <c r="BW38" s="541">
        <f t="shared" si="5"/>
        <v>232.00059550701701</v>
      </c>
      <c r="BX38" s="541">
        <f t="shared" si="6"/>
        <v>190.4877189372985</v>
      </c>
      <c r="BY38" s="541">
        <f t="shared" si="7"/>
        <v>226.68924537144835</v>
      </c>
      <c r="BZ38" s="541">
        <f t="shared" si="8"/>
        <v>156.05529756726094</v>
      </c>
      <c r="CA38" s="542">
        <f t="shared" si="8"/>
        <v>215.48046122981395</v>
      </c>
    </row>
    <row r="39" spans="1:79" x14ac:dyDescent="0.2">
      <c r="A39" s="239">
        <f t="shared" si="40"/>
        <v>25</v>
      </c>
      <c r="B39" s="822">
        <v>9372118.1860000007</v>
      </c>
      <c r="C39" s="239">
        <f t="shared" si="41"/>
        <v>2043</v>
      </c>
      <c r="E39" s="254">
        <f>IF(E38&gt;$K$10,MAX($K$7,E38*(1+$K$9)),MAX($K$7,scenarios!E38+scenarios!F38))</f>
        <v>6.0765643872984008</v>
      </c>
      <c r="F39" s="14">
        <f t="shared" si="9"/>
        <v>-0.51175830273425049</v>
      </c>
      <c r="G39" s="9">
        <f t="shared" si="42"/>
        <v>-7.767656910741183E-2</v>
      </c>
      <c r="H39" s="18">
        <f t="shared" si="1"/>
        <v>-0.77912069278064178</v>
      </c>
      <c r="I39" s="102">
        <f t="shared" si="10"/>
        <v>-0.85638566208256572</v>
      </c>
      <c r="J39" s="18">
        <f t="shared" si="11"/>
        <v>-0.85004896697922294</v>
      </c>
      <c r="K39" s="136">
        <f t="shared" si="2"/>
        <v>0.64836617152091902</v>
      </c>
      <c r="L39" s="263"/>
      <c r="M39" s="243">
        <f>IF(M38&gt;'goal seek'!$F$28,MAX($T$7,M38*(1+O39)),MAX($T$7,M38+N38))</f>
        <v>1.9351914947025706</v>
      </c>
      <c r="N39" s="14">
        <f t="shared" si="12"/>
        <v>-1.1006383732992009</v>
      </c>
      <c r="O39" s="135">
        <f t="shared" si="62"/>
        <v>-0.36254942508476518</v>
      </c>
      <c r="P39" s="9">
        <f t="shared" si="43"/>
        <v>-0.36254942508476518</v>
      </c>
      <c r="Q39" s="18">
        <f t="shared" si="13"/>
        <v>-0.92965700197628665</v>
      </c>
      <c r="R39" s="102">
        <f t="shared" si="14"/>
        <v>-0.95426342460287461</v>
      </c>
      <c r="S39" s="18">
        <f t="shared" si="15"/>
        <v>-0.95224538979127216</v>
      </c>
      <c r="T39" s="136">
        <f t="shared" si="44"/>
        <v>0.20648389790830263</v>
      </c>
      <c r="U39" s="6"/>
      <c r="V39" s="243">
        <f>IF(V38&gt;'goal seek'!$F$28,MAX($AC$7,V38*(1+X39)),MAX($AC$7,V38+W38))</f>
        <v>4.2209850471246346</v>
      </c>
      <c r="W39" s="14">
        <f t="shared" si="16"/>
        <v>-0.8336918090562131</v>
      </c>
      <c r="X39" s="135">
        <f t="shared" si="63"/>
        <v>-0.16493473920825935</v>
      </c>
      <c r="Y39" s="9">
        <f t="shared" si="45"/>
        <v>-0.16493473920825952</v>
      </c>
      <c r="Z39" s="18">
        <f t="shared" si="17"/>
        <v>-0.84656983888116644</v>
      </c>
      <c r="AA39" s="102">
        <f t="shared" si="18"/>
        <v>-0.90024067313936507</v>
      </c>
      <c r="AB39" s="18">
        <f t="shared" si="19"/>
        <v>-0.89583899258854172</v>
      </c>
      <c r="AC39" s="136">
        <f t="shared" si="46"/>
        <v>0.45037684793923216</v>
      </c>
      <c r="AD39" s="6"/>
      <c r="AE39" s="243">
        <f>IF(AE38&gt;'goal seek'!$F$28,MAX($AL$7,AE38*(1+AG39)),MAX($AL$7,AE38+AF38))</f>
        <v>2.1784348251611947</v>
      </c>
      <c r="AF39" s="14">
        <f t="shared" si="20"/>
        <v>-0.92061130335346864</v>
      </c>
      <c r="AG39" s="135">
        <f t="shared" si="21"/>
        <v>-0.29706279454275397</v>
      </c>
      <c r="AH39" s="9">
        <f t="shared" si="47"/>
        <v>-0.29706279454275397</v>
      </c>
      <c r="AI39" s="18">
        <f t="shared" si="22"/>
        <v>-0.92081525935775466</v>
      </c>
      <c r="AJ39" s="102">
        <f t="shared" si="23"/>
        <v>-0.9485145790990458</v>
      </c>
      <c r="AK39" s="18">
        <f t="shared" si="24"/>
        <v>-0.9462428879904311</v>
      </c>
      <c r="AL39" s="136">
        <f t="shared" si="48"/>
        <v>0.23243783122745126</v>
      </c>
      <c r="AM39" s="6"/>
      <c r="AN39" s="243">
        <f>IF(AN38&gt;'goal seek'!$F$28,MAX($AL$7,AN38*(1+AP39)),MAX($AL$7,AN38+AO38))</f>
        <v>4.9187955096093399</v>
      </c>
      <c r="AO39" s="14">
        <f t="shared" si="25"/>
        <v>-0.69133560713718634</v>
      </c>
      <c r="AP39" s="135">
        <f t="shared" si="49"/>
        <v>-0.12322984842074629</v>
      </c>
      <c r="AQ39" s="9">
        <f t="shared" si="50"/>
        <v>-0.12322984842074625</v>
      </c>
      <c r="AR39" s="18">
        <f t="shared" si="26"/>
        <v>-0.82120486589639619</v>
      </c>
      <c r="AS39" s="102">
        <f t="shared" si="27"/>
        <v>-0.88374852705578599</v>
      </c>
      <c r="AT39" s="18">
        <f t="shared" si="28"/>
        <v>-0.87861916358105074</v>
      </c>
      <c r="AU39" s="136">
        <f t="shared" si="51"/>
        <v>0.52483285122855139</v>
      </c>
      <c r="AV39" s="6"/>
      <c r="AW39" s="243">
        <f t="shared" si="52"/>
        <v>5.6072384514188691</v>
      </c>
      <c r="AX39" s="730">
        <f t="shared" si="53"/>
        <v>-1.5293518698504487</v>
      </c>
      <c r="AY39" s="9">
        <f t="shared" si="54"/>
        <v>-0.21429727657092656</v>
      </c>
      <c r="AZ39" s="9">
        <f t="shared" si="55"/>
        <v>-0.21429727657092656</v>
      </c>
      <c r="BA39" s="18">
        <f t="shared" si="29"/>
        <v>-0.796180396417426</v>
      </c>
      <c r="BB39" s="102">
        <f t="shared" si="30"/>
        <v>-0.86747777421252281</v>
      </c>
      <c r="BC39" s="18">
        <f t="shared" si="31"/>
        <v>-0.86163049634731181</v>
      </c>
      <c r="BD39" s="136">
        <f t="shared" si="56"/>
        <v>0.59828934506981779</v>
      </c>
      <c r="BE39" s="6"/>
      <c r="BF39" s="243">
        <f t="shared" si="57"/>
        <v>0.81543478321211005</v>
      </c>
      <c r="BG39" s="14">
        <f t="shared" si="32"/>
        <v>-0.19295367029285426</v>
      </c>
      <c r="BH39" s="9"/>
      <c r="BI39" s="9">
        <f t="shared" si="58"/>
        <v>-0.19134855186231503</v>
      </c>
      <c r="BJ39" s="18">
        <f t="shared" si="33"/>
        <v>-0.97035945667342216</v>
      </c>
      <c r="BK39" s="102">
        <f t="shared" si="34"/>
        <v>-0.98072790494071937</v>
      </c>
      <c r="BL39" s="18">
        <f t="shared" si="35"/>
        <v>-0.97987756233451317</v>
      </c>
      <c r="BM39" s="136">
        <f t="shared" si="59"/>
        <v>8.7006455427568158E-2</v>
      </c>
      <c r="BP39" s="540">
        <f t="shared" si="36"/>
        <v>514.66486087697854</v>
      </c>
      <c r="BQ39" s="541">
        <f t="shared" si="37"/>
        <v>653.93578700171963</v>
      </c>
      <c r="BR39" s="541">
        <f t="shared" si="38"/>
        <v>614.7087039844231</v>
      </c>
      <c r="BS39" s="541">
        <f t="shared" si="39"/>
        <v>648.86768019660951</v>
      </c>
      <c r="BT39" s="541">
        <f t="shared" si="60"/>
        <v>580.9740930768703</v>
      </c>
      <c r="BU39" s="541">
        <f t="shared" si="61"/>
        <v>641.08769968123283</v>
      </c>
      <c r="BV39" s="540">
        <f t="shared" si="4"/>
        <v>94.664860876978537</v>
      </c>
      <c r="BW39" s="541">
        <f t="shared" si="5"/>
        <v>233.93578700171963</v>
      </c>
      <c r="BX39" s="541">
        <f t="shared" si="6"/>
        <v>194.7087039844231</v>
      </c>
      <c r="BY39" s="541">
        <f t="shared" si="7"/>
        <v>228.86768019660951</v>
      </c>
      <c r="BZ39" s="541">
        <f t="shared" si="8"/>
        <v>160.9740930768703</v>
      </c>
      <c r="CA39" s="542">
        <f t="shared" si="8"/>
        <v>221.08769968123283</v>
      </c>
    </row>
    <row r="40" spans="1:79" x14ac:dyDescent="0.2">
      <c r="A40" s="239">
        <f t="shared" si="40"/>
        <v>26</v>
      </c>
      <c r="B40" s="822">
        <v>9427555.3670000006</v>
      </c>
      <c r="C40" s="239">
        <f t="shared" si="41"/>
        <v>2044</v>
      </c>
      <c r="E40" s="254">
        <f>IF(E39&gt;$K$10,MAX($K$7,E39*(1+$K$9)),MAX($K$7,scenarios!E39+scenarios!F39))</f>
        <v>5.6045577137327793</v>
      </c>
      <c r="F40" s="14">
        <f t="shared" si="9"/>
        <v>-0.47200667356562143</v>
      </c>
      <c r="G40" s="9">
        <f t="shared" si="42"/>
        <v>-7.7676569107411719E-2</v>
      </c>
      <c r="H40" s="18">
        <f t="shared" si="1"/>
        <v>-0.79627783955226361</v>
      </c>
      <c r="I40" s="102">
        <f t="shared" si="10"/>
        <v>-0.86754113112662434</v>
      </c>
      <c r="J40" s="18">
        <f t="shared" si="11"/>
        <v>-0.86169664875838914</v>
      </c>
      <c r="K40" s="136">
        <f t="shared" si="2"/>
        <v>0.5944868521643315</v>
      </c>
      <c r="L40" s="263"/>
      <c r="M40" s="243">
        <f>IF(M39&gt;'goal seek'!$F$28,MAX($T$7,M39*(1+O40)),MAX($T$7,M39+N39))</f>
        <v>0.83455312140336968</v>
      </c>
      <c r="N40" s="14">
        <f t="shared" si="12"/>
        <v>-1.1006383732992009</v>
      </c>
      <c r="O40" s="135">
        <f t="shared" si="62"/>
        <v>-0.41523218983823512</v>
      </c>
      <c r="P40" s="9">
        <f t="shared" si="43"/>
        <v>-0.5687490753820017</v>
      </c>
      <c r="Q40" s="18">
        <f t="shared" si="13"/>
        <v>-0.96966451706187162</v>
      </c>
      <c r="R40" s="102">
        <f t="shared" si="14"/>
        <v>-0.98027605957112895</v>
      </c>
      <c r="S40" s="18">
        <f t="shared" si="15"/>
        <v>-0.97940578019271407</v>
      </c>
      <c r="T40" s="136">
        <f t="shared" si="44"/>
        <v>8.8522749420769292E-2</v>
      </c>
      <c r="U40" s="6"/>
      <c r="V40" s="243">
        <f>IF(V39&gt;'goal seek'!$F$28,MAX($AC$7,V39*(1+X40)),MAX($AC$7,V39+W39))</f>
        <v>3.4974653136449327</v>
      </c>
      <c r="W40" s="14">
        <f t="shared" si="16"/>
        <v>-0.72351973347970189</v>
      </c>
      <c r="X40" s="135">
        <f t="shared" si="63"/>
        <v>-0.17141016265209671</v>
      </c>
      <c r="Y40" s="9">
        <f t="shared" si="45"/>
        <v>-0.17141016265209674</v>
      </c>
      <c r="Z40" s="18">
        <f t="shared" si="17"/>
        <v>-0.87286932775428316</v>
      </c>
      <c r="AA40" s="102">
        <f t="shared" si="18"/>
        <v>-0.91734043558261025</v>
      </c>
      <c r="AB40" s="18">
        <f t="shared" si="19"/>
        <v>-0.91369324781094607</v>
      </c>
      <c r="AC40" s="136">
        <f t="shared" si="46"/>
        <v>0.3709832695215326</v>
      </c>
      <c r="AD40" s="6"/>
      <c r="AE40" s="243">
        <f>IF(AE39&gt;'goal seek'!$F$28,MAX($AL$7,AE39*(1+AG40)),MAX($AL$7,AE39+AF39))</f>
        <v>1.2578235218077261</v>
      </c>
      <c r="AF40" s="14">
        <f t="shared" si="20"/>
        <v>-0.92061130335346864</v>
      </c>
      <c r="AG40" s="135">
        <f t="shared" si="21"/>
        <v>-0.32203434717698731</v>
      </c>
      <c r="AH40" s="9">
        <f t="shared" si="47"/>
        <v>-0.42260217873874073</v>
      </c>
      <c r="AI40" s="18">
        <f t="shared" si="22"/>
        <v>-0.9542789032760296</v>
      </c>
      <c r="AJ40" s="102">
        <f t="shared" si="23"/>
        <v>-0.97027243014507003</v>
      </c>
      <c r="AK40" s="18">
        <f t="shared" si="24"/>
        <v>-0.96896076064837755</v>
      </c>
      <c r="AL40" s="136">
        <f t="shared" si="48"/>
        <v>0.13341990291678188</v>
      </c>
      <c r="AM40" s="6"/>
      <c r="AN40" s="243">
        <f>IF(AN39&gt;'goal seek'!$F$28,MAX($AL$7,AN39*(1+AP40)),MAX($AL$7,AN39+AO39))</f>
        <v>4.3010595743813465</v>
      </c>
      <c r="AO40" s="14">
        <f t="shared" si="25"/>
        <v>-0.61773593522799342</v>
      </c>
      <c r="AP40" s="135">
        <f t="shared" si="49"/>
        <v>-0.12558682995078507</v>
      </c>
      <c r="AQ40" s="9">
        <f t="shared" si="50"/>
        <v>-0.12558682995078507</v>
      </c>
      <c r="AR40" s="18">
        <f t="shared" si="26"/>
        <v>-0.84365917999909334</v>
      </c>
      <c r="AS40" s="102">
        <f t="shared" si="27"/>
        <v>-0.89834818101995928</v>
      </c>
      <c r="AT40" s="18">
        <f t="shared" si="28"/>
        <v>-0.8938629980436813</v>
      </c>
      <c r="AU40" s="136">
        <f t="shared" si="51"/>
        <v>0.4562221495337675</v>
      </c>
      <c r="AV40" s="6"/>
      <c r="AW40" s="243">
        <f t="shared" si="52"/>
        <v>4.0778865815684204</v>
      </c>
      <c r="AX40" s="730">
        <f t="shared" si="53"/>
        <v>-1.5293518698504487</v>
      </c>
      <c r="AY40" s="9">
        <f t="shared" si="54"/>
        <v>-0.27274600199380816</v>
      </c>
      <c r="AZ40" s="9">
        <f t="shared" si="55"/>
        <v>-0.27274600199380816</v>
      </c>
      <c r="BA40" s="18">
        <f t="shared" si="29"/>
        <v>-0.85177137842253592</v>
      </c>
      <c r="BB40" s="102">
        <f t="shared" si="30"/>
        <v>-0.90362268147137803</v>
      </c>
      <c r="BC40" s="18">
        <f t="shared" si="31"/>
        <v>-0.89937022526645005</v>
      </c>
      <c r="BD40" s="136">
        <f t="shared" si="56"/>
        <v>0.43254973562314591</v>
      </c>
      <c r="BE40" s="6"/>
      <c r="BF40" s="243">
        <f t="shared" si="57"/>
        <v>0.65853513342908965</v>
      </c>
      <c r="BG40" s="14">
        <f t="shared" si="32"/>
        <v>-0.1568996497830204</v>
      </c>
      <c r="BH40" s="9"/>
      <c r="BI40" s="9">
        <f t="shared" si="58"/>
        <v>-0.19241226032199787</v>
      </c>
      <c r="BJ40" s="18">
        <f t="shared" si="33"/>
        <v>-0.97606266061206104</v>
      </c>
      <c r="BK40" s="102">
        <f t="shared" si="34"/>
        <v>-0.98443609231221596</v>
      </c>
      <c r="BL40" s="18">
        <f t="shared" si="35"/>
        <v>-0.98374936604891794</v>
      </c>
      <c r="BM40" s="136">
        <f t="shared" si="59"/>
        <v>6.9852162919584751E-2</v>
      </c>
      <c r="BP40" s="540">
        <f t="shared" si="36"/>
        <v>520.26941859071133</v>
      </c>
      <c r="BQ40" s="541">
        <f t="shared" si="37"/>
        <v>654.77034012312299</v>
      </c>
      <c r="BR40" s="541">
        <f t="shared" si="38"/>
        <v>618.20616929806806</v>
      </c>
      <c r="BS40" s="541">
        <f t="shared" si="39"/>
        <v>650.12550371841724</v>
      </c>
      <c r="BT40" s="541">
        <f t="shared" si="60"/>
        <v>585.27515265125169</v>
      </c>
      <c r="BU40" s="541">
        <f t="shared" si="61"/>
        <v>645.1655862628013</v>
      </c>
      <c r="BV40" s="540">
        <f t="shared" si="4"/>
        <v>100.26941859071133</v>
      </c>
      <c r="BW40" s="541">
        <f t="shared" si="5"/>
        <v>234.77034012312299</v>
      </c>
      <c r="BX40" s="541">
        <f t="shared" si="6"/>
        <v>198.20616929806806</v>
      </c>
      <c r="BY40" s="541">
        <f t="shared" si="7"/>
        <v>230.12550371841724</v>
      </c>
      <c r="BZ40" s="541">
        <f t="shared" si="8"/>
        <v>165.27515265125169</v>
      </c>
      <c r="CA40" s="542">
        <f t="shared" si="8"/>
        <v>225.1655862628013</v>
      </c>
    </row>
    <row r="41" spans="1:79" x14ac:dyDescent="0.2">
      <c r="A41" s="239">
        <f t="shared" si="40"/>
        <v>27</v>
      </c>
      <c r="B41" s="822">
        <v>9481803.2740000002</v>
      </c>
      <c r="C41" s="239">
        <f t="shared" si="41"/>
        <v>2045</v>
      </c>
      <c r="E41" s="254">
        <f>IF(E40&gt;$K$10,MAX($K$7,E40*(1+$K$9)),MAX($K$7,scenarios!E40+scenarios!F40))</f>
        <v>5.1692148991655369</v>
      </c>
      <c r="F41" s="14">
        <f t="shared" si="9"/>
        <v>-0.43534281456724244</v>
      </c>
      <c r="G41" s="9">
        <f t="shared" si="42"/>
        <v>-7.767656910741183E-2</v>
      </c>
      <c r="H41" s="18">
        <f t="shared" si="1"/>
        <v>-0.81210227802699342</v>
      </c>
      <c r="I41" s="102">
        <f t="shared" si="10"/>
        <v>-0.87783008160855669</v>
      </c>
      <c r="J41" s="18">
        <f t="shared" si="11"/>
        <v>-0.87243957857889476</v>
      </c>
      <c r="K41" s="136">
        <f t="shared" si="2"/>
        <v>0.54517213126958797</v>
      </c>
      <c r="L41" s="263"/>
      <c r="M41" s="243">
        <f>IF(M40&gt;'goal seek'!$F$28,MAX($T$7,M40*(1+O41)),MAX($T$7,M40+N40))</f>
        <v>-0.26608525189583121</v>
      </c>
      <c r="N41" s="14">
        <f t="shared" si="12"/>
        <v>-1.1006383732992009</v>
      </c>
      <c r="O41" s="135">
        <f t="shared" si="62"/>
        <v>-0.47557038998901824</v>
      </c>
      <c r="P41" s="9" t="str">
        <f t="shared" si="43"/>
        <v/>
      </c>
      <c r="Q41" s="18">
        <f t="shared" si="13"/>
        <v>-1.0096720321474566</v>
      </c>
      <c r="R41" s="102">
        <f t="shared" si="14"/>
        <v>-1.0062886945393832</v>
      </c>
      <c r="S41" s="18">
        <f t="shared" si="15"/>
        <v>-1.0065661705941558</v>
      </c>
      <c r="T41" s="136">
        <f t="shared" si="44"/>
        <v>-2.8062726488479472E-2</v>
      </c>
      <c r="U41" s="6"/>
      <c r="V41" s="243">
        <f>IF(V40&gt;'goal seek'!$F$28,MAX($AC$7,V40*(1+X41)),MAX($AC$7,V40+W40))</f>
        <v>2.8753166464770041</v>
      </c>
      <c r="W41" s="14">
        <f t="shared" si="16"/>
        <v>-0.6221486671679286</v>
      </c>
      <c r="X41" s="135">
        <f t="shared" si="63"/>
        <v>-0.17788558609593408</v>
      </c>
      <c r="Y41" s="9">
        <f t="shared" si="45"/>
        <v>-0.17788558609593408</v>
      </c>
      <c r="Z41" s="18">
        <f t="shared" si="17"/>
        <v>-0.89548404189748265</v>
      </c>
      <c r="AA41" s="102">
        <f t="shared" si="18"/>
        <v>-0.93204438064543227</v>
      </c>
      <c r="AB41" s="18">
        <f t="shared" si="19"/>
        <v>-0.92904597500813246</v>
      </c>
      <c r="AC41" s="136">
        <f t="shared" si="46"/>
        <v>0.30324576068366593</v>
      </c>
      <c r="AD41" s="6"/>
      <c r="AE41" s="243">
        <f>IF(AE40&gt;'goal seek'!$F$28,MAX($AL$7,AE40*(1+AG41)),MAX($AL$7,AE40+AF40))</f>
        <v>0.33721221845425742</v>
      </c>
      <c r="AF41" s="14">
        <f t="shared" si="20"/>
        <v>-0.92061130335346864</v>
      </c>
      <c r="AG41" s="135">
        <f t="shared" si="21"/>
        <v>-0.34806851907225184</v>
      </c>
      <c r="AH41" s="9">
        <f t="shared" si="47"/>
        <v>-0.73190816310254658</v>
      </c>
      <c r="AI41" s="18">
        <f t="shared" si="22"/>
        <v>-0.98774254719430465</v>
      </c>
      <c r="AJ41" s="102">
        <f t="shared" si="23"/>
        <v>-0.9920302811910946</v>
      </c>
      <c r="AK41" s="18">
        <f t="shared" si="24"/>
        <v>-0.99167863330632389</v>
      </c>
      <c r="AL41" s="136">
        <f t="shared" si="48"/>
        <v>3.556414415166418E-2</v>
      </c>
      <c r="AM41" s="6"/>
      <c r="AN41" s="243">
        <f>IF(AN40&gt;'goal seek'!$F$28,MAX($AL$7,AN40*(1+AP41)),MAX($AL$7,AN40+AO40))</f>
        <v>3.7509791122174319</v>
      </c>
      <c r="AO41" s="14">
        <f t="shared" si="25"/>
        <v>-0.5500804621639146</v>
      </c>
      <c r="AP41" s="135">
        <f t="shared" si="49"/>
        <v>-0.12789417413336734</v>
      </c>
      <c r="AQ41" s="9">
        <f t="shared" si="50"/>
        <v>-0.12789417413336734</v>
      </c>
      <c r="AR41" s="18">
        <f t="shared" si="26"/>
        <v>-0.86365426005644264</v>
      </c>
      <c r="AS41" s="102">
        <f t="shared" si="27"/>
        <v>-0.91134885645756625</v>
      </c>
      <c r="AT41" s="18">
        <f t="shared" si="28"/>
        <v>-0.90743730225387642</v>
      </c>
      <c r="AU41" s="136">
        <f t="shared" si="51"/>
        <v>0.39559765203133573</v>
      </c>
      <c r="AV41" s="6"/>
      <c r="AW41" s="243">
        <f t="shared" si="52"/>
        <v>2.5485347117179717</v>
      </c>
      <c r="AX41" s="730">
        <f t="shared" si="53"/>
        <v>-1.5293518698504487</v>
      </c>
      <c r="AY41" s="9">
        <f t="shared" si="54"/>
        <v>-0.37503541093147208</v>
      </c>
      <c r="AZ41" s="9">
        <f t="shared" si="55"/>
        <v>-0.37503541093147208</v>
      </c>
      <c r="BA41" s="18">
        <f t="shared" si="29"/>
        <v>-0.90736236042764573</v>
      </c>
      <c r="BB41" s="102">
        <f t="shared" si="30"/>
        <v>-0.93976758873023325</v>
      </c>
      <c r="BC41" s="18">
        <f t="shared" si="31"/>
        <v>-0.93710995418558851</v>
      </c>
      <c r="BD41" s="136">
        <f t="shared" si="56"/>
        <v>0.26878164818144817</v>
      </c>
      <c r="BE41" s="6"/>
      <c r="BF41" s="243">
        <f t="shared" si="57"/>
        <v>0.53117344366821539</v>
      </c>
      <c r="BG41" s="14">
        <f t="shared" si="32"/>
        <v>-0.12736168976087425</v>
      </c>
      <c r="BH41" s="9"/>
      <c r="BI41" s="9">
        <f t="shared" si="58"/>
        <v>-0.19340151086196899</v>
      </c>
      <c r="BJ41" s="18">
        <f t="shared" si="33"/>
        <v>-0.9806921782157042</v>
      </c>
      <c r="BK41" s="102">
        <f t="shared" si="34"/>
        <v>-0.98744617557394965</v>
      </c>
      <c r="BL41" s="18">
        <f t="shared" si="35"/>
        <v>-0.9868922632075221</v>
      </c>
      <c r="BM41" s="136">
        <f t="shared" si="59"/>
        <v>5.602029786092938E-2</v>
      </c>
      <c r="BP41" s="540">
        <f t="shared" si="36"/>
        <v>525.43863348987691</v>
      </c>
      <c r="BQ41" s="541">
        <f t="shared" si="37"/>
        <v>654.5042548712272</v>
      </c>
      <c r="BR41" s="541">
        <f t="shared" si="38"/>
        <v>621.08148594454508</v>
      </c>
      <c r="BS41" s="541">
        <f t="shared" si="39"/>
        <v>650.46271593687152</v>
      </c>
      <c r="BT41" s="541">
        <f t="shared" si="60"/>
        <v>589.02613176346915</v>
      </c>
      <c r="BU41" s="541">
        <f t="shared" si="61"/>
        <v>647.71412097451923</v>
      </c>
      <c r="BV41" s="540">
        <f t="shared" si="4"/>
        <v>105.43863348987691</v>
      </c>
      <c r="BW41" s="541">
        <f t="shared" si="5"/>
        <v>234.5042548712272</v>
      </c>
      <c r="BX41" s="541">
        <f t="shared" si="6"/>
        <v>201.08148594454508</v>
      </c>
      <c r="BY41" s="541">
        <f t="shared" si="7"/>
        <v>230.46271593687152</v>
      </c>
      <c r="BZ41" s="541">
        <f t="shared" si="8"/>
        <v>169.02613176346915</v>
      </c>
      <c r="CA41" s="542">
        <f t="shared" si="8"/>
        <v>227.71412097451923</v>
      </c>
    </row>
    <row r="42" spans="1:79" x14ac:dyDescent="0.2">
      <c r="A42" s="239">
        <f t="shared" si="40"/>
        <v>28</v>
      </c>
      <c r="B42" s="822">
        <v>9534854.8279999997</v>
      </c>
      <c r="C42" s="239">
        <f t="shared" si="41"/>
        <v>2046</v>
      </c>
      <c r="E42" s="254">
        <f>IF(E41&gt;$K$10,MAX($K$7,E41*(1+$K$9)),MAX($K$7,scenarios!E41+scenarios!F41))</f>
        <v>4.7676880208194419</v>
      </c>
      <c r="F42" s="14">
        <f t="shared" si="9"/>
        <v>-0.40152687834609502</v>
      </c>
      <c r="G42" s="9">
        <f t="shared" si="42"/>
        <v>-7.7676569107411941E-2</v>
      </c>
      <c r="H42" s="18">
        <f t="shared" si="1"/>
        <v>-0.82669752841295485</v>
      </c>
      <c r="I42" s="102">
        <f t="shared" si="10"/>
        <v>-0.88731982171733659</v>
      </c>
      <c r="J42" s="18">
        <f t="shared" si="11"/>
        <v>-0.88234803446878185</v>
      </c>
      <c r="K42" s="136">
        <f t="shared" si="2"/>
        <v>0.50002733201754435</v>
      </c>
      <c r="L42" s="263"/>
      <c r="M42" s="243">
        <f>IF(M41&gt;'goal seek'!$F$28,MAX($T$7,M41*(1+O42)),MAX($T$7,M41+N41))</f>
        <v>-1.3667236251950321</v>
      </c>
      <c r="N42" s="14">
        <f t="shared" si="12"/>
        <v>-1.1006383732992009</v>
      </c>
      <c r="O42" s="135">
        <f t="shared" si="62"/>
        <v>-0.54467645180017576</v>
      </c>
      <c r="P42" s="9" t="str">
        <f t="shared" si="43"/>
        <v/>
      </c>
      <c r="Q42" s="18">
        <f t="shared" si="13"/>
        <v>-1.0496795472330414</v>
      </c>
      <c r="R42" s="102">
        <f t="shared" si="14"/>
        <v>-1.0323013295076373</v>
      </c>
      <c r="S42" s="18">
        <f t="shared" si="15"/>
        <v>-1.0337265609955979</v>
      </c>
      <c r="T42" s="136">
        <f t="shared" si="44"/>
        <v>-0.14333974138562858</v>
      </c>
      <c r="U42" s="6"/>
      <c r="V42" s="243">
        <f>IF(V41&gt;'goal seek'!$F$28,MAX($AC$7,V41*(1+X42)),MAX($AC$7,V41+W41))</f>
        <v>2.2531679793090755</v>
      </c>
      <c r="W42" s="14">
        <f t="shared" si="16"/>
        <v>-0.6221486671679286</v>
      </c>
      <c r="X42" s="135">
        <f t="shared" si="63"/>
        <v>-0.18436100953977144</v>
      </c>
      <c r="Y42" s="9">
        <f t="shared" si="45"/>
        <v>-0.21637570523935834</v>
      </c>
      <c r="Z42" s="18">
        <f t="shared" si="17"/>
        <v>-0.91809875604068203</v>
      </c>
      <c r="AA42" s="102">
        <f t="shared" si="18"/>
        <v>-0.94674832570825418</v>
      </c>
      <c r="AB42" s="18">
        <f t="shared" si="19"/>
        <v>-0.94439870220531885</v>
      </c>
      <c r="AC42" s="136">
        <f t="shared" si="46"/>
        <v>0.23630857731493041</v>
      </c>
      <c r="AD42" s="6"/>
      <c r="AE42" s="243">
        <f>IF(AE41&gt;'goal seek'!$F$28,MAX($AL$7,AE41*(1+AG42)),MAX($AL$7,AE41+AF41))</f>
        <v>-0.58339908489921122</v>
      </c>
      <c r="AF42" s="14">
        <f t="shared" si="20"/>
        <v>-0.92061130335346864</v>
      </c>
      <c r="AG42" s="135">
        <f t="shared" si="21"/>
        <v>-0.3751653102285476</v>
      </c>
      <c r="AH42" s="9" t="str">
        <f t="shared" si="47"/>
        <v/>
      </c>
      <c r="AI42" s="18">
        <f t="shared" si="22"/>
        <v>-1.0212061911125796</v>
      </c>
      <c r="AJ42" s="102">
        <f t="shared" si="23"/>
        <v>-1.0137881322371189</v>
      </c>
      <c r="AK42" s="18">
        <f t="shared" si="24"/>
        <v>-1.0143965059642701</v>
      </c>
      <c r="AL42" s="136">
        <f t="shared" si="48"/>
        <v>-6.118594309228545E-2</v>
      </c>
      <c r="AM42" s="6"/>
      <c r="AN42" s="243">
        <f>IF(AN41&gt;'goal seek'!$F$28,MAX($AL$7,AN41*(1+AP42)),MAX($AL$7,AN41+AO41))</f>
        <v>3.2627708351819971</v>
      </c>
      <c r="AO42" s="14">
        <f t="shared" si="25"/>
        <v>-0.48820827703543479</v>
      </c>
      <c r="AP42" s="135">
        <f t="shared" si="49"/>
        <v>-0.13015489087776477</v>
      </c>
      <c r="AQ42" s="9">
        <f t="shared" si="50"/>
        <v>-0.13015489087776477</v>
      </c>
      <c r="AR42" s="18">
        <f t="shared" si="26"/>
        <v>-0.88140032496044451</v>
      </c>
      <c r="AS42" s="102">
        <f t="shared" si="27"/>
        <v>-0.9228872363715207</v>
      </c>
      <c r="AT42" s="18">
        <f t="shared" si="28"/>
        <v>-0.91948479007837458</v>
      </c>
      <c r="AU42" s="136">
        <f t="shared" si="51"/>
        <v>0.34219407573994343</v>
      </c>
      <c r="AV42" s="6"/>
      <c r="AW42" s="243">
        <f t="shared" si="52"/>
        <v>1.0191828418675228</v>
      </c>
      <c r="AX42" s="730">
        <f t="shared" si="53"/>
        <v>-1.5293518698504489</v>
      </c>
      <c r="AY42" s="9">
        <f t="shared" si="54"/>
        <v>-0.60009065712097365</v>
      </c>
      <c r="AZ42" s="9">
        <f t="shared" si="55"/>
        <v>-0.60009065712097365</v>
      </c>
      <c r="BA42" s="18">
        <f t="shared" si="29"/>
        <v>-0.96295334243275577</v>
      </c>
      <c r="BB42" s="102">
        <f t="shared" si="30"/>
        <v>-0.97591249598908825</v>
      </c>
      <c r="BC42" s="18">
        <f t="shared" si="31"/>
        <v>-0.97484968310472675</v>
      </c>
      <c r="BD42" s="136">
        <f t="shared" si="56"/>
        <v>0.10689023170804828</v>
      </c>
      <c r="BE42" s="6"/>
      <c r="BF42" s="243">
        <f t="shared" si="57"/>
        <v>0.42795377134786117</v>
      </c>
      <c r="BG42" s="14">
        <f t="shared" si="32"/>
        <v>-0.10321967232035423</v>
      </c>
      <c r="BH42" s="9"/>
      <c r="BI42" s="9">
        <f t="shared" si="58"/>
        <v>-0.1943238570202841</v>
      </c>
      <c r="BJ42" s="18">
        <f t="shared" si="33"/>
        <v>-0.98444414861548879</v>
      </c>
      <c r="BK42" s="102">
        <f t="shared" si="34"/>
        <v>-0.98988568315677528</v>
      </c>
      <c r="BL42" s="18">
        <f t="shared" si="35"/>
        <v>-0.98943940917784312</v>
      </c>
      <c r="BM42" s="136">
        <f t="shared" si="59"/>
        <v>4.4883092513494233E-2</v>
      </c>
      <c r="BP42" s="540">
        <f t="shared" si="36"/>
        <v>530.2063215106964</v>
      </c>
      <c r="BQ42" s="541">
        <f t="shared" si="37"/>
        <v>653.13753124603215</v>
      </c>
      <c r="BR42" s="541">
        <f t="shared" si="38"/>
        <v>623.33465392385415</v>
      </c>
      <c r="BS42" s="541">
        <f t="shared" si="39"/>
        <v>649.87931685197236</v>
      </c>
      <c r="BT42" s="541">
        <f t="shared" si="60"/>
        <v>592.28890259865113</v>
      </c>
      <c r="BU42" s="541">
        <f t="shared" si="61"/>
        <v>648.73330381638675</v>
      </c>
      <c r="BV42" s="540">
        <f t="shared" si="4"/>
        <v>110.2063215106964</v>
      </c>
      <c r="BW42" s="541">
        <f t="shared" si="5"/>
        <v>233.13753124603215</v>
      </c>
      <c r="BX42" s="541">
        <f t="shared" si="6"/>
        <v>203.33465392385415</v>
      </c>
      <c r="BY42" s="541">
        <f t="shared" si="7"/>
        <v>229.87931685197236</v>
      </c>
      <c r="BZ42" s="541">
        <f t="shared" si="8"/>
        <v>172.28890259865113</v>
      </c>
      <c r="CA42" s="542">
        <f t="shared" si="8"/>
        <v>228.73330381638675</v>
      </c>
    </row>
    <row r="43" spans="1:79" x14ac:dyDescent="0.2">
      <c r="A43" s="239">
        <f t="shared" si="40"/>
        <v>29</v>
      </c>
      <c r="B43" s="822">
        <v>9586707.9859999996</v>
      </c>
      <c r="C43" s="239">
        <f t="shared" si="41"/>
        <v>2047</v>
      </c>
      <c r="E43" s="254">
        <f>IF(E42&gt;$K$10,MAX($K$7,E42*(1+$K$9)),MAX($K$7,scenarios!E42+scenarios!F42))</f>
        <v>4.397350372787681</v>
      </c>
      <c r="F43" s="14">
        <f t="shared" si="9"/>
        <v>-0.37033764803176084</v>
      </c>
      <c r="G43" s="9">
        <f t="shared" si="42"/>
        <v>-7.767656910741183E-2</v>
      </c>
      <c r="H43" s="18">
        <f t="shared" si="1"/>
        <v>-0.84015906982367128</v>
      </c>
      <c r="I43" s="102">
        <f t="shared" si="10"/>
        <v>-0.8960724313727455</v>
      </c>
      <c r="J43" s="18">
        <f t="shared" si="11"/>
        <v>-0.8914868354999903</v>
      </c>
      <c r="K43" s="136">
        <f t="shared" si="2"/>
        <v>0.45869242906004604</v>
      </c>
      <c r="L43" s="263"/>
      <c r="M43" s="243">
        <f>IF(M42&gt;'goal seek'!$F$28,MAX($T$7,M42*(1+O43)),MAX($T$7,M42+N42))</f>
        <v>-2.467361998494233</v>
      </c>
      <c r="N43" s="14">
        <f t="shared" si="12"/>
        <v>-1.1006383732992009</v>
      </c>
      <c r="O43" s="135">
        <f t="shared" si="62"/>
        <v>-0.62382445036681089</v>
      </c>
      <c r="P43" s="9" t="str">
        <f t="shared" si="43"/>
        <v/>
      </c>
      <c r="Q43" s="18">
        <f t="shared" si="13"/>
        <v>-1.0896870623186263</v>
      </c>
      <c r="R43" s="102">
        <f t="shared" si="14"/>
        <v>-1.0583139644758917</v>
      </c>
      <c r="S43" s="18">
        <f t="shared" si="15"/>
        <v>-1.0608869513970396</v>
      </c>
      <c r="T43" s="136">
        <f t="shared" si="44"/>
        <v>-0.25737322990305517</v>
      </c>
      <c r="U43" s="6"/>
      <c r="V43" s="243">
        <f>IF(V42&gt;'goal seek'!$F$28,MAX($AC$7,V42*(1+X43)),MAX($AC$7,V42+W42))</f>
        <v>1.6310193121411469</v>
      </c>
      <c r="W43" s="14">
        <f t="shared" si="16"/>
        <v>-0.6221486671679286</v>
      </c>
      <c r="X43" s="135">
        <f t="shared" si="63"/>
        <v>-0.19083643298360881</v>
      </c>
      <c r="Y43" s="9">
        <f t="shared" si="45"/>
        <v>-0.27612174186795779</v>
      </c>
      <c r="Z43" s="18">
        <f t="shared" si="17"/>
        <v>-0.94071347018388152</v>
      </c>
      <c r="AA43" s="102">
        <f t="shared" si="18"/>
        <v>-0.9614522707710762</v>
      </c>
      <c r="AB43" s="18">
        <f t="shared" si="19"/>
        <v>-0.95975142940250524</v>
      </c>
      <c r="AC43" s="136">
        <f t="shared" si="46"/>
        <v>0.17013340914556016</v>
      </c>
      <c r="AD43" s="6"/>
      <c r="AE43" s="243">
        <f>IF(AE42&gt;'goal seek'!$F$28,MAX($AL$7,AE42*(1+AG43)),MAX($AL$7,AE42+AF42))</f>
        <v>-1.5040103882526799</v>
      </c>
      <c r="AF43" s="14">
        <f t="shared" si="20"/>
        <v>-0.92061130335346864</v>
      </c>
      <c r="AG43" s="135">
        <f t="shared" si="21"/>
        <v>-0.40332472064587455</v>
      </c>
      <c r="AH43" s="9" t="str">
        <f t="shared" si="47"/>
        <v/>
      </c>
      <c r="AI43" s="18">
        <f t="shared" si="22"/>
        <v>-1.0546698350308548</v>
      </c>
      <c r="AJ43" s="102">
        <f t="shared" si="23"/>
        <v>-1.0355459832831433</v>
      </c>
      <c r="AK43" s="18">
        <f t="shared" si="24"/>
        <v>-1.0371143786222163</v>
      </c>
      <c r="AL43" s="136">
        <f t="shared" si="48"/>
        <v>-0.15688496931888085</v>
      </c>
      <c r="AM43" s="6"/>
      <c r="AN43" s="243">
        <f>IF(AN42&gt;'goal seek'!$F$28,MAX($AL$7,AN42*(1+AP43)),MAX($AL$7,AN42+AO42))</f>
        <v>2.8308723206342146</v>
      </c>
      <c r="AO43" s="14">
        <f t="shared" si="25"/>
        <v>-0.4318985145477825</v>
      </c>
      <c r="AP43" s="135">
        <f t="shared" si="49"/>
        <v>-0.1323716976658863</v>
      </c>
      <c r="AQ43" s="9">
        <f t="shared" si="50"/>
        <v>-0.1323716976658863</v>
      </c>
      <c r="AR43" s="18">
        <f t="shared" si="26"/>
        <v>-0.8970995652880529</v>
      </c>
      <c r="AS43" s="102">
        <f t="shared" si="27"/>
        <v>-0.93309478380473077</v>
      </c>
      <c r="AT43" s="18">
        <f t="shared" si="28"/>
        <v>-0.93014272510362539</v>
      </c>
      <c r="AU43" s="136">
        <f t="shared" si="51"/>
        <v>0.29529138936622396</v>
      </c>
      <c r="AV43" s="6"/>
      <c r="AW43" s="243">
        <f t="shared" si="52"/>
        <v>-0.51016902798292607</v>
      </c>
      <c r="AX43" s="730">
        <f t="shared" si="53"/>
        <v>-1.5293518698504489</v>
      </c>
      <c r="AY43" s="9">
        <f t="shared" si="54"/>
        <v>-1.5005667354525967</v>
      </c>
      <c r="AZ43" s="9">
        <f t="shared" si="55"/>
        <v>-1.5005667354525967</v>
      </c>
      <c r="BA43" s="18">
        <f t="shared" si="29"/>
        <v>-1.0185443244378656</v>
      </c>
      <c r="BB43" s="102">
        <f t="shared" si="30"/>
        <v>-1.0120574032479435</v>
      </c>
      <c r="BC43" s="18">
        <f t="shared" si="31"/>
        <v>-1.0125894120238652</v>
      </c>
      <c r="BD43" s="136">
        <f t="shared" si="56"/>
        <v>-5.3216289546730133E-2</v>
      </c>
      <c r="BE43" s="6"/>
      <c r="BF43" s="243">
        <f t="shared" si="57"/>
        <v>0.3444232447171347</v>
      </c>
      <c r="BG43" s="14">
        <f t="shared" si="32"/>
        <v>-8.3530526630726465E-2</v>
      </c>
      <c r="BH43" s="9"/>
      <c r="BI43" s="9">
        <f t="shared" si="58"/>
        <v>-0.19518586404237781</v>
      </c>
      <c r="BJ43" s="18">
        <f t="shared" si="33"/>
        <v>-0.98748043090888948</v>
      </c>
      <c r="BK43" s="102">
        <f t="shared" si="34"/>
        <v>-0.99185985482901839</v>
      </c>
      <c r="BL43" s="18">
        <f t="shared" si="35"/>
        <v>-0.99150068722226381</v>
      </c>
      <c r="BM43" s="136">
        <f t="shared" si="59"/>
        <v>3.5927165531704421E-2</v>
      </c>
      <c r="BP43" s="540">
        <f t="shared" si="36"/>
        <v>534.60367188348403</v>
      </c>
      <c r="BQ43" s="541">
        <f t="shared" si="37"/>
        <v>650.67016924753796</v>
      </c>
      <c r="BR43" s="541">
        <f t="shared" si="38"/>
        <v>624.96567323599527</v>
      </c>
      <c r="BS43" s="541">
        <f t="shared" si="39"/>
        <v>648.37530646371965</v>
      </c>
      <c r="BT43" s="541">
        <f t="shared" si="60"/>
        <v>595.11977491928531</v>
      </c>
      <c r="BU43" s="541">
        <f t="shared" si="61"/>
        <v>648.22313478840385</v>
      </c>
      <c r="BV43" s="540">
        <f t="shared" si="4"/>
        <v>114.60367188348403</v>
      </c>
      <c r="BW43" s="541">
        <f t="shared" si="5"/>
        <v>230.67016924753796</v>
      </c>
      <c r="BX43" s="541">
        <f t="shared" si="6"/>
        <v>204.96567323599527</v>
      </c>
      <c r="BY43" s="541">
        <f t="shared" si="7"/>
        <v>228.37530646371965</v>
      </c>
      <c r="BZ43" s="541">
        <f t="shared" si="8"/>
        <v>175.11977491928531</v>
      </c>
      <c r="CA43" s="542">
        <f t="shared" si="8"/>
        <v>228.22313478840385</v>
      </c>
    </row>
    <row r="44" spans="1:79" x14ac:dyDescent="0.2">
      <c r="A44" s="239">
        <f t="shared" si="40"/>
        <v>30</v>
      </c>
      <c r="B44" s="822">
        <v>9637357.6370000001</v>
      </c>
      <c r="C44" s="239">
        <f t="shared" si="41"/>
        <v>2048</v>
      </c>
      <c r="E44" s="254">
        <f>IF(E43&gt;$K$10,MAX($K$7,E43*(1+$K$9)),MAX($K$7,scenarios!E43+scenarios!F43))</f>
        <v>4.0557792826663359</v>
      </c>
      <c r="F44" s="14">
        <f t="shared" si="9"/>
        <v>-0.34157109012134512</v>
      </c>
      <c r="G44" s="9">
        <f t="shared" si="42"/>
        <v>-7.7676569107411719E-2</v>
      </c>
      <c r="H44" s="18">
        <f t="shared" si="1"/>
        <v>-0.85257496488270579</v>
      </c>
      <c r="I44" s="102">
        <f t="shared" si="10"/>
        <v>-0.90414516833938563</v>
      </c>
      <c r="J44" s="18">
        <f t="shared" si="11"/>
        <v>-0.89991576582133925</v>
      </c>
      <c r="K44" s="136">
        <f t="shared" si="2"/>
        <v>0.4208393457450702</v>
      </c>
      <c r="L44" s="263"/>
      <c r="M44" s="243">
        <f>IF(M43&gt;'goal seek'!$F$28,MAX($T$7,M43*(1+O44)),MAX($T$7,M43+N43))</f>
        <v>-3.5680003717934339</v>
      </c>
      <c r="N44" s="14">
        <f t="shared" si="12"/>
        <v>-1.1006383732992009</v>
      </c>
      <c r="O44" s="135">
        <f t="shared" si="62"/>
        <v>-0.71447359912343489</v>
      </c>
      <c r="P44" s="9" t="str">
        <f t="shared" si="43"/>
        <v/>
      </c>
      <c r="Q44" s="18">
        <f t="shared" si="13"/>
        <v>-1.1296945774042113</v>
      </c>
      <c r="R44" s="102">
        <f t="shared" si="14"/>
        <v>-1.0843265994441458</v>
      </c>
      <c r="S44" s="18">
        <f t="shared" si="15"/>
        <v>-1.0880473417984813</v>
      </c>
      <c r="T44" s="136">
        <f t="shared" si="44"/>
        <v>-0.37022600034007996</v>
      </c>
      <c r="U44" s="6"/>
      <c r="V44" s="243">
        <f>IF(V43&gt;'goal seek'!$F$28,MAX($AC$7,V43*(1+X44)),MAX($AC$7,V43+W43))</f>
        <v>1.0088706449732183</v>
      </c>
      <c r="W44" s="14">
        <f t="shared" si="16"/>
        <v>-0.6221486671679286</v>
      </c>
      <c r="X44" s="135">
        <f t="shared" si="63"/>
        <v>-0.19731185642744617</v>
      </c>
      <c r="Y44" s="9">
        <f t="shared" si="45"/>
        <v>-0.38144776247388079</v>
      </c>
      <c r="Z44" s="18">
        <f t="shared" si="17"/>
        <v>-0.96332818432708089</v>
      </c>
      <c r="AA44" s="102">
        <f t="shared" si="18"/>
        <v>-0.97615621583389811</v>
      </c>
      <c r="AB44" s="18">
        <f t="shared" si="19"/>
        <v>-0.97510415659969152</v>
      </c>
      <c r="AC44" s="136">
        <f t="shared" si="46"/>
        <v>0.10468332534427645</v>
      </c>
      <c r="AD44" s="6"/>
      <c r="AE44" s="243">
        <f>IF(AE43&gt;'goal seek'!$F$28,MAX($AL$7,AE43*(1+AG44)),MAX($AL$7,AE43+AF43))</f>
        <v>-2.4246216916061485</v>
      </c>
      <c r="AF44" s="14">
        <f t="shared" si="20"/>
        <v>-0.92061130335346864</v>
      </c>
      <c r="AG44" s="135">
        <f t="shared" si="21"/>
        <v>-0.43254675032423273</v>
      </c>
      <c r="AH44" s="9" t="str">
        <f t="shared" si="47"/>
        <v/>
      </c>
      <c r="AI44" s="18">
        <f t="shared" si="22"/>
        <v>-1.0881334789491297</v>
      </c>
      <c r="AJ44" s="102">
        <f t="shared" si="23"/>
        <v>-1.0573038343291674</v>
      </c>
      <c r="AK44" s="18">
        <f t="shared" si="24"/>
        <v>-1.0598322512801628</v>
      </c>
      <c r="AL44" s="136">
        <f t="shared" si="48"/>
        <v>-0.25158573365561077</v>
      </c>
      <c r="AM44" s="6"/>
      <c r="AN44" s="243">
        <f>IF(AN43&gt;'goal seek'!$F$28,MAX($AL$7,AN43*(1+AP44)),MAX($AL$7,AN43+AO43))</f>
        <v>2.3989738060864321</v>
      </c>
      <c r="AO44" s="14">
        <f t="shared" si="25"/>
        <v>-0.4318985145477825</v>
      </c>
      <c r="AP44" s="135">
        <f t="shared" si="49"/>
        <v>-0.13454705784609966</v>
      </c>
      <c r="AQ44" s="9">
        <f t="shared" si="50"/>
        <v>-0.1525672886762417</v>
      </c>
      <c r="AR44" s="18">
        <f t="shared" si="26"/>
        <v>-0.91279880561566129</v>
      </c>
      <c r="AS44" s="102">
        <f t="shared" si="27"/>
        <v>-0.94330233123794072</v>
      </c>
      <c r="AT44" s="18">
        <f t="shared" si="28"/>
        <v>-0.94080066012887609</v>
      </c>
      <c r="AU44" s="136">
        <f t="shared" si="51"/>
        <v>0.24892443514560755</v>
      </c>
      <c r="AV44" s="6"/>
      <c r="AW44" s="243">
        <f t="shared" si="52"/>
        <v>-2.0395208978333752</v>
      </c>
      <c r="AX44" s="730">
        <f t="shared" si="53"/>
        <v>-1.5293518698504491</v>
      </c>
      <c r="AY44" s="9">
        <f t="shared" si="54"/>
        <v>2.9977356247930289</v>
      </c>
      <c r="AZ44" s="9">
        <f t="shared" si="55"/>
        <v>2.9977356247930289</v>
      </c>
      <c r="BA44" s="18">
        <f t="shared" si="29"/>
        <v>-1.0741353064429755</v>
      </c>
      <c r="BB44" s="102">
        <f t="shared" si="30"/>
        <v>-1.0482023105067986</v>
      </c>
      <c r="BC44" s="18">
        <f t="shared" si="31"/>
        <v>-1.0503291409430036</v>
      </c>
      <c r="BD44" s="136">
        <f t="shared" si="56"/>
        <v>-0.21162656556431944</v>
      </c>
      <c r="BE44" s="6"/>
      <c r="BF44" s="243">
        <f t="shared" si="57"/>
        <v>0.27691860830715598</v>
      </c>
      <c r="BG44" s="14">
        <f t="shared" si="32"/>
        <v>-6.7504636409978724E-2</v>
      </c>
      <c r="BH44" s="9"/>
      <c r="BI44" s="9">
        <f t="shared" si="58"/>
        <v>-0.19599326539478601</v>
      </c>
      <c r="BJ44" s="18">
        <f t="shared" si="33"/>
        <v>-0.98993418213639184</v>
      </c>
      <c r="BK44" s="102">
        <f t="shared" si="34"/>
        <v>-0.99345526846186671</v>
      </c>
      <c r="BL44" s="18">
        <f t="shared" si="35"/>
        <v>-0.99316649528718393</v>
      </c>
      <c r="BM44" s="136">
        <f t="shared" si="59"/>
        <v>2.873387278313743E-2</v>
      </c>
      <c r="BP44" s="540">
        <f t="shared" si="36"/>
        <v>538.65945116615035</v>
      </c>
      <c r="BQ44" s="541">
        <f t="shared" si="37"/>
        <v>647.1021688757445</v>
      </c>
      <c r="BR44" s="541">
        <f t="shared" si="38"/>
        <v>625.97454388096844</v>
      </c>
      <c r="BS44" s="541">
        <f t="shared" si="39"/>
        <v>645.9506847721135</v>
      </c>
      <c r="BT44" s="541">
        <f t="shared" si="60"/>
        <v>597.51874872537178</v>
      </c>
      <c r="BU44" s="541">
        <f t="shared" si="61"/>
        <v>646.18361389057043</v>
      </c>
      <c r="BV44" s="540">
        <f t="shared" si="4"/>
        <v>118.65945116615035</v>
      </c>
      <c r="BW44" s="541">
        <f t="shared" si="5"/>
        <v>227.1021688757445</v>
      </c>
      <c r="BX44" s="541">
        <f t="shared" si="6"/>
        <v>205.97454388096844</v>
      </c>
      <c r="BY44" s="541">
        <f t="shared" si="7"/>
        <v>225.9506847721135</v>
      </c>
      <c r="BZ44" s="541">
        <f t="shared" si="8"/>
        <v>177.51874872537178</v>
      </c>
      <c r="CA44" s="542">
        <f t="shared" si="8"/>
        <v>226.18361389057043</v>
      </c>
    </row>
    <row r="45" spans="1:79" x14ac:dyDescent="0.2">
      <c r="A45" s="239">
        <f t="shared" si="40"/>
        <v>31</v>
      </c>
      <c r="B45" s="822">
        <v>9686800.3570000008</v>
      </c>
      <c r="C45" s="239">
        <f t="shared" si="41"/>
        <v>2049</v>
      </c>
      <c r="E45" s="254">
        <f>IF(E44&gt;$K$10,MAX($K$7,E44*(1+$K$9)),MAX($K$7,scenarios!E44+scenarios!F44))</f>
        <v>3.7407402629318951</v>
      </c>
      <c r="F45" s="14">
        <f t="shared" si="9"/>
        <v>-0.31503901973444082</v>
      </c>
      <c r="G45" s="9">
        <f t="shared" si="42"/>
        <v>-7.767656910741183E-2</v>
      </c>
      <c r="H45" s="18">
        <f t="shared" si="1"/>
        <v>-0.86402643581115701</v>
      </c>
      <c r="I45" s="102">
        <f t="shared" si="10"/>
        <v>-0.91159084279515068</v>
      </c>
      <c r="J45" s="18">
        <f t="shared" si="11"/>
        <v>-0.90768996575408045</v>
      </c>
      <c r="K45" s="136">
        <f t="shared" si="2"/>
        <v>0.38616881994772534</v>
      </c>
      <c r="L45" s="263"/>
      <c r="M45" s="243">
        <f>IF(M44&gt;'goal seek'!$F$28,MAX($T$7,M44*(1+O45)),MAX($T$7,M44+N44))</f>
        <v>-4.3499999999999996</v>
      </c>
      <c r="N45" s="14">
        <f t="shared" si="12"/>
        <v>-0.78199962820656577</v>
      </c>
      <c r="O45" s="135">
        <f t="shared" si="62"/>
        <v>-0.81829515265750674</v>
      </c>
      <c r="P45" s="9" t="str">
        <f t="shared" si="43"/>
        <v/>
      </c>
      <c r="Q45" s="18">
        <f t="shared" si="13"/>
        <v>-1.1581197738005675</v>
      </c>
      <c r="R45" s="102">
        <f t="shared" si="14"/>
        <v>-1.1028084835646064</v>
      </c>
      <c r="S45" s="18">
        <f t="shared" si="15"/>
        <v>-1.1073447020497025</v>
      </c>
      <c r="T45" s="136">
        <f t="shared" si="44"/>
        <v>-0.44906469006110433</v>
      </c>
      <c r="U45" s="6"/>
      <c r="V45" s="243">
        <f>IF(V44&gt;'goal seek'!$F$28,MAX($AC$7,V44*(1+X45)),MAX($AC$7,V44+W44))</f>
        <v>0.38672197780528972</v>
      </c>
      <c r="W45" s="14">
        <f t="shared" si="16"/>
        <v>-0.6221486671679286</v>
      </c>
      <c r="X45" s="135">
        <f t="shared" si="63"/>
        <v>-0.20378727987128353</v>
      </c>
      <c r="Y45" s="9">
        <f t="shared" si="45"/>
        <v>-0.61667833261661043</v>
      </c>
      <c r="Z45" s="18">
        <f t="shared" si="17"/>
        <v>-0.98594289847028027</v>
      </c>
      <c r="AA45" s="102">
        <f t="shared" si="18"/>
        <v>-0.99086016089672024</v>
      </c>
      <c r="AB45" s="18">
        <f t="shared" si="19"/>
        <v>-0.99045688379687813</v>
      </c>
      <c r="AC45" s="136">
        <f t="shared" si="46"/>
        <v>3.9922571288034413E-2</v>
      </c>
      <c r="AD45" s="6"/>
      <c r="AE45" s="243">
        <f>IF(AE44&gt;'goal seek'!$F$28,MAX($AL$7,AE44*(1+AG45)),MAX($AL$7,AE44+AF44))</f>
        <v>-3.3452329949596171</v>
      </c>
      <c r="AF45" s="14">
        <f t="shared" si="20"/>
        <v>-0.92061130335346864</v>
      </c>
      <c r="AG45" s="135">
        <f t="shared" si="21"/>
        <v>-0.4628313992636221</v>
      </c>
      <c r="AH45" s="9" t="str">
        <f t="shared" si="47"/>
        <v/>
      </c>
      <c r="AI45" s="18">
        <f t="shared" si="22"/>
        <v>-1.1215971228674047</v>
      </c>
      <c r="AJ45" s="102">
        <f t="shared" si="23"/>
        <v>-1.0790616853751918</v>
      </c>
      <c r="AK45" s="18">
        <f t="shared" si="24"/>
        <v>-1.082550123938109</v>
      </c>
      <c r="AL45" s="136">
        <f t="shared" si="48"/>
        <v>-0.34533931449740696</v>
      </c>
      <c r="AM45" s="6"/>
      <c r="AN45" s="243">
        <f>IF(AN44&gt;'goal seek'!$F$28,MAX($AL$7,AN44*(1+AP45)),MAX($AL$7,AN44+AO44))</f>
        <v>1.9670752915386496</v>
      </c>
      <c r="AO45" s="14">
        <f t="shared" si="25"/>
        <v>-0.4318985145477825</v>
      </c>
      <c r="AP45" s="135">
        <f t="shared" si="49"/>
        <v>-0.13668321271118261</v>
      </c>
      <c r="AQ45" s="9">
        <f t="shared" si="50"/>
        <v>-0.180034693772818</v>
      </c>
      <c r="AR45" s="18">
        <f t="shared" si="26"/>
        <v>-0.92849804594326968</v>
      </c>
      <c r="AS45" s="102">
        <f t="shared" si="27"/>
        <v>-0.95350987867115078</v>
      </c>
      <c r="AT45" s="18">
        <f t="shared" si="28"/>
        <v>-0.9514585951541269</v>
      </c>
      <c r="AU45" s="136">
        <f t="shared" si="51"/>
        <v>0.20306759910842759</v>
      </c>
      <c r="AV45" s="6"/>
      <c r="AW45" s="243">
        <f t="shared" si="52"/>
        <v>-3.5688727676838239</v>
      </c>
      <c r="AX45" s="730">
        <f t="shared" si="53"/>
        <v>-1.5293518698504487</v>
      </c>
      <c r="AY45" s="9">
        <f t="shared" si="54"/>
        <v>0.74985839638863738</v>
      </c>
      <c r="AZ45" s="9">
        <f t="shared" si="55"/>
        <v>0.74985839638863738</v>
      </c>
      <c r="BA45" s="18">
        <f t="shared" si="29"/>
        <v>-1.1297262884480856</v>
      </c>
      <c r="BB45" s="102">
        <f t="shared" si="30"/>
        <v>-1.0843472177656537</v>
      </c>
      <c r="BC45" s="18">
        <f t="shared" si="31"/>
        <v>-1.0880688698621419</v>
      </c>
      <c r="BD45" s="136">
        <f t="shared" si="56"/>
        <v>-0.36842637776723036</v>
      </c>
      <c r="BE45" s="6"/>
      <c r="BF45" s="243">
        <f t="shared" si="57"/>
        <v>0.22243457015738544</v>
      </c>
      <c r="BG45" s="14">
        <f t="shared" si="32"/>
        <v>-5.4484038149770542E-2</v>
      </c>
      <c r="BH45" s="9"/>
      <c r="BI45" s="9">
        <f t="shared" si="58"/>
        <v>-0.196751090447982</v>
      </c>
      <c r="BJ45" s="18">
        <f t="shared" si="33"/>
        <v>-0.99191464277730745</v>
      </c>
      <c r="BK45" s="102">
        <f t="shared" si="34"/>
        <v>-0.99474295152868375</v>
      </c>
      <c r="BL45" s="18">
        <f t="shared" si="35"/>
        <v>-0.99451099479101202</v>
      </c>
      <c r="BM45" s="136">
        <f t="shared" si="59"/>
        <v>2.2962646277379598E-2</v>
      </c>
      <c r="BP45" s="540">
        <f t="shared" si="36"/>
        <v>542.40019142908227</v>
      </c>
      <c r="BQ45" s="541">
        <f t="shared" si="37"/>
        <v>642.75216887574447</v>
      </c>
      <c r="BR45" s="541">
        <f t="shared" si="38"/>
        <v>626.36126585877378</v>
      </c>
      <c r="BS45" s="541">
        <f t="shared" si="39"/>
        <v>642.60545177715392</v>
      </c>
      <c r="BT45" s="541">
        <f t="shared" si="60"/>
        <v>599.48582401691044</v>
      </c>
      <c r="BU45" s="541">
        <f t="shared" si="61"/>
        <v>642.61474112288658</v>
      </c>
      <c r="BV45" s="540">
        <f t="shared" si="4"/>
        <v>122.40019142908227</v>
      </c>
      <c r="BW45" s="541">
        <f t="shared" si="5"/>
        <v>222.75216887574447</v>
      </c>
      <c r="BX45" s="541">
        <f t="shared" si="6"/>
        <v>206.36126585877378</v>
      </c>
      <c r="BY45" s="541">
        <f t="shared" si="7"/>
        <v>222.60545177715392</v>
      </c>
      <c r="BZ45" s="541">
        <f t="shared" si="8"/>
        <v>179.48582401691044</v>
      </c>
      <c r="CA45" s="542">
        <f t="shared" si="8"/>
        <v>222.61474112288658</v>
      </c>
    </row>
    <row r="46" spans="1:79" x14ac:dyDescent="0.2">
      <c r="A46" s="239">
        <f t="shared" si="40"/>
        <v>32</v>
      </c>
      <c r="B46" s="822">
        <v>9735033.9900000002</v>
      </c>
      <c r="C46" s="239">
        <f t="shared" si="41"/>
        <v>2050</v>
      </c>
      <c r="E46" s="254">
        <f>IF(E45&gt;$K$10,MAX($K$7,E45*(1+$K$9)),MAX($K$7,scenarios!E45+scenarios!F45))</f>
        <v>3.4257012431974543</v>
      </c>
      <c r="F46" s="14">
        <f t="shared" si="9"/>
        <v>-0.31503901973444082</v>
      </c>
      <c r="G46" s="9">
        <f t="shared" si="42"/>
        <v>-8.4218362567499261E-2</v>
      </c>
      <c r="H46" s="18">
        <f t="shared" si="1"/>
        <v>-0.87547790673960801</v>
      </c>
      <c r="I46" s="102">
        <f t="shared" si="10"/>
        <v>-0.91903651725091573</v>
      </c>
      <c r="J46" s="18">
        <f t="shared" si="11"/>
        <v>-0.91546416568682165</v>
      </c>
      <c r="K46" s="136">
        <f t="shared" si="2"/>
        <v>0.35189412247727075</v>
      </c>
      <c r="L46" s="263"/>
      <c r="M46" s="243">
        <f>IF(M45&gt;'goal seek'!$F$28,MAX($T$7,M45*(1+O46)),MAX($T$7,M45+N45))</f>
        <v>-4.3499999999999996</v>
      </c>
      <c r="N46" s="14">
        <f t="shared" si="12"/>
        <v>0</v>
      </c>
      <c r="O46" s="135">
        <f t="shared" si="62"/>
        <v>-0.93720321882332935</v>
      </c>
      <c r="P46" s="9" t="str">
        <f t="shared" si="43"/>
        <v/>
      </c>
      <c r="Q46" s="18">
        <f t="shared" si="13"/>
        <v>-1.1581197738005675</v>
      </c>
      <c r="R46" s="102">
        <f t="shared" si="14"/>
        <v>-1.1028084835646064</v>
      </c>
      <c r="S46" s="18">
        <f t="shared" si="15"/>
        <v>-1.1073447020497025</v>
      </c>
      <c r="T46" s="136">
        <f t="shared" si="44"/>
        <v>-0.44683973414662931</v>
      </c>
      <c r="U46" s="6"/>
      <c r="V46" s="243">
        <f>IF(V45&gt;'goal seek'!$F$28,MAX($AC$7,V45*(1+X46)),MAX($AC$7,V45+W45))</f>
        <v>-0.23542668936263889</v>
      </c>
      <c r="W46" s="14">
        <f t="shared" si="16"/>
        <v>-0.6221486671679286</v>
      </c>
      <c r="X46" s="135">
        <f t="shared" si="63"/>
        <v>-0.2102627033151209</v>
      </c>
      <c r="Y46" s="9" t="str">
        <f t="shared" si="45"/>
        <v/>
      </c>
      <c r="Z46" s="18">
        <f t="shared" si="17"/>
        <v>-1.0085576126134799</v>
      </c>
      <c r="AA46" s="102">
        <f t="shared" si="18"/>
        <v>-1.0055641059595422</v>
      </c>
      <c r="AB46" s="18">
        <f t="shared" si="19"/>
        <v>-1.0058096109940644</v>
      </c>
      <c r="AC46" s="136">
        <f t="shared" si="46"/>
        <v>-2.4183448111683367E-2</v>
      </c>
      <c r="AD46" s="6"/>
      <c r="AE46" s="243">
        <f>IF(AE45&gt;'goal seek'!$F$28,MAX($AL$7,AE45*(1+AG46)),MAX($AL$7,AE45+AF45))</f>
        <v>-4.2658442983130858</v>
      </c>
      <c r="AF46" s="14">
        <f t="shared" si="20"/>
        <v>-0.92061130335346864</v>
      </c>
      <c r="AG46" s="135">
        <f t="shared" si="21"/>
        <v>-0.49417866746404265</v>
      </c>
      <c r="AH46" s="9" t="str">
        <f t="shared" si="47"/>
        <v/>
      </c>
      <c r="AI46" s="18">
        <f t="shared" si="22"/>
        <v>-1.1550607667856798</v>
      </c>
      <c r="AJ46" s="102">
        <f t="shared" si="23"/>
        <v>-1.1008195364212161</v>
      </c>
      <c r="AK46" s="18">
        <f t="shared" si="24"/>
        <v>-1.1052679965960552</v>
      </c>
      <c r="AL46" s="136">
        <f t="shared" si="48"/>
        <v>-0.43819511084347901</v>
      </c>
      <c r="AM46" s="6"/>
      <c r="AN46" s="243">
        <f>IF(AN45&gt;'goal seek'!$F$28,MAX($AL$7,AN45*(1+AP46)),MAX($AL$7,AN45+AO45))</f>
        <v>1.5351767769908671</v>
      </c>
      <c r="AO46" s="14">
        <f t="shared" si="25"/>
        <v>-0.4318985145477825</v>
      </c>
      <c r="AP46" s="135">
        <f t="shared" si="49"/>
        <v>-0.13878220855082629</v>
      </c>
      <c r="AQ46" s="9">
        <f t="shared" si="50"/>
        <v>-0.2195637942307489</v>
      </c>
      <c r="AR46" s="18">
        <f t="shared" si="26"/>
        <v>-0.94419728627087807</v>
      </c>
      <c r="AS46" s="102">
        <f t="shared" si="27"/>
        <v>-0.96371742610436073</v>
      </c>
      <c r="AT46" s="18">
        <f t="shared" si="28"/>
        <v>-0.9621165301793777</v>
      </c>
      <c r="AU46" s="136">
        <f t="shared" si="51"/>
        <v>0.15769608802268464</v>
      </c>
      <c r="AV46" s="6"/>
      <c r="AW46" s="243">
        <f t="shared" si="52"/>
        <v>-4.3499999999999996</v>
      </c>
      <c r="AX46" s="730">
        <f t="shared" si="53"/>
        <v>-0.78112723231617576</v>
      </c>
      <c r="AY46" s="9">
        <f t="shared" si="54"/>
        <v>0.21887225551700529</v>
      </c>
      <c r="AZ46" s="9">
        <f t="shared" si="55"/>
        <v>0.21887225551700529</v>
      </c>
      <c r="BA46" s="18">
        <f t="shared" si="29"/>
        <v>-1.1581197738005675</v>
      </c>
      <c r="BB46" s="102">
        <f t="shared" si="30"/>
        <v>-1.1028084835646064</v>
      </c>
      <c r="BC46" s="18">
        <f t="shared" si="31"/>
        <v>-1.1073447020497025</v>
      </c>
      <c r="BD46" s="136">
        <f t="shared" si="56"/>
        <v>-0.44683973414662931</v>
      </c>
      <c r="BE46" s="6"/>
      <c r="BF46" s="243">
        <f t="shared" si="57"/>
        <v>0.17851180150263735</v>
      </c>
      <c r="BG46" s="14">
        <f t="shared" si="32"/>
        <v>-4.392276865474809E-2</v>
      </c>
      <c r="BH46" s="9"/>
      <c r="BI46" s="9">
        <f t="shared" si="58"/>
        <v>-0.19746376933976661</v>
      </c>
      <c r="BJ46" s="18">
        <f t="shared" si="33"/>
        <v>-0.99351120789095893</v>
      </c>
      <c r="BK46" s="102">
        <f t="shared" si="34"/>
        <v>-0.99578102813543168</v>
      </c>
      <c r="BL46" s="18">
        <f t="shared" si="35"/>
        <v>-0.99559487444950434</v>
      </c>
      <c r="BM46" s="136">
        <f t="shared" si="59"/>
        <v>1.8337049638040077E-2</v>
      </c>
      <c r="BP46" s="540">
        <f t="shared" si="36"/>
        <v>545.82589267227968</v>
      </c>
      <c r="BQ46" s="541">
        <f t="shared" si="37"/>
        <v>638.40216887574445</v>
      </c>
      <c r="BR46" s="541">
        <f t="shared" si="38"/>
        <v>626.12583916941117</v>
      </c>
      <c r="BS46" s="541">
        <f t="shared" si="39"/>
        <v>638.33960747884078</v>
      </c>
      <c r="BT46" s="541">
        <f t="shared" si="60"/>
        <v>601.02100079390129</v>
      </c>
      <c r="BU46" s="541">
        <f t="shared" si="61"/>
        <v>638.26474112288656</v>
      </c>
      <c r="BV46" s="540">
        <f t="shared" si="4"/>
        <v>125.82589267227968</v>
      </c>
      <c r="BW46" s="541">
        <f t="shared" si="5"/>
        <v>218.40216887574445</v>
      </c>
      <c r="BX46" s="541">
        <f t="shared" si="6"/>
        <v>206.12583916941117</v>
      </c>
      <c r="BY46" s="541">
        <f t="shared" si="7"/>
        <v>218.33960747884078</v>
      </c>
      <c r="BZ46" s="541">
        <f t="shared" si="8"/>
        <v>181.02100079390129</v>
      </c>
      <c r="CA46" s="542">
        <f t="shared" si="8"/>
        <v>218.26474112288656</v>
      </c>
    </row>
    <row r="47" spans="1:79" x14ac:dyDescent="0.2">
      <c r="A47" s="239">
        <f t="shared" si="40"/>
        <v>33</v>
      </c>
      <c r="B47" s="822">
        <v>9782061.5510000009</v>
      </c>
      <c r="C47" s="239">
        <f t="shared" si="41"/>
        <v>2051</v>
      </c>
      <c r="E47" s="254">
        <f>IF(E46&gt;$K$10,MAX($K$7,E46*(1+$K$9)),MAX($K$7,scenarios!E46+scenarios!F46))</f>
        <v>3.1106622234630135</v>
      </c>
      <c r="F47" s="14">
        <f t="shared" si="9"/>
        <v>-0.31503901973444082</v>
      </c>
      <c r="G47" s="9">
        <f t="shared" si="42"/>
        <v>-9.1963366729666207E-2</v>
      </c>
      <c r="H47" s="18">
        <f t="shared" ref="H47:H78" si="64">(E47-$H$14)/$H$14</f>
        <v>-0.88692937766805924</v>
      </c>
      <c r="I47" s="102">
        <f t="shared" si="10"/>
        <v>-0.92648219170668067</v>
      </c>
      <c r="J47" s="18">
        <f t="shared" si="11"/>
        <v>-0.92323836561956263</v>
      </c>
      <c r="K47" s="136">
        <f t="shared" ref="K47:K78" si="65">E47*1000000/B47</f>
        <v>0.31799659072325265</v>
      </c>
      <c r="L47" s="263"/>
      <c r="M47" s="243">
        <f>IF(M46&gt;'goal seek'!$F$28,MAX($T$7,M46*(1+O47)),MAX($T$7,M46+N46))</f>
        <v>-4.3499999999999996</v>
      </c>
      <c r="N47" s="14">
        <f t="shared" si="12"/>
        <v>0</v>
      </c>
      <c r="O47" s="135">
        <f t="shared" si="62"/>
        <v>-1.0733900482243699</v>
      </c>
      <c r="P47" s="9" t="str">
        <f t="shared" si="43"/>
        <v/>
      </c>
      <c r="Q47" s="18">
        <f t="shared" si="13"/>
        <v>-1.1581197738005675</v>
      </c>
      <c r="R47" s="102">
        <f t="shared" si="14"/>
        <v>-1.1028084835646064</v>
      </c>
      <c r="S47" s="18">
        <f t="shared" si="15"/>
        <v>-1.1073447020497025</v>
      </c>
      <c r="T47" s="136">
        <f t="shared" si="44"/>
        <v>-0.44469153841659359</v>
      </c>
      <c r="U47" s="6"/>
      <c r="V47" s="243">
        <f>IF(V46&gt;'goal seek'!$F$28,MAX($AC$7,V46*(1+X47)),MAX($AC$7,V46+W46))</f>
        <v>-0.85757535653056749</v>
      </c>
      <c r="W47" s="14">
        <f t="shared" si="16"/>
        <v>-0.6221486671679286</v>
      </c>
      <c r="X47" s="135">
        <f t="shared" si="63"/>
        <v>-0.21673812675895826</v>
      </c>
      <c r="Y47" s="9" t="str">
        <f t="shared" si="45"/>
        <v/>
      </c>
      <c r="Z47" s="18">
        <f t="shared" si="17"/>
        <v>-1.0311723267566792</v>
      </c>
      <c r="AA47" s="102">
        <f t="shared" si="18"/>
        <v>-1.0202680510223643</v>
      </c>
      <c r="AB47" s="18">
        <f t="shared" si="19"/>
        <v>-1.0211623381912509</v>
      </c>
      <c r="AC47" s="136">
        <f t="shared" si="46"/>
        <v>-8.7668161977870529E-2</v>
      </c>
      <c r="AD47" s="6"/>
      <c r="AE47" s="243">
        <f>IF(AE46&gt;'goal seek'!$F$28,MAX($AL$7,AE46*(1+AG47)),MAX($AL$7,AE46+AF46))</f>
        <v>-4.3499999999999996</v>
      </c>
      <c r="AF47" s="14">
        <f t="shared" ref="AF47:AF96" si="66">AE47-AE46</f>
        <v>-8.4155701686913886E-2</v>
      </c>
      <c r="AG47" s="135">
        <f t="shared" si="21"/>
        <v>-0.52658855492549439</v>
      </c>
      <c r="AH47" s="9" t="str">
        <f t="shared" si="47"/>
        <v/>
      </c>
      <c r="AI47" s="18">
        <f t="shared" si="22"/>
        <v>-1.1581197738005675</v>
      </c>
      <c r="AJ47" s="102">
        <f t="shared" ref="AJ47:AJ96" si="67">(AE47-$AE$15)/$AE$15</f>
        <v>-1.1028084835646064</v>
      </c>
      <c r="AK47" s="18">
        <f t="shared" ref="AK47:AK96" si="68">(AE47-$AK$14)/$AK$14</f>
        <v>-1.1073447020497025</v>
      </c>
      <c r="AL47" s="136">
        <f t="shared" si="48"/>
        <v>-0.44469153841659359</v>
      </c>
      <c r="AM47" s="6"/>
      <c r="AN47" s="243">
        <f>IF(AN46&gt;'goal seek'!$F$28,MAX($AL$7,AN46*(1+AP47)),MAX($AL$7,AN46+AO46))</f>
        <v>1.1032782624430846</v>
      </c>
      <c r="AO47" s="14">
        <f t="shared" si="25"/>
        <v>-0.4318985145477825</v>
      </c>
      <c r="AP47" s="135">
        <f t="shared" si="49"/>
        <v>-0.14084591960871073</v>
      </c>
      <c r="AQ47" s="9">
        <f t="shared" si="50"/>
        <v>-0.28133471077797045</v>
      </c>
      <c r="AR47" s="18">
        <f t="shared" si="26"/>
        <v>-0.95989652659848645</v>
      </c>
      <c r="AS47" s="102">
        <f t="shared" si="27"/>
        <v>-0.97392497353757079</v>
      </c>
      <c r="AT47" s="18">
        <f t="shared" si="28"/>
        <v>-0.9727744652046284</v>
      </c>
      <c r="AU47" s="136">
        <f t="shared" si="51"/>
        <v>0.11278586386836817</v>
      </c>
      <c r="AV47" s="6"/>
      <c r="AW47" s="243">
        <f t="shared" si="52"/>
        <v>-4.3499999999999996</v>
      </c>
      <c r="AX47" s="730">
        <f t="shared" si="53"/>
        <v>0</v>
      </c>
      <c r="AY47" s="9">
        <f t="shared" si="54"/>
        <v>0</v>
      </c>
      <c r="AZ47" s="9">
        <f t="shared" si="55"/>
        <v>0</v>
      </c>
      <c r="BA47" s="18">
        <f t="shared" si="29"/>
        <v>-1.1581197738005675</v>
      </c>
      <c r="BB47" s="102">
        <f t="shared" si="30"/>
        <v>-1.1028084835646064</v>
      </c>
      <c r="BC47" s="18">
        <f t="shared" si="31"/>
        <v>-1.1073447020497025</v>
      </c>
      <c r="BD47" s="136">
        <f t="shared" si="56"/>
        <v>-0.44469153841659359</v>
      </c>
      <c r="BE47" s="6"/>
      <c r="BF47" s="243">
        <f t="shared" si="57"/>
        <v>0.14314232650366598</v>
      </c>
      <c r="BG47" s="14">
        <f t="shared" si="32"/>
        <v>-3.5369474998971362E-2</v>
      </c>
      <c r="BH47" s="9"/>
      <c r="BI47" s="9">
        <f t="shared" si="58"/>
        <v>-0.19813521963951952</v>
      </c>
      <c r="BJ47" s="18">
        <f t="shared" si="33"/>
        <v>-0.99479686614067886</v>
      </c>
      <c r="BK47" s="102">
        <f t="shared" si="34"/>
        <v>-0.99661695505247094</v>
      </c>
      <c r="BL47" s="18">
        <f t="shared" si="35"/>
        <v>-0.99646768496799143</v>
      </c>
      <c r="BM47" s="136">
        <f t="shared" si="59"/>
        <v>1.4633145146079439E-2</v>
      </c>
      <c r="BP47" s="540">
        <f t="shared" si="36"/>
        <v>548.93655489574269</v>
      </c>
      <c r="BQ47" s="541">
        <f t="shared" si="37"/>
        <v>634.05216887574443</v>
      </c>
      <c r="BR47" s="541">
        <f t="shared" si="38"/>
        <v>625.2682638128806</v>
      </c>
      <c r="BS47" s="541">
        <f t="shared" si="39"/>
        <v>633.98960747884075</v>
      </c>
      <c r="BT47" s="541">
        <f t="shared" si="60"/>
        <v>602.12427905634434</v>
      </c>
      <c r="BU47" s="541">
        <f t="shared" si="61"/>
        <v>633.91474112288654</v>
      </c>
      <c r="BV47" s="540">
        <f t="shared" ref="BV47:BV78" si="69">IF(BP47-$BP$7&gt;0,BP47-$BP$7,"")</f>
        <v>128.93655489574269</v>
      </c>
      <c r="BW47" s="541">
        <f t="shared" ref="BW47:BW78" si="70">IF(BQ47-$BP$7&gt;0,BQ47-$BP$7,"")</f>
        <v>214.05216887574443</v>
      </c>
      <c r="BX47" s="541">
        <f t="shared" ref="BX47:BX78" si="71">IF(BR47-$BP$7&gt;0,BR47-$BP$7,"")</f>
        <v>205.2682638128806</v>
      </c>
      <c r="BY47" s="541">
        <f t="shared" ref="BY47:BY78" si="72">IF(BS47-$BP$7&gt;0,BS47-$BP$7,"")</f>
        <v>213.98960747884075</v>
      </c>
      <c r="BZ47" s="541">
        <f t="shared" ref="BZ47:CA78" si="73">IF(BT47-$BP$7&gt;0,BT47-$BP$7,"")</f>
        <v>182.12427905634434</v>
      </c>
      <c r="CA47" s="542">
        <f t="shared" si="73"/>
        <v>213.91474112288654</v>
      </c>
    </row>
    <row r="48" spans="1:79" x14ac:dyDescent="0.2">
      <c r="A48" s="239">
        <f t="shared" si="40"/>
        <v>34</v>
      </c>
      <c r="B48" s="822">
        <v>9827884.6400000006</v>
      </c>
      <c r="C48" s="239">
        <f t="shared" si="41"/>
        <v>2052</v>
      </c>
      <c r="E48" s="254">
        <f>IF(E47&gt;$K$10,MAX($K$7,E47*(1+$K$9)),MAX($K$7,scenarios!E47+scenarios!F47))</f>
        <v>2.7956232037285726</v>
      </c>
      <c r="F48" s="14">
        <f t="shared" ref="F48:F79" si="74">E48-E47</f>
        <v>-0.31503901973444082</v>
      </c>
      <c r="G48" s="9">
        <f t="shared" si="42"/>
        <v>-0.10127715486373723</v>
      </c>
      <c r="H48" s="18">
        <f t="shared" si="64"/>
        <v>-0.89838084859651035</v>
      </c>
      <c r="I48" s="102">
        <f t="shared" ref="I48:I79" si="75">(E48-$E$15)/$E$15</f>
        <v>-0.93392786616244572</v>
      </c>
      <c r="J48" s="18">
        <f t="shared" ref="J48:J79" si="76">(E48-$J$14)/$J$14</f>
        <v>-0.93101256555230372</v>
      </c>
      <c r="K48" s="136">
        <f t="shared" si="65"/>
        <v>0.28445828437487358</v>
      </c>
      <c r="L48" s="263"/>
      <c r="M48" s="243">
        <f>IF(M47&gt;'goal seek'!$F$28,MAX($T$7,M47*(1+O48)),MAX($T$7,M47+N47))</f>
        <v>-4.3499999999999996</v>
      </c>
      <c r="N48" s="14">
        <f t="shared" ref="N48:N79" si="77">M48-M47</f>
        <v>0</v>
      </c>
      <c r="O48" s="135">
        <f t="shared" si="62"/>
        <v>-1.2293664516791509</v>
      </c>
      <c r="P48" s="9" t="str">
        <f t="shared" si="43"/>
        <v/>
      </c>
      <c r="Q48" s="18">
        <f t="shared" si="13"/>
        <v>-1.1581197738005675</v>
      </c>
      <c r="R48" s="102">
        <f t="shared" ref="R48:R79" si="78">(M48-$M$15)/$M$15</f>
        <v>-1.1028084835646064</v>
      </c>
      <c r="S48" s="18">
        <f t="shared" ref="S48:S79" si="79">(M48-$S$14)/$S$14</f>
        <v>-1.1073447020497025</v>
      </c>
      <c r="T48" s="136">
        <f t="shared" si="44"/>
        <v>-0.44261813801672784</v>
      </c>
      <c r="U48" s="6"/>
      <c r="V48" s="243">
        <f>IF(V47&gt;'goal seek'!$F$28,MAX($AC$7,V47*(1+X48)),MAX($AC$7,V47+W47))</f>
        <v>-1.4797240236984961</v>
      </c>
      <c r="W48" s="14">
        <f t="shared" ref="W48:W79" si="80">V48-V47</f>
        <v>-0.6221486671679286</v>
      </c>
      <c r="X48" s="135">
        <f t="shared" si="63"/>
        <v>-0.22321355020279562</v>
      </c>
      <c r="Y48" s="9" t="str">
        <f t="shared" si="45"/>
        <v/>
      </c>
      <c r="Z48" s="18">
        <f t="shared" si="17"/>
        <v>-1.0537870408998786</v>
      </c>
      <c r="AA48" s="102">
        <f t="shared" ref="AA48:AA79" si="81">(V48-$V$15)/$V$15</f>
        <v>-1.0349719960851862</v>
      </c>
      <c r="AB48" s="18">
        <f t="shared" ref="AB48:AB79" si="82">(V48-$AB$14)/$AB$14</f>
        <v>-1.0365150653884372</v>
      </c>
      <c r="AC48" s="136">
        <f t="shared" si="46"/>
        <v>-0.15056383727541353</v>
      </c>
      <c r="AD48" s="6"/>
      <c r="AE48" s="243">
        <f>IF(AE47&gt;'goal seek'!$F$28,MAX($AL$7,AE47*(1+AG48)),MAX($AL$7,AE47+AF47))</f>
        <v>-4.3499999999999996</v>
      </c>
      <c r="AF48" s="14">
        <f t="shared" si="66"/>
        <v>0</v>
      </c>
      <c r="AG48" s="135">
        <f t="shared" ref="AG48:AG79" si="83">$AL$10*(C48-2020)^2+$AL$9</f>
        <v>-0.56006106164797742</v>
      </c>
      <c r="AH48" s="9" t="str">
        <f t="shared" si="47"/>
        <v/>
      </c>
      <c r="AI48" s="18">
        <f t="shared" si="22"/>
        <v>-1.1581197738005675</v>
      </c>
      <c r="AJ48" s="102">
        <f t="shared" si="67"/>
        <v>-1.1028084835646064</v>
      </c>
      <c r="AK48" s="18">
        <f t="shared" si="68"/>
        <v>-1.1073447020497025</v>
      </c>
      <c r="AL48" s="136">
        <f t="shared" si="48"/>
        <v>-0.44261813801672784</v>
      </c>
      <c r="AM48" s="6"/>
      <c r="AN48" s="243">
        <f>IF(AN47&gt;'goal seek'!$F$28,MAX($AL$7,AN47*(1+AP48)),MAX($AL$7,AN47+AO47))</f>
        <v>0.67137974789530208</v>
      </c>
      <c r="AO48" s="14">
        <f t="shared" si="25"/>
        <v>-0.4318985145477825</v>
      </c>
      <c r="AP48" s="135">
        <f t="shared" si="49"/>
        <v>-0.14287606767736266</v>
      </c>
      <c r="AQ48" s="9">
        <f t="shared" si="50"/>
        <v>-0.39146834416132903</v>
      </c>
      <c r="AR48" s="18">
        <f t="shared" si="26"/>
        <v>-0.97559576692609495</v>
      </c>
      <c r="AS48" s="102">
        <f t="shared" si="27"/>
        <v>-0.98413252097078074</v>
      </c>
      <c r="AT48" s="18">
        <f t="shared" si="28"/>
        <v>-0.98343240022987921</v>
      </c>
      <c r="AU48" s="136">
        <f t="shared" si="51"/>
        <v>6.8313759520818113E-2</v>
      </c>
      <c r="AV48" s="6"/>
      <c r="AW48" s="243">
        <f t="shared" si="52"/>
        <v>-4.3499999999999996</v>
      </c>
      <c r="AX48" s="730">
        <f t="shared" si="53"/>
        <v>0</v>
      </c>
      <c r="AY48" s="9">
        <f t="shared" si="54"/>
        <v>0</v>
      </c>
      <c r="AZ48" s="9">
        <f t="shared" si="55"/>
        <v>0</v>
      </c>
      <c r="BA48" s="18">
        <f t="shared" si="29"/>
        <v>-1.1581197738005675</v>
      </c>
      <c r="BB48" s="102">
        <f t="shared" si="30"/>
        <v>-1.1028084835646064</v>
      </c>
      <c r="BC48" s="18">
        <f t="shared" si="31"/>
        <v>-1.1073447020497025</v>
      </c>
      <c r="BD48" s="136">
        <f t="shared" si="56"/>
        <v>-0.44261813801672784</v>
      </c>
      <c r="BE48" s="6"/>
      <c r="BF48" s="243">
        <f t="shared" si="57"/>
        <v>0.11469008108803347</v>
      </c>
      <c r="BG48" s="14">
        <f t="shared" si="32"/>
        <v>-2.8452245415632516E-2</v>
      </c>
      <c r="BH48" s="9"/>
      <c r="BI48" s="9">
        <f t="shared" si="58"/>
        <v>-0.1987689183946848</v>
      </c>
      <c r="BJ48" s="18">
        <f t="shared" si="33"/>
        <v>-0.99583108743015902</v>
      </c>
      <c r="BK48" s="102">
        <f t="shared" si="34"/>
        <v>-0.99728939923757176</v>
      </c>
      <c r="BL48" s="18">
        <f t="shared" si="35"/>
        <v>-0.99716979940633299</v>
      </c>
      <c r="BM48" s="136">
        <f t="shared" si="59"/>
        <v>1.166986440003975E-2</v>
      </c>
      <c r="BP48" s="540">
        <f t="shared" ref="BP48:BP79" si="84">BP47+E48</f>
        <v>551.7321780994713</v>
      </c>
      <c r="BQ48" s="541">
        <f t="shared" ref="BQ48:BQ79" si="85">BQ47+M48</f>
        <v>629.70216887574441</v>
      </c>
      <c r="BR48" s="541">
        <f t="shared" ref="BR48:BR79" si="86">BR47+V48</f>
        <v>623.7885397891821</v>
      </c>
      <c r="BS48" s="541">
        <f t="shared" ref="BS48:BS79" si="87">BS47+AE48</f>
        <v>629.63960747884073</v>
      </c>
      <c r="BT48" s="541">
        <f t="shared" si="60"/>
        <v>602.79565880423968</v>
      </c>
      <c r="BU48" s="541">
        <f t="shared" si="61"/>
        <v>629.56474112288652</v>
      </c>
      <c r="BV48" s="540">
        <f t="shared" si="69"/>
        <v>131.7321780994713</v>
      </c>
      <c r="BW48" s="541">
        <f t="shared" si="70"/>
        <v>209.70216887574441</v>
      </c>
      <c r="BX48" s="541">
        <f t="shared" si="71"/>
        <v>203.7885397891821</v>
      </c>
      <c r="BY48" s="541">
        <f t="shared" si="72"/>
        <v>209.63960747884073</v>
      </c>
      <c r="BZ48" s="541">
        <f t="shared" si="73"/>
        <v>182.79565880423968</v>
      </c>
      <c r="CA48" s="542">
        <f t="shared" si="73"/>
        <v>209.56474112288652</v>
      </c>
    </row>
    <row r="49" spans="1:79" x14ac:dyDescent="0.2">
      <c r="A49" s="239">
        <f t="shared" si="40"/>
        <v>35</v>
      </c>
      <c r="B49" s="822">
        <v>9872499.7650000006</v>
      </c>
      <c r="C49" s="239">
        <f t="shared" si="41"/>
        <v>2053</v>
      </c>
      <c r="E49" s="254">
        <f>IF(E48&gt;$K$10,MAX($K$7,E48*(1+$K$9)),MAX($K$7,scenarios!E48+scenarios!F48))</f>
        <v>2.4805841839941318</v>
      </c>
      <c r="F49" s="14">
        <f t="shared" si="74"/>
        <v>-0.31503901973444082</v>
      </c>
      <c r="G49" s="9">
        <f t="shared" si="42"/>
        <v>-0.11269008617265286</v>
      </c>
      <c r="H49" s="18">
        <f t="shared" si="64"/>
        <v>-0.90983231952496135</v>
      </c>
      <c r="I49" s="102">
        <f t="shared" si="75"/>
        <v>-0.94137354061821077</v>
      </c>
      <c r="J49" s="18">
        <f t="shared" si="76"/>
        <v>-0.93878676548504492</v>
      </c>
      <c r="K49" s="136">
        <f t="shared" si="65"/>
        <v>0.25126201499526007</v>
      </c>
      <c r="L49" s="263"/>
      <c r="M49" s="243">
        <f>IF(M48&gt;'goal seek'!$F$28,MAX($T$7,M48*(1+O49)),MAX($T$7,M48+N48))</f>
        <v>-4.3499999999999996</v>
      </c>
      <c r="N49" s="14">
        <f t="shared" si="77"/>
        <v>0</v>
      </c>
      <c r="O49" s="135">
        <f t="shared" si="62"/>
        <v>-1.408008090828015</v>
      </c>
      <c r="P49" s="9" t="str">
        <f t="shared" si="43"/>
        <v/>
      </c>
      <c r="Q49" s="18">
        <f t="shared" si="13"/>
        <v>-1.1581197738005675</v>
      </c>
      <c r="R49" s="102">
        <f t="shared" si="78"/>
        <v>-1.1028084835646064</v>
      </c>
      <c r="S49" s="18">
        <f t="shared" si="79"/>
        <v>-1.1073447020497025</v>
      </c>
      <c r="T49" s="136">
        <f t="shared" si="44"/>
        <v>-0.4406178884320287</v>
      </c>
      <c r="U49" s="6"/>
      <c r="V49" s="243">
        <f>IF(V48&gt;'goal seek'!$F$28,MAX($AC$7,V48*(1+X49)),MAX($AC$7,V48+W48))</f>
        <v>-2.1018726908664247</v>
      </c>
      <c r="W49" s="14">
        <f t="shared" si="80"/>
        <v>-0.6221486671679286</v>
      </c>
      <c r="X49" s="135">
        <f t="shared" si="63"/>
        <v>-0.22968897364663299</v>
      </c>
      <c r="Y49" s="9" t="str">
        <f t="shared" si="45"/>
        <v/>
      </c>
      <c r="Z49" s="18">
        <f t="shared" si="17"/>
        <v>-1.076401755043078</v>
      </c>
      <c r="AA49" s="102">
        <f t="shared" si="81"/>
        <v>-1.0496759411480081</v>
      </c>
      <c r="AB49" s="18">
        <f t="shared" si="82"/>
        <v>-1.0518677925856237</v>
      </c>
      <c r="AC49" s="136">
        <f t="shared" si="46"/>
        <v>-0.212901771678738</v>
      </c>
      <c r="AD49" s="6"/>
      <c r="AE49" s="243">
        <f>IF(AE48&gt;'goal seek'!$F$28,MAX($AL$7,AE48*(1+AG49)),MAX($AL$7,AE48+AF48))</f>
        <v>-4.3499999999999996</v>
      </c>
      <c r="AF49" s="14">
        <f t="shared" si="66"/>
        <v>0</v>
      </c>
      <c r="AG49" s="135">
        <f t="shared" si="83"/>
        <v>-0.59459618763149158</v>
      </c>
      <c r="AH49" s="9" t="str">
        <f t="shared" si="47"/>
        <v/>
      </c>
      <c r="AI49" s="18">
        <f t="shared" si="22"/>
        <v>-1.1581197738005675</v>
      </c>
      <c r="AJ49" s="102">
        <f t="shared" si="67"/>
        <v>-1.1028084835646064</v>
      </c>
      <c r="AK49" s="18">
        <f t="shared" si="68"/>
        <v>-1.1073447020497025</v>
      </c>
      <c r="AL49" s="136">
        <f t="shared" si="48"/>
        <v>-0.4406178884320287</v>
      </c>
      <c r="AM49" s="6"/>
      <c r="AN49" s="243">
        <f>IF(AN48&gt;'goal seek'!$F$28,MAX($AL$7,AN48*(1+AP49)),MAX($AL$7,AN48+AO48))</f>
        <v>0.23948123334751958</v>
      </c>
      <c r="AO49" s="14">
        <f t="shared" si="25"/>
        <v>-0.4318985145477825</v>
      </c>
      <c r="AP49" s="135">
        <f t="shared" si="49"/>
        <v>-0.14487423891374401</v>
      </c>
      <c r="AQ49" s="9">
        <f t="shared" si="50"/>
        <v>-0.64329988490378875</v>
      </c>
      <c r="AR49" s="18">
        <f t="shared" si="26"/>
        <v>-0.99129500725370334</v>
      </c>
      <c r="AS49" s="102">
        <f t="shared" si="27"/>
        <v>-0.99434006840399081</v>
      </c>
      <c r="AT49" s="18">
        <f t="shared" si="28"/>
        <v>-0.99409033525512991</v>
      </c>
      <c r="AU49" s="136">
        <f t="shared" si="51"/>
        <v>2.4257405829122305E-2</v>
      </c>
      <c r="AV49" s="6"/>
      <c r="AW49" s="243">
        <f t="shared" si="52"/>
        <v>-4.3499999999999996</v>
      </c>
      <c r="AX49" s="730">
        <f t="shared" si="53"/>
        <v>0</v>
      </c>
      <c r="AY49" s="9">
        <f t="shared" si="54"/>
        <v>0</v>
      </c>
      <c r="AZ49" s="9">
        <f t="shared" si="55"/>
        <v>0</v>
      </c>
      <c r="BA49" s="18">
        <f t="shared" si="29"/>
        <v>-1.1581197738005675</v>
      </c>
      <c r="BB49" s="102">
        <f t="shared" si="30"/>
        <v>-1.1028084835646064</v>
      </c>
      <c r="BC49" s="18">
        <f t="shared" si="31"/>
        <v>-1.1073447020497025</v>
      </c>
      <c r="BD49" s="136">
        <f t="shared" si="56"/>
        <v>-0.4406178884320287</v>
      </c>
      <c r="BE49" s="6"/>
      <c r="BF49" s="243">
        <f t="shared" si="57"/>
        <v>9.1824553318918978E-2</v>
      </c>
      <c r="BG49" s="14">
        <f t="shared" si="32"/>
        <v>-2.2865527769114491E-2</v>
      </c>
      <c r="BH49" s="9"/>
      <c r="BI49" s="9">
        <f t="shared" si="58"/>
        <v>-0.19936796235729781</v>
      </c>
      <c r="BJ49" s="18">
        <f t="shared" si="33"/>
        <v>-0.99666223503445384</v>
      </c>
      <c r="BK49" s="102">
        <f t="shared" si="34"/>
        <v>-0.99782980618834116</v>
      </c>
      <c r="BL49" s="18">
        <f t="shared" si="35"/>
        <v>-0.99773405073175481</v>
      </c>
      <c r="BM49" s="136">
        <f t="shared" si="59"/>
        <v>9.3010438596773139E-3</v>
      </c>
      <c r="BP49" s="540">
        <f t="shared" si="84"/>
        <v>554.21276228346539</v>
      </c>
      <c r="BQ49" s="541">
        <f t="shared" si="85"/>
        <v>625.35216887574438</v>
      </c>
      <c r="BR49" s="541">
        <f t="shared" si="86"/>
        <v>621.68666709831564</v>
      </c>
      <c r="BS49" s="541">
        <f t="shared" si="87"/>
        <v>625.28960747884071</v>
      </c>
      <c r="BT49" s="541">
        <f t="shared" si="60"/>
        <v>603.03514003758721</v>
      </c>
      <c r="BU49" s="541">
        <f t="shared" si="61"/>
        <v>625.21474112288649</v>
      </c>
      <c r="BV49" s="540">
        <f t="shared" si="69"/>
        <v>134.21276228346539</v>
      </c>
      <c r="BW49" s="541">
        <f t="shared" si="70"/>
        <v>205.35216887574438</v>
      </c>
      <c r="BX49" s="541">
        <f t="shared" si="71"/>
        <v>201.68666709831564</v>
      </c>
      <c r="BY49" s="541">
        <f t="shared" si="72"/>
        <v>205.28960747884071</v>
      </c>
      <c r="BZ49" s="541">
        <f t="shared" si="73"/>
        <v>183.03514003758721</v>
      </c>
      <c r="CA49" s="542">
        <f t="shared" si="73"/>
        <v>205.21474112288649</v>
      </c>
    </row>
    <row r="50" spans="1:79" x14ac:dyDescent="0.2">
      <c r="A50" s="239">
        <f t="shared" si="40"/>
        <v>36</v>
      </c>
      <c r="B50" s="822">
        <v>9915902.2180000003</v>
      </c>
      <c r="C50" s="239">
        <f t="shared" si="41"/>
        <v>2054</v>
      </c>
      <c r="E50" s="254">
        <f>IF(E49&gt;$K$10,MAX($K$7,E49*(1+$K$9)),MAX($K$7,scenarios!E49+scenarios!F49))</f>
        <v>2.165545164259691</v>
      </c>
      <c r="F50" s="14">
        <f t="shared" si="74"/>
        <v>-0.31503901973444082</v>
      </c>
      <c r="G50" s="9">
        <f t="shared" si="42"/>
        <v>-0.12700194646374718</v>
      </c>
      <c r="H50" s="18">
        <f t="shared" si="64"/>
        <v>-0.92128379045341258</v>
      </c>
      <c r="I50" s="102">
        <f t="shared" si="75"/>
        <v>-0.94881921507397582</v>
      </c>
      <c r="J50" s="18">
        <f t="shared" si="76"/>
        <v>-0.94656096541778612</v>
      </c>
      <c r="K50" s="136">
        <f t="shared" si="65"/>
        <v>0.21839113745279276</v>
      </c>
      <c r="L50" s="263"/>
      <c r="M50" s="243">
        <f>IF(M49&gt;'goal seek'!$F$28,MAX($T$7,M49*(1+O50)),MAX($T$7,M49+N49))</f>
        <v>-4.3499999999999996</v>
      </c>
      <c r="N50" s="14">
        <f t="shared" si="77"/>
        <v>0</v>
      </c>
      <c r="O50" s="135">
        <f t="shared" si="62"/>
        <v>-1.6126084953183315</v>
      </c>
      <c r="P50" s="9" t="str">
        <f t="shared" si="43"/>
        <v/>
      </c>
      <c r="Q50" s="18">
        <f t="shared" si="13"/>
        <v>-1.1581197738005675</v>
      </c>
      <c r="R50" s="102">
        <f t="shared" si="78"/>
        <v>-1.1028084835646064</v>
      </c>
      <c r="S50" s="18">
        <f t="shared" si="79"/>
        <v>-1.1073447020497025</v>
      </c>
      <c r="T50" s="136">
        <f t="shared" si="44"/>
        <v>-0.4386892795396462</v>
      </c>
      <c r="U50" s="6"/>
      <c r="V50" s="243">
        <f>IF(V49&gt;'goal seek'!$F$28,MAX($AC$7,V49*(1+X50)),MAX($AC$7,V49+W49))</f>
        <v>-2.7240213580343533</v>
      </c>
      <c r="W50" s="14">
        <f t="shared" si="80"/>
        <v>-0.6221486671679286</v>
      </c>
      <c r="X50" s="135">
        <f t="shared" si="63"/>
        <v>-0.23616439709047035</v>
      </c>
      <c r="Y50" s="9" t="str">
        <f t="shared" si="45"/>
        <v/>
      </c>
      <c r="Z50" s="18">
        <f t="shared" si="17"/>
        <v>-1.0990164691862774</v>
      </c>
      <c r="AA50" s="102">
        <f t="shared" si="81"/>
        <v>-1.0643798862108302</v>
      </c>
      <c r="AB50" s="18">
        <f t="shared" si="82"/>
        <v>-1.0672205197828102</v>
      </c>
      <c r="AC50" s="136">
        <f t="shared" si="46"/>
        <v>-0.27471240620843657</v>
      </c>
      <c r="AD50" s="6"/>
      <c r="AE50" s="243">
        <f>IF(AE49&gt;'goal seek'!$F$28,MAX($AL$7,AE49*(1+AG50)),MAX($AL$7,AE49+AF49))</f>
        <v>-4.3499999999999996</v>
      </c>
      <c r="AF50" s="14">
        <f t="shared" si="66"/>
        <v>0</v>
      </c>
      <c r="AG50" s="135">
        <f t="shared" si="83"/>
        <v>-0.63019393287603698</v>
      </c>
      <c r="AH50" s="9" t="str">
        <f t="shared" si="47"/>
        <v/>
      </c>
      <c r="AI50" s="18">
        <f t="shared" si="22"/>
        <v>-1.1581197738005675</v>
      </c>
      <c r="AJ50" s="102">
        <f t="shared" si="67"/>
        <v>-1.1028084835646064</v>
      </c>
      <c r="AK50" s="18">
        <f t="shared" si="68"/>
        <v>-1.1073447020497025</v>
      </c>
      <c r="AL50" s="136">
        <f t="shared" si="48"/>
        <v>-0.4386892795396462</v>
      </c>
      <c r="AM50" s="6"/>
      <c r="AN50" s="243">
        <f>IF(AN49&gt;'goal seek'!$F$28,MAX($AL$7,AN49*(1+AP50)),MAX($AL$7,AN49+AO49))</f>
        <v>-0.19241728120026291</v>
      </c>
      <c r="AO50" s="14">
        <f t="shared" si="25"/>
        <v>-0.4318985145477825</v>
      </c>
      <c r="AP50" s="135">
        <f t="shared" si="49"/>
        <v>-0.14684189834270528</v>
      </c>
      <c r="AQ50" s="9" t="str">
        <f t="shared" si="50"/>
        <v/>
      </c>
      <c r="AR50" s="18">
        <f t="shared" si="26"/>
        <v>-1.0069942475813116</v>
      </c>
      <c r="AS50" s="102">
        <f t="shared" si="27"/>
        <v>-1.0045476158372009</v>
      </c>
      <c r="AT50" s="18">
        <f t="shared" si="28"/>
        <v>-1.0047482702803807</v>
      </c>
      <c r="AU50" s="136">
        <f t="shared" si="51"/>
        <v>-1.9404919186372608E-2</v>
      </c>
      <c r="AV50" s="6"/>
      <c r="AW50" s="243">
        <f t="shared" si="52"/>
        <v>-4.3499999999999996</v>
      </c>
      <c r="AX50" s="730">
        <f t="shared" si="53"/>
        <v>0</v>
      </c>
      <c r="AY50" s="9">
        <f t="shared" si="54"/>
        <v>0</v>
      </c>
      <c r="AZ50" s="9">
        <f t="shared" si="55"/>
        <v>0</v>
      </c>
      <c r="BA50" s="18">
        <f t="shared" si="29"/>
        <v>-1.1581197738005675</v>
      </c>
      <c r="BB50" s="102">
        <f t="shared" si="30"/>
        <v>-1.1028084835646064</v>
      </c>
      <c r="BC50" s="18">
        <f t="shared" si="31"/>
        <v>-1.1073447020497025</v>
      </c>
      <c r="BD50" s="136">
        <f t="shared" si="56"/>
        <v>-0.4386892795396462</v>
      </c>
      <c r="BE50" s="6"/>
      <c r="BF50" s="243">
        <f t="shared" si="57"/>
        <v>7.3465600361367511E-2</v>
      </c>
      <c r="BG50" s="14">
        <f t="shared" si="32"/>
        <v>-1.8358952957551467E-2</v>
      </c>
      <c r="BH50" s="9"/>
      <c r="BI50" s="9">
        <f t="shared" si="58"/>
        <v>-0.19993511859282742</v>
      </c>
      <c r="BJ50" s="18">
        <f t="shared" si="33"/>
        <v>-0.9973295714686754</v>
      </c>
      <c r="BK50" s="102">
        <f t="shared" si="34"/>
        <v>-0.99826370414544474</v>
      </c>
      <c r="BL50" s="18">
        <f t="shared" si="35"/>
        <v>-0.99818709356742685</v>
      </c>
      <c r="BM50" s="136">
        <f t="shared" si="59"/>
        <v>7.4088669640174449E-3</v>
      </c>
      <c r="BP50" s="540">
        <f t="shared" si="84"/>
        <v>556.37830744772509</v>
      </c>
      <c r="BQ50" s="541">
        <f t="shared" si="85"/>
        <v>621.00216887574436</v>
      </c>
      <c r="BR50" s="541">
        <f t="shared" si="86"/>
        <v>618.96264574028123</v>
      </c>
      <c r="BS50" s="541">
        <f t="shared" si="87"/>
        <v>620.93960747884068</v>
      </c>
      <c r="BT50" s="541">
        <f t="shared" si="60"/>
        <v>602.84272275638693</v>
      </c>
      <c r="BU50" s="541">
        <f t="shared" si="61"/>
        <v>620.86474112288647</v>
      </c>
      <c r="BV50" s="540">
        <f t="shared" si="69"/>
        <v>136.37830744772509</v>
      </c>
      <c r="BW50" s="541">
        <f t="shared" si="70"/>
        <v>201.00216887574436</v>
      </c>
      <c r="BX50" s="541">
        <f t="shared" si="71"/>
        <v>198.96264574028123</v>
      </c>
      <c r="BY50" s="541">
        <f t="shared" si="72"/>
        <v>200.93960747884068</v>
      </c>
      <c r="BZ50" s="541">
        <f t="shared" si="73"/>
        <v>182.84272275638693</v>
      </c>
      <c r="CA50" s="542">
        <f t="shared" si="73"/>
        <v>200.86474112288647</v>
      </c>
    </row>
    <row r="51" spans="1:79" x14ac:dyDescent="0.2">
      <c r="A51" s="239">
        <f t="shared" si="40"/>
        <v>37</v>
      </c>
      <c r="B51" s="822">
        <v>9958094.0739999991</v>
      </c>
      <c r="C51" s="239">
        <f t="shared" si="41"/>
        <v>2055</v>
      </c>
      <c r="E51" s="254">
        <f>IF(E50&gt;$K$10,MAX($K$7,E50*(1+$K$9)),MAX($K$7,scenarios!E50+scenarios!F50))</f>
        <v>1.8505061445252502</v>
      </c>
      <c r="F51" s="14">
        <f t="shared" si="74"/>
        <v>-0.31503901973444082</v>
      </c>
      <c r="G51" s="9">
        <f t="shared" si="42"/>
        <v>-0.14547792626718981</v>
      </c>
      <c r="H51" s="18">
        <f t="shared" si="64"/>
        <v>-0.93273526138186358</v>
      </c>
      <c r="I51" s="102">
        <f t="shared" si="75"/>
        <v>-0.95626488952974098</v>
      </c>
      <c r="J51" s="18">
        <f t="shared" si="76"/>
        <v>-0.9543351653505272</v>
      </c>
      <c r="K51" s="136">
        <f t="shared" si="65"/>
        <v>0.18582934954961045</v>
      </c>
      <c r="L51" s="263"/>
      <c r="M51" s="243">
        <f>IF(M50&gt;'goal seek'!$F$28,MAX($T$7,M50*(1+O51)),MAX($T$7,M50+N50))</f>
        <v>-4.3499999999999996</v>
      </c>
      <c r="N51" s="14">
        <f t="shared" si="77"/>
        <v>0</v>
      </c>
      <c r="O51" s="135">
        <f t="shared" si="62"/>
        <v>-1.8469397840203883</v>
      </c>
      <c r="P51" s="9" t="str">
        <f t="shared" si="43"/>
        <v/>
      </c>
      <c r="Q51" s="18">
        <f t="shared" si="13"/>
        <v>-1.1581197738005675</v>
      </c>
      <c r="R51" s="102">
        <f t="shared" si="78"/>
        <v>-1.1028084835646064</v>
      </c>
      <c r="S51" s="18">
        <f t="shared" si="79"/>
        <v>-1.1073447020497025</v>
      </c>
      <c r="T51" s="136">
        <f t="shared" si="44"/>
        <v>-0.43683057899177669</v>
      </c>
      <c r="U51" s="6"/>
      <c r="V51" s="243">
        <f>IF(V50&gt;'goal seek'!$F$28,MAX($AC$7,V50*(1+X51)),MAX($AC$7,V50+W50))</f>
        <v>-3.3461700252022819</v>
      </c>
      <c r="W51" s="14">
        <f t="shared" si="80"/>
        <v>-0.6221486671679286</v>
      </c>
      <c r="X51" s="135">
        <f t="shared" si="63"/>
        <v>-0.24263982053430772</v>
      </c>
      <c r="Y51" s="9" t="str">
        <f t="shared" si="45"/>
        <v/>
      </c>
      <c r="Z51" s="18">
        <f t="shared" si="17"/>
        <v>-1.1216311833294768</v>
      </c>
      <c r="AA51" s="102">
        <f t="shared" si="81"/>
        <v>-1.0790838312736521</v>
      </c>
      <c r="AB51" s="18">
        <f t="shared" si="82"/>
        <v>-1.0825732469799965</v>
      </c>
      <c r="AC51" s="136">
        <f t="shared" si="46"/>
        <v>-0.33602514701472203</v>
      </c>
      <c r="AD51" s="6"/>
      <c r="AE51" s="243">
        <f>IF(AE50&gt;'goal seek'!$F$28,MAX($AL$7,AE50*(1+AG51)),MAX($AL$7,AE50+AF50))</f>
        <v>-4.3499999999999996</v>
      </c>
      <c r="AF51" s="14">
        <f t="shared" si="66"/>
        <v>0</v>
      </c>
      <c r="AG51" s="135">
        <f t="shared" si="83"/>
        <v>-0.66685429738161361</v>
      </c>
      <c r="AH51" s="9" t="str">
        <f t="shared" si="47"/>
        <v/>
      </c>
      <c r="AI51" s="18">
        <f t="shared" si="22"/>
        <v>-1.1581197738005675</v>
      </c>
      <c r="AJ51" s="102">
        <f t="shared" si="67"/>
        <v>-1.1028084835646064</v>
      </c>
      <c r="AK51" s="18">
        <f t="shared" si="68"/>
        <v>-1.1073447020497025</v>
      </c>
      <c r="AL51" s="136">
        <f t="shared" si="48"/>
        <v>-0.43683057899177669</v>
      </c>
      <c r="AM51" s="6"/>
      <c r="AN51" s="243">
        <f>IF(AN50&gt;'goal seek'!$F$28,MAX($AL$7,AN50*(1+AP51)),MAX($AL$7,AN50+AO50))</f>
        <v>-0.62431579574804541</v>
      </c>
      <c r="AO51" s="14">
        <f t="shared" si="25"/>
        <v>-0.4318985145477825</v>
      </c>
      <c r="AP51" s="135">
        <f t="shared" si="49"/>
        <v>-0.14878040242539137</v>
      </c>
      <c r="AQ51" s="9" t="str">
        <f t="shared" si="50"/>
        <v/>
      </c>
      <c r="AR51" s="18">
        <f t="shared" si="26"/>
        <v>-1.02269348790892</v>
      </c>
      <c r="AS51" s="102">
        <f t="shared" si="27"/>
        <v>-1.0147551632704108</v>
      </c>
      <c r="AT51" s="18">
        <f t="shared" si="28"/>
        <v>-1.0154062053056314</v>
      </c>
      <c r="AU51" s="136">
        <f t="shared" si="51"/>
        <v>-6.2694305869041497E-2</v>
      </c>
      <c r="AV51" s="6"/>
      <c r="AW51" s="243">
        <f t="shared" si="52"/>
        <v>-4.3499999999999996</v>
      </c>
      <c r="AX51" s="730">
        <f t="shared" si="53"/>
        <v>0</v>
      </c>
      <c r="AY51" s="9">
        <f t="shared" si="54"/>
        <v>0</v>
      </c>
      <c r="AZ51" s="9">
        <f t="shared" si="55"/>
        <v>0</v>
      </c>
      <c r="BA51" s="18">
        <f t="shared" si="29"/>
        <v>-1.1581197738005675</v>
      </c>
      <c r="BB51" s="102">
        <f t="shared" si="30"/>
        <v>-1.1028084835646064</v>
      </c>
      <c r="BC51" s="18">
        <f t="shared" si="31"/>
        <v>-1.1073447020497025</v>
      </c>
      <c r="BD51" s="136">
        <f t="shared" si="56"/>
        <v>-0.43683057899177669</v>
      </c>
      <c r="BE51" s="6"/>
      <c r="BF51" s="243">
        <f t="shared" si="57"/>
        <v>5.8737740815139106E-2</v>
      </c>
      <c r="BG51" s="14">
        <f t="shared" si="32"/>
        <v>-1.4727859546228406E-2</v>
      </c>
      <c r="BH51" s="9"/>
      <c r="BI51" s="9">
        <f t="shared" si="58"/>
        <v>-0.20047286721654789</v>
      </c>
      <c r="BJ51" s="18">
        <f t="shared" si="33"/>
        <v>-0.99786491993304682</v>
      </c>
      <c r="BK51" s="102">
        <f t="shared" si="34"/>
        <v>-0.99861178435374354</v>
      </c>
      <c r="BL51" s="18">
        <f t="shared" si="35"/>
        <v>-0.99855053211796008</v>
      </c>
      <c r="BM51" s="136">
        <f t="shared" si="59"/>
        <v>5.8984922595278462E-3</v>
      </c>
      <c r="BP51" s="540">
        <f t="shared" si="84"/>
        <v>558.22881359225039</v>
      </c>
      <c r="BQ51" s="541">
        <f t="shared" si="85"/>
        <v>616.65216887574434</v>
      </c>
      <c r="BR51" s="541">
        <f t="shared" si="86"/>
        <v>615.61647571507899</v>
      </c>
      <c r="BS51" s="541">
        <f t="shared" si="87"/>
        <v>616.58960747884066</v>
      </c>
      <c r="BT51" s="541">
        <f t="shared" si="60"/>
        <v>602.21840696063884</v>
      </c>
      <c r="BU51" s="541">
        <f t="shared" si="61"/>
        <v>616.51474112288645</v>
      </c>
      <c r="BV51" s="540">
        <f t="shared" si="69"/>
        <v>138.22881359225039</v>
      </c>
      <c r="BW51" s="541">
        <f t="shared" si="70"/>
        <v>196.65216887574434</v>
      </c>
      <c r="BX51" s="541">
        <f t="shared" si="71"/>
        <v>195.61647571507899</v>
      </c>
      <c r="BY51" s="541">
        <f t="shared" si="72"/>
        <v>196.58960747884066</v>
      </c>
      <c r="BZ51" s="541">
        <f t="shared" si="73"/>
        <v>182.21840696063884</v>
      </c>
      <c r="CA51" s="542">
        <f t="shared" si="73"/>
        <v>196.51474112288645</v>
      </c>
    </row>
    <row r="52" spans="1:79" x14ac:dyDescent="0.2">
      <c r="A52" s="239">
        <f t="shared" si="40"/>
        <v>38</v>
      </c>
      <c r="B52" s="822">
        <v>9999078.3160000108</v>
      </c>
      <c r="C52" s="239">
        <f t="shared" si="41"/>
        <v>2056</v>
      </c>
      <c r="E52" s="254">
        <f>IF(E51&gt;$K$10,MAX($K$7,E51*(1+$K$9)),MAX($K$7,scenarios!E51+scenarios!F51))</f>
        <v>1.5354671247908094</v>
      </c>
      <c r="F52" s="14">
        <f t="shared" si="74"/>
        <v>-0.31503901973444082</v>
      </c>
      <c r="G52" s="9">
        <f t="shared" si="42"/>
        <v>-0.17024478446963731</v>
      </c>
      <c r="H52" s="18">
        <f t="shared" si="64"/>
        <v>-0.9441867323103148</v>
      </c>
      <c r="I52" s="102">
        <f t="shared" si="75"/>
        <v>-0.96371056398550603</v>
      </c>
      <c r="J52" s="18">
        <f t="shared" si="76"/>
        <v>-0.96210936528326818</v>
      </c>
      <c r="K52" s="136">
        <f t="shared" si="65"/>
        <v>0.15356086593839693</v>
      </c>
      <c r="L52" s="263"/>
      <c r="M52" s="243">
        <f>IF(M51&gt;'goal seek'!$F$28,MAX($T$7,M51*(1+O52)),MAX($T$7,M51+N51))</f>
        <v>-4.3499999999999996</v>
      </c>
      <c r="N52" s="14">
        <f t="shared" si="77"/>
        <v>0</v>
      </c>
      <c r="O52" s="135">
        <f t="shared" si="62"/>
        <v>-2.1153222097617097</v>
      </c>
      <c r="P52" s="9" t="str">
        <f t="shared" si="43"/>
        <v/>
      </c>
      <c r="Q52" s="18">
        <f t="shared" si="13"/>
        <v>-1.1581197738005675</v>
      </c>
      <c r="R52" s="102">
        <f t="shared" si="78"/>
        <v>-1.1028084835646064</v>
      </c>
      <c r="S52" s="18">
        <f t="shared" si="79"/>
        <v>-1.1073447020497025</v>
      </c>
      <c r="T52" s="136">
        <f t="shared" si="44"/>
        <v>-0.43504009694967122</v>
      </c>
      <c r="U52" s="6"/>
      <c r="V52" s="243">
        <f>IF(V51&gt;'goal seek'!$F$28,MAX($AC$7,V51*(1+X52)),MAX($AC$7,V51+W51))</f>
        <v>-3.9683186923702105</v>
      </c>
      <c r="W52" s="14">
        <f t="shared" si="80"/>
        <v>-0.6221486671679286</v>
      </c>
      <c r="X52" s="135">
        <f t="shared" si="63"/>
        <v>-0.24911524397814508</v>
      </c>
      <c r="Y52" s="9" t="str">
        <f t="shared" si="45"/>
        <v/>
      </c>
      <c r="Z52" s="18">
        <f t="shared" si="17"/>
        <v>-1.1442458974726764</v>
      </c>
      <c r="AA52" s="102">
        <f t="shared" si="81"/>
        <v>-1.0937877763364743</v>
      </c>
      <c r="AB52" s="18">
        <f t="shared" si="82"/>
        <v>-1.097925974177183</v>
      </c>
      <c r="AC52" s="136">
        <f t="shared" si="46"/>
        <v>-0.3968684479668802</v>
      </c>
      <c r="AD52" s="6"/>
      <c r="AE52" s="243">
        <f>IF(AE51&gt;'goal seek'!$F$28,MAX($AL$7,AE51*(1+AG52)),MAX($AL$7,AE51+AF51))</f>
        <v>-4.3499999999999996</v>
      </c>
      <c r="AF52" s="14">
        <f t="shared" si="66"/>
        <v>0</v>
      </c>
      <c r="AG52" s="135">
        <f t="shared" si="83"/>
        <v>-0.70457728114822138</v>
      </c>
      <c r="AH52" s="9" t="str">
        <f t="shared" si="47"/>
        <v/>
      </c>
      <c r="AI52" s="18">
        <f t="shared" si="22"/>
        <v>-1.1581197738005675</v>
      </c>
      <c r="AJ52" s="102">
        <f t="shared" si="67"/>
        <v>-1.1028084835646064</v>
      </c>
      <c r="AK52" s="18">
        <f t="shared" si="68"/>
        <v>-1.1073447020497025</v>
      </c>
      <c r="AL52" s="136">
        <f t="shared" si="48"/>
        <v>-0.43504009694967122</v>
      </c>
      <c r="AM52" s="6"/>
      <c r="AN52" s="243">
        <f>IF(AN51&gt;'goal seek'!$F$28,MAX($AL$7,AN51*(1+AP52)),MAX($AL$7,AN51+AO51))</f>
        <v>-1.0562143102958279</v>
      </c>
      <c r="AO52" s="14">
        <f t="shared" si="25"/>
        <v>-0.4318985145477825</v>
      </c>
      <c r="AP52" s="135">
        <f t="shared" si="49"/>
        <v>-0.15069100999908985</v>
      </c>
      <c r="AQ52" s="9" t="str">
        <f t="shared" si="50"/>
        <v/>
      </c>
      <c r="AR52" s="18">
        <f t="shared" si="26"/>
        <v>-1.0383927282365286</v>
      </c>
      <c r="AS52" s="102">
        <f t="shared" si="27"/>
        <v>-1.0249627107036208</v>
      </c>
      <c r="AT52" s="18">
        <f t="shared" si="28"/>
        <v>-1.0260641403308823</v>
      </c>
      <c r="AU52" s="136">
        <f t="shared" si="51"/>
        <v>-0.10563116688522463</v>
      </c>
      <c r="AV52" s="6"/>
      <c r="AW52" s="243">
        <f t="shared" si="52"/>
        <v>-4.3499999999999996</v>
      </c>
      <c r="AX52" s="730">
        <f t="shared" si="53"/>
        <v>0</v>
      </c>
      <c r="AY52" s="9">
        <f t="shared" si="54"/>
        <v>0</v>
      </c>
      <c r="AZ52" s="9">
        <f t="shared" si="55"/>
        <v>0</v>
      </c>
      <c r="BA52" s="18">
        <f t="shared" si="29"/>
        <v>-1.1581197738005675</v>
      </c>
      <c r="BB52" s="102">
        <f t="shared" si="30"/>
        <v>-1.1028084835646064</v>
      </c>
      <c r="BC52" s="18">
        <f t="shared" si="31"/>
        <v>-1.1073447020497025</v>
      </c>
      <c r="BD52" s="136">
        <f t="shared" si="56"/>
        <v>-0.43504009694967122</v>
      </c>
      <c r="BE52" s="6"/>
      <c r="BF52" s="243">
        <f t="shared" si="57"/>
        <v>4.6932427746303962E-2</v>
      </c>
      <c r="BG52" s="14">
        <f t="shared" si="32"/>
        <v>-1.1805313068835144E-2</v>
      </c>
      <c r="BH52" s="9"/>
      <c r="BI52" s="9">
        <f t="shared" si="58"/>
        <v>-0.20098343765023452</v>
      </c>
      <c r="BJ52" s="18">
        <f t="shared" si="33"/>
        <v>-0.99829403566456165</v>
      </c>
      <c r="BK52" s="102">
        <f t="shared" si="34"/>
        <v>-0.99889079270652803</v>
      </c>
      <c r="BL52" s="18">
        <f t="shared" si="35"/>
        <v>-0.99884185115565605</v>
      </c>
      <c r="BM52" s="136">
        <f t="shared" si="59"/>
        <v>4.693675383180578E-3</v>
      </c>
      <c r="BP52" s="540">
        <f t="shared" si="84"/>
        <v>559.76428071704117</v>
      </c>
      <c r="BQ52" s="541">
        <f t="shared" si="85"/>
        <v>612.30216887574431</v>
      </c>
      <c r="BR52" s="541">
        <f t="shared" si="86"/>
        <v>611.6481570227088</v>
      </c>
      <c r="BS52" s="541">
        <f t="shared" si="87"/>
        <v>612.23960747884064</v>
      </c>
      <c r="BT52" s="541">
        <f t="shared" si="60"/>
        <v>601.16219265034306</v>
      </c>
      <c r="BU52" s="541">
        <f t="shared" si="61"/>
        <v>612.16474112288643</v>
      </c>
      <c r="BV52" s="540">
        <f t="shared" si="69"/>
        <v>139.76428071704117</v>
      </c>
      <c r="BW52" s="541">
        <f t="shared" si="70"/>
        <v>192.30216887574431</v>
      </c>
      <c r="BX52" s="541">
        <f t="shared" si="71"/>
        <v>191.6481570227088</v>
      </c>
      <c r="BY52" s="541">
        <f t="shared" si="72"/>
        <v>192.23960747884064</v>
      </c>
      <c r="BZ52" s="541">
        <f t="shared" si="73"/>
        <v>181.16219265034306</v>
      </c>
      <c r="CA52" s="542">
        <f t="shared" si="73"/>
        <v>192.16474112288643</v>
      </c>
    </row>
    <row r="53" spans="1:79" x14ac:dyDescent="0.2">
      <c r="A53" s="239">
        <f t="shared" si="40"/>
        <v>39</v>
      </c>
      <c r="B53" s="822">
        <v>10038871.455</v>
      </c>
      <c r="C53" s="239">
        <f t="shared" si="41"/>
        <v>2057</v>
      </c>
      <c r="E53" s="254">
        <f>IF(E52&gt;$K$10,MAX($K$7,E52*(1+$K$9)),MAX($K$7,scenarios!E52+scenarios!F52))</f>
        <v>1.2204281050563686</v>
      </c>
      <c r="F53" s="14">
        <f t="shared" si="74"/>
        <v>-0.31503901973444082</v>
      </c>
      <c r="G53" s="9">
        <f t="shared" si="42"/>
        <v>-0.20517470849619224</v>
      </c>
      <c r="H53" s="18">
        <f t="shared" si="64"/>
        <v>-0.95563820323876592</v>
      </c>
      <c r="I53" s="102">
        <f t="shared" si="75"/>
        <v>-0.97115623844127097</v>
      </c>
      <c r="J53" s="18">
        <f t="shared" si="76"/>
        <v>-0.96988356521600938</v>
      </c>
      <c r="K53" s="136">
        <f t="shared" si="65"/>
        <v>0.12157024925829858</v>
      </c>
      <c r="L53" s="263"/>
      <c r="M53" s="243">
        <f>IF(M52&gt;'goal seek'!$F$28,MAX($T$7,M52*(1+O53)),MAX($T$7,M52+N52))</f>
        <v>-4.3499999999999996</v>
      </c>
      <c r="N53" s="14">
        <f t="shared" si="77"/>
        <v>0</v>
      </c>
      <c r="O53" s="135">
        <f t="shared" si="62"/>
        <v>-2.4227038097424876</v>
      </c>
      <c r="P53" s="9" t="str">
        <f t="shared" si="43"/>
        <v/>
      </c>
      <c r="Q53" s="18">
        <f t="shared" si="13"/>
        <v>-1.1581197738005675</v>
      </c>
      <c r="R53" s="102">
        <f t="shared" si="78"/>
        <v>-1.1028084835646064</v>
      </c>
      <c r="S53" s="18">
        <f t="shared" si="79"/>
        <v>-1.1073447020497025</v>
      </c>
      <c r="T53" s="136">
        <f t="shared" si="44"/>
        <v>-0.43331563906353454</v>
      </c>
      <c r="U53" s="6"/>
      <c r="V53" s="243">
        <f>IF(V52&gt;'goal seek'!$F$28,MAX($AC$7,V52*(1+X53)),MAX($AC$7,V52+W52))</f>
        <v>-4.3499999999999996</v>
      </c>
      <c r="W53" s="14">
        <f t="shared" si="80"/>
        <v>-0.38168130762978913</v>
      </c>
      <c r="X53" s="135">
        <f t="shared" si="63"/>
        <v>-0.25559066742198244</v>
      </c>
      <c r="Y53" s="9" t="str">
        <f t="shared" si="45"/>
        <v/>
      </c>
      <c r="Z53" s="18">
        <f t="shared" si="17"/>
        <v>-1.1581197738005675</v>
      </c>
      <c r="AA53" s="102">
        <f t="shared" si="81"/>
        <v>-1.1028084835646064</v>
      </c>
      <c r="AB53" s="18">
        <f t="shared" si="82"/>
        <v>-1.1073447020497025</v>
      </c>
      <c r="AC53" s="136">
        <f t="shared" si="46"/>
        <v>-0.43331563906353454</v>
      </c>
      <c r="AD53" s="6"/>
      <c r="AE53" s="243">
        <f>IF(AE52&gt;'goal seek'!$F$28,MAX($AL$7,AE52*(1+AG53)),MAX($AL$7,AE52+AF52))</f>
        <v>-4.3499999999999996</v>
      </c>
      <c r="AF53" s="14">
        <f t="shared" si="66"/>
        <v>0</v>
      </c>
      <c r="AG53" s="135">
        <f t="shared" si="83"/>
        <v>-0.74336288417586038</v>
      </c>
      <c r="AH53" s="9" t="str">
        <f t="shared" si="47"/>
        <v/>
      </c>
      <c r="AI53" s="18">
        <f t="shared" si="22"/>
        <v>-1.1581197738005675</v>
      </c>
      <c r="AJ53" s="102">
        <f t="shared" si="67"/>
        <v>-1.1028084835646064</v>
      </c>
      <c r="AK53" s="18">
        <f t="shared" si="68"/>
        <v>-1.1073447020497025</v>
      </c>
      <c r="AL53" s="136">
        <f t="shared" si="48"/>
        <v>-0.43331563906353454</v>
      </c>
      <c r="AM53" s="6"/>
      <c r="AN53" s="243">
        <f>IF(AN52&gt;'goal seek'!$F$28,MAX($AL$7,AN52*(1+AP53)),MAX($AL$7,AN52+AO52))</f>
        <v>-1.4881128248436104</v>
      </c>
      <c r="AO53" s="14">
        <f t="shared" si="25"/>
        <v>-0.4318985145477825</v>
      </c>
      <c r="AP53" s="135">
        <f t="shared" si="49"/>
        <v>-0.15257489183924322</v>
      </c>
      <c r="AQ53" s="9" t="str">
        <f t="shared" si="50"/>
        <v/>
      </c>
      <c r="AR53" s="18">
        <f t="shared" si="26"/>
        <v>-1.054091968564137</v>
      </c>
      <c r="AS53" s="102">
        <f t="shared" si="27"/>
        <v>-1.0351702581368309</v>
      </c>
      <c r="AT53" s="18">
        <f t="shared" si="28"/>
        <v>-1.036722075356133</v>
      </c>
      <c r="AU53" s="136">
        <f t="shared" si="51"/>
        <v>-0.14823507119442544</v>
      </c>
      <c r="AV53" s="6"/>
      <c r="AW53" s="243">
        <f t="shared" si="52"/>
        <v>-4.3499999999999996</v>
      </c>
      <c r="AX53" s="730">
        <f t="shared" si="53"/>
        <v>0</v>
      </c>
      <c r="AY53" s="9">
        <f t="shared" si="54"/>
        <v>0</v>
      </c>
      <c r="AZ53" s="9">
        <f t="shared" si="55"/>
        <v>0</v>
      </c>
      <c r="BA53" s="18">
        <f t="shared" si="29"/>
        <v>-1.1581197738005675</v>
      </c>
      <c r="BB53" s="102">
        <f t="shared" si="30"/>
        <v>-1.1028084835646064</v>
      </c>
      <c r="BC53" s="18">
        <f t="shared" si="31"/>
        <v>-1.1073447020497025</v>
      </c>
      <c r="BD53" s="136">
        <f t="shared" si="56"/>
        <v>-0.43331563906353454</v>
      </c>
      <c r="BE53" s="6"/>
      <c r="BF53" s="243">
        <f t="shared" si="57"/>
        <v>3.7477005992540335E-2</v>
      </c>
      <c r="BG53" s="14">
        <f t="shared" si="32"/>
        <v>-9.4554217537636265E-3</v>
      </c>
      <c r="BH53" s="9"/>
      <c r="BI53" s="9">
        <f t="shared" si="58"/>
        <v>-0.20146883951700667</v>
      </c>
      <c r="BJ53" s="18">
        <f t="shared" si="33"/>
        <v>-0.99863773431947978</v>
      </c>
      <c r="BK53" s="102">
        <f t="shared" si="34"/>
        <v>-0.99911426341272758</v>
      </c>
      <c r="BL53" s="18">
        <f t="shared" si="35"/>
        <v>-0.99907518205931389</v>
      </c>
      <c r="BM53" s="136">
        <f t="shared" si="59"/>
        <v>3.7331891498495469E-3</v>
      </c>
      <c r="BP53" s="540">
        <f t="shared" si="84"/>
        <v>560.98470882209756</v>
      </c>
      <c r="BQ53" s="541">
        <f t="shared" si="85"/>
        <v>607.95216887574429</v>
      </c>
      <c r="BR53" s="541">
        <f t="shared" si="86"/>
        <v>607.29815702270878</v>
      </c>
      <c r="BS53" s="541">
        <f t="shared" si="87"/>
        <v>607.88960747884062</v>
      </c>
      <c r="BT53" s="541">
        <f t="shared" si="60"/>
        <v>599.67407982549946</v>
      </c>
      <c r="BU53" s="541">
        <f t="shared" si="61"/>
        <v>607.8147411228864</v>
      </c>
      <c r="BV53" s="540">
        <f t="shared" si="69"/>
        <v>140.98470882209756</v>
      </c>
      <c r="BW53" s="541">
        <f t="shared" si="70"/>
        <v>187.95216887574429</v>
      </c>
      <c r="BX53" s="541">
        <f t="shared" si="71"/>
        <v>187.29815702270878</v>
      </c>
      <c r="BY53" s="541">
        <f t="shared" si="72"/>
        <v>187.88960747884062</v>
      </c>
      <c r="BZ53" s="541">
        <f t="shared" si="73"/>
        <v>179.67407982549946</v>
      </c>
      <c r="CA53" s="542">
        <f t="shared" si="73"/>
        <v>187.8147411228864</v>
      </c>
    </row>
    <row r="54" spans="1:79" x14ac:dyDescent="0.2">
      <c r="A54" s="239">
        <f t="shared" si="40"/>
        <v>40</v>
      </c>
      <c r="B54" s="822">
        <v>10077505.218</v>
      </c>
      <c r="C54" s="239">
        <f t="shared" si="41"/>
        <v>2058</v>
      </c>
      <c r="E54" s="254">
        <f>IF(E53&gt;$K$10,MAX($K$7,E53*(1+$K$9)),MAX($K$7,scenarios!E53+scenarios!F53))</f>
        <v>0.90538908532192774</v>
      </c>
      <c r="F54" s="14">
        <f t="shared" si="74"/>
        <v>-0.31503901973444082</v>
      </c>
      <c r="G54" s="9">
        <f t="shared" si="42"/>
        <v>-0.2581381225401147</v>
      </c>
      <c r="H54" s="18">
        <f t="shared" si="64"/>
        <v>-0.96708967416721692</v>
      </c>
      <c r="I54" s="102">
        <f t="shared" si="75"/>
        <v>-0.97860191289703602</v>
      </c>
      <c r="J54" s="18">
        <f t="shared" si="76"/>
        <v>-0.97765776514875058</v>
      </c>
      <c r="K54" s="136">
        <f t="shared" si="65"/>
        <v>8.984258164458811E-2</v>
      </c>
      <c r="L54" s="263"/>
      <c r="M54" s="243">
        <f>IF(M53&gt;'goal seek'!$F$28,MAX($T$7,M53*(1+O54)),MAX($T$7,M53+N53))</f>
        <v>-4.3499999999999996</v>
      </c>
      <c r="N54" s="14">
        <f t="shared" si="77"/>
        <v>0</v>
      </c>
      <c r="O54" s="135">
        <f t="shared" si="62"/>
        <v>-2.7747516301083799</v>
      </c>
      <c r="P54" s="9" t="str">
        <f t="shared" si="43"/>
        <v/>
      </c>
      <c r="Q54" s="18">
        <f t="shared" si="13"/>
        <v>-1.1581197738005675</v>
      </c>
      <c r="R54" s="102">
        <f t="shared" si="78"/>
        <v>-1.1028084835646064</v>
      </c>
      <c r="S54" s="18">
        <f t="shared" si="79"/>
        <v>-1.1073447020497025</v>
      </c>
      <c r="T54" s="136">
        <f t="shared" si="44"/>
        <v>-0.4316544527538641</v>
      </c>
      <c r="U54" s="6"/>
      <c r="V54" s="243">
        <f>IF(V53&gt;'goal seek'!$F$28,MAX($AC$7,V53*(1+X54)),MAX($AC$7,V53+W53))</f>
        <v>-4.3499999999999996</v>
      </c>
      <c r="W54" s="14">
        <f t="shared" si="80"/>
        <v>0</v>
      </c>
      <c r="X54" s="135">
        <f t="shared" si="63"/>
        <v>-0.26206609086581978</v>
      </c>
      <c r="Y54" s="9" t="str">
        <f t="shared" si="45"/>
        <v/>
      </c>
      <c r="Z54" s="18">
        <f t="shared" si="17"/>
        <v>-1.1581197738005675</v>
      </c>
      <c r="AA54" s="102">
        <f t="shared" si="81"/>
        <v>-1.1028084835646064</v>
      </c>
      <c r="AB54" s="18">
        <f t="shared" si="82"/>
        <v>-1.1073447020497025</v>
      </c>
      <c r="AC54" s="136">
        <f t="shared" si="46"/>
        <v>-0.4316544527538641</v>
      </c>
      <c r="AD54" s="6"/>
      <c r="AE54" s="243">
        <f>IF(AE53&gt;'goal seek'!$F$28,MAX($AL$7,AE53*(1+AG54)),MAX($AL$7,AE53+AF53))</f>
        <v>-4.3499999999999996</v>
      </c>
      <c r="AF54" s="14">
        <f t="shared" si="66"/>
        <v>0</v>
      </c>
      <c r="AG54" s="135">
        <f t="shared" si="83"/>
        <v>-0.78321110646453063</v>
      </c>
      <c r="AH54" s="9" t="str">
        <f t="shared" si="47"/>
        <v/>
      </c>
      <c r="AI54" s="18">
        <f t="shared" si="22"/>
        <v>-1.1581197738005675</v>
      </c>
      <c r="AJ54" s="102">
        <f t="shared" si="67"/>
        <v>-1.1028084835646064</v>
      </c>
      <c r="AK54" s="18">
        <f t="shared" si="68"/>
        <v>-1.1073447020497025</v>
      </c>
      <c r="AL54" s="136">
        <f t="shared" si="48"/>
        <v>-0.4316544527538641</v>
      </c>
      <c r="AM54" s="6"/>
      <c r="AN54" s="243">
        <f>IF(AN53&gt;'goal seek'!$F$28,MAX($AL$7,AN53*(1+AP54)),MAX($AL$7,AN53+AO53))</f>
        <v>-1.9200113393913929</v>
      </c>
      <c r="AO54" s="14">
        <f t="shared" si="25"/>
        <v>-0.4318985145477825</v>
      </c>
      <c r="AP54" s="135">
        <f t="shared" si="49"/>
        <v>-0.15443313904996536</v>
      </c>
      <c r="AQ54" s="9" t="str">
        <f t="shared" si="50"/>
        <v/>
      </c>
      <c r="AR54" s="18">
        <f t="shared" si="26"/>
        <v>-1.0697912088917454</v>
      </c>
      <c r="AS54" s="102">
        <f t="shared" si="27"/>
        <v>-1.0453778055700409</v>
      </c>
      <c r="AT54" s="18">
        <f t="shared" si="28"/>
        <v>-1.0473800103813837</v>
      </c>
      <c r="AU54" s="136">
        <f t="shared" si="51"/>
        <v>-0.19052446988188629</v>
      </c>
      <c r="AV54" s="6"/>
      <c r="AW54" s="243">
        <f t="shared" si="52"/>
        <v>-4.3499999999999996</v>
      </c>
      <c r="AX54" s="730">
        <f t="shared" si="53"/>
        <v>0</v>
      </c>
      <c r="AY54" s="9">
        <f t="shared" si="54"/>
        <v>0</v>
      </c>
      <c r="AZ54" s="9">
        <f t="shared" si="55"/>
        <v>0</v>
      </c>
      <c r="BA54" s="18">
        <f t="shared" si="29"/>
        <v>-1.1581197738005675</v>
      </c>
      <c r="BB54" s="102">
        <f t="shared" si="30"/>
        <v>-1.1028084835646064</v>
      </c>
      <c r="BC54" s="18">
        <f t="shared" si="31"/>
        <v>-1.1073447020497025</v>
      </c>
      <c r="BD54" s="136">
        <f t="shared" si="56"/>
        <v>-0.4316544527538641</v>
      </c>
      <c r="BE54" s="6"/>
      <c r="BF54" s="243">
        <f t="shared" si="57"/>
        <v>2.9909240852516977E-2</v>
      </c>
      <c r="BG54" s="14">
        <f t="shared" si="32"/>
        <v>-7.5677651400233581E-3</v>
      </c>
      <c r="BH54" s="9"/>
      <c r="BI54" s="9">
        <f t="shared" si="58"/>
        <v>-0.20193088907715029</v>
      </c>
      <c r="BJ54" s="18">
        <f t="shared" si="33"/>
        <v>-0.99891281783950647</v>
      </c>
      <c r="BK54" s="102">
        <f t="shared" si="34"/>
        <v>-0.99929312098928369</v>
      </c>
      <c r="BL54" s="18">
        <f t="shared" si="35"/>
        <v>-0.99926193136831121</v>
      </c>
      <c r="BM54" s="136">
        <f t="shared" si="59"/>
        <v>2.9679211476958001E-3</v>
      </c>
      <c r="BP54" s="540">
        <f t="shared" si="84"/>
        <v>561.89009790741943</v>
      </c>
      <c r="BQ54" s="541">
        <f t="shared" si="85"/>
        <v>603.60216887574427</v>
      </c>
      <c r="BR54" s="541">
        <f t="shared" si="86"/>
        <v>602.94815702270876</v>
      </c>
      <c r="BS54" s="541">
        <f t="shared" si="87"/>
        <v>603.53960747884059</v>
      </c>
      <c r="BT54" s="541">
        <f t="shared" si="60"/>
        <v>597.75406848610805</v>
      </c>
      <c r="BU54" s="541">
        <f t="shared" si="61"/>
        <v>603.46474112288638</v>
      </c>
      <c r="BV54" s="540">
        <f t="shared" si="69"/>
        <v>141.89009790741943</v>
      </c>
      <c r="BW54" s="541">
        <f t="shared" si="70"/>
        <v>183.60216887574427</v>
      </c>
      <c r="BX54" s="541">
        <f t="shared" si="71"/>
        <v>182.94815702270876</v>
      </c>
      <c r="BY54" s="541">
        <f t="shared" si="72"/>
        <v>183.53960747884059</v>
      </c>
      <c r="BZ54" s="541">
        <f t="shared" si="73"/>
        <v>177.75406848610805</v>
      </c>
      <c r="CA54" s="542">
        <f t="shared" si="73"/>
        <v>183.46474112288638</v>
      </c>
    </row>
    <row r="55" spans="1:79" x14ac:dyDescent="0.2">
      <c r="A55" s="239">
        <f t="shared" si="40"/>
        <v>41</v>
      </c>
      <c r="B55" s="822">
        <v>10115019.649</v>
      </c>
      <c r="C55" s="239">
        <f t="shared" si="41"/>
        <v>2059</v>
      </c>
      <c r="E55" s="254">
        <f>IF(E54&gt;$K$10,MAX($K$7,E54*(1+$K$9)),MAX($K$7,scenarios!E54+scenarios!F54))</f>
        <v>0.59035006558748693</v>
      </c>
      <c r="F55" s="14">
        <f t="shared" si="74"/>
        <v>-0.31503901973444082</v>
      </c>
      <c r="G55" s="9">
        <f t="shared" si="42"/>
        <v>-0.34795981621804384</v>
      </c>
      <c r="H55" s="18">
        <f t="shared" si="64"/>
        <v>-0.97854114509566814</v>
      </c>
      <c r="I55" s="102">
        <f t="shared" si="75"/>
        <v>-0.98604758735280107</v>
      </c>
      <c r="J55" s="18">
        <f t="shared" si="76"/>
        <v>-0.98543196508149167</v>
      </c>
      <c r="K55" s="136">
        <f t="shared" si="65"/>
        <v>5.8363709223822481E-2</v>
      </c>
      <c r="L55" s="263"/>
      <c r="M55" s="243">
        <f>IF(M54&gt;'goal seek'!$F$28,MAX($T$7,M54*(1+O55)),MAX($T$7,M54+N54))</f>
        <v>-4.3499999999999996</v>
      </c>
      <c r="N55" s="14">
        <f t="shared" si="77"/>
        <v>0</v>
      </c>
      <c r="O55" s="135">
        <f t="shared" si="62"/>
        <v>-3.1779562065440738</v>
      </c>
      <c r="P55" s="9" t="str">
        <f t="shared" si="43"/>
        <v/>
      </c>
      <c r="Q55" s="18">
        <f t="shared" si="13"/>
        <v>-1.1581197738005675</v>
      </c>
      <c r="R55" s="102">
        <f t="shared" si="78"/>
        <v>-1.1028084835646064</v>
      </c>
      <c r="S55" s="18">
        <f t="shared" si="79"/>
        <v>-1.1073447020497025</v>
      </c>
      <c r="T55" s="136">
        <f t="shared" si="44"/>
        <v>-0.43005353928601153</v>
      </c>
      <c r="U55" s="6"/>
      <c r="V55" s="243">
        <f>IF(V54&gt;'goal seek'!$F$28,MAX($AC$7,V54*(1+X55)),MAX($AC$7,V54+W54))</f>
        <v>-4.3499999999999996</v>
      </c>
      <c r="W55" s="14">
        <f t="shared" si="80"/>
        <v>0</v>
      </c>
      <c r="X55" s="135">
        <f t="shared" si="63"/>
        <v>-0.26854151430965711</v>
      </c>
      <c r="Y55" s="9" t="str">
        <f t="shared" si="45"/>
        <v/>
      </c>
      <c r="Z55" s="18">
        <f t="shared" si="17"/>
        <v>-1.1581197738005675</v>
      </c>
      <c r="AA55" s="102">
        <f t="shared" si="81"/>
        <v>-1.1028084835646064</v>
      </c>
      <c r="AB55" s="18">
        <f t="shared" si="82"/>
        <v>-1.1073447020497025</v>
      </c>
      <c r="AC55" s="136">
        <f t="shared" si="46"/>
        <v>-0.43005353928601153</v>
      </c>
      <c r="AD55" s="6"/>
      <c r="AE55" s="243">
        <f>IF(AE54&gt;'goal seek'!$F$28,MAX($AL$7,AE54*(1+AG55)),MAX($AL$7,AE54+AF54))</f>
        <v>-4.3499999999999996</v>
      </c>
      <c r="AF55" s="14">
        <f t="shared" si="66"/>
        <v>0</v>
      </c>
      <c r="AG55" s="135">
        <f t="shared" si="83"/>
        <v>-0.82412194801423211</v>
      </c>
      <c r="AH55" s="9" t="str">
        <f t="shared" si="47"/>
        <v/>
      </c>
      <c r="AI55" s="18">
        <f t="shared" si="22"/>
        <v>-1.1581197738005675</v>
      </c>
      <c r="AJ55" s="102">
        <f t="shared" si="67"/>
        <v>-1.1028084835646064</v>
      </c>
      <c r="AK55" s="18">
        <f t="shared" si="68"/>
        <v>-1.1073447020497025</v>
      </c>
      <c r="AL55" s="136">
        <f t="shared" si="48"/>
        <v>-0.43005353928601153</v>
      </c>
      <c r="AM55" s="6"/>
      <c r="AN55" s="243">
        <f>IF(AN54&gt;'goal seek'!$F$28,MAX($AL$7,AN54*(1+AP55)),MAX($AL$7,AN54+AO54))</f>
        <v>-2.3519098539391754</v>
      </c>
      <c r="AO55" s="14">
        <f t="shared" si="25"/>
        <v>-0.4318985145477825</v>
      </c>
      <c r="AP55" s="135">
        <f t="shared" si="49"/>
        <v>-0.15626677045385018</v>
      </c>
      <c r="AQ55" s="9" t="str">
        <f t="shared" si="50"/>
        <v/>
      </c>
      <c r="AR55" s="18">
        <f t="shared" si="26"/>
        <v>-1.0854904492193538</v>
      </c>
      <c r="AS55" s="102">
        <f t="shared" si="27"/>
        <v>-1.0555853530032508</v>
      </c>
      <c r="AT55" s="18">
        <f t="shared" si="28"/>
        <v>-1.0580379454066347</v>
      </c>
      <c r="AU55" s="136">
        <f t="shared" si="51"/>
        <v>-0.23251658776280204</v>
      </c>
      <c r="AV55" s="6"/>
      <c r="AW55" s="243">
        <f t="shared" si="52"/>
        <v>-4.3499999999999996</v>
      </c>
      <c r="AX55" s="730">
        <f t="shared" si="53"/>
        <v>0</v>
      </c>
      <c r="AY55" s="9">
        <f t="shared" si="54"/>
        <v>0</v>
      </c>
      <c r="AZ55" s="9">
        <f t="shared" si="55"/>
        <v>0</v>
      </c>
      <c r="BA55" s="18">
        <f t="shared" si="29"/>
        <v>-1.1581197738005675</v>
      </c>
      <c r="BB55" s="102">
        <f t="shared" si="30"/>
        <v>-1.1028084835646064</v>
      </c>
      <c r="BC55" s="18">
        <f t="shared" si="31"/>
        <v>-1.1073447020497025</v>
      </c>
      <c r="BD55" s="136">
        <f t="shared" si="56"/>
        <v>-0.43005353928601153</v>
      </c>
      <c r="BE55" s="6"/>
      <c r="BF55" s="243">
        <f t="shared" si="57"/>
        <v>2.3856470934856572E-2</v>
      </c>
      <c r="BG55" s="14">
        <f t="shared" si="32"/>
        <v>-6.0527699176604055E-3</v>
      </c>
      <c r="BH55" s="9"/>
      <c r="BI55" s="9">
        <f t="shared" si="58"/>
        <v>-0.20237123193820683</v>
      </c>
      <c r="BJ55" s="18">
        <f t="shared" si="33"/>
        <v>-0.9991328322326668</v>
      </c>
      <c r="BK55" s="102">
        <f t="shared" si="34"/>
        <v>-0.99943617296551357</v>
      </c>
      <c r="BL55" s="18">
        <f t="shared" si="35"/>
        <v>-0.99941129522656091</v>
      </c>
      <c r="BM55" s="136">
        <f t="shared" si="59"/>
        <v>2.3585194851514788E-3</v>
      </c>
      <c r="BP55" s="540">
        <f t="shared" si="84"/>
        <v>562.4804479730069</v>
      </c>
      <c r="BQ55" s="541">
        <f t="shared" si="85"/>
        <v>599.25216887574425</v>
      </c>
      <c r="BR55" s="541">
        <f t="shared" si="86"/>
        <v>598.59815702270873</v>
      </c>
      <c r="BS55" s="541">
        <f t="shared" si="87"/>
        <v>599.18960747884057</v>
      </c>
      <c r="BT55" s="541">
        <f t="shared" si="60"/>
        <v>595.40215863216883</v>
      </c>
      <c r="BU55" s="541">
        <f t="shared" si="61"/>
        <v>599.11474112288636</v>
      </c>
      <c r="BV55" s="540">
        <f t="shared" si="69"/>
        <v>142.4804479730069</v>
      </c>
      <c r="BW55" s="541">
        <f t="shared" si="70"/>
        <v>179.25216887574425</v>
      </c>
      <c r="BX55" s="541">
        <f t="shared" si="71"/>
        <v>178.59815702270873</v>
      </c>
      <c r="BY55" s="541">
        <f t="shared" si="72"/>
        <v>179.18960747884057</v>
      </c>
      <c r="BZ55" s="541">
        <f t="shared" si="73"/>
        <v>175.40215863216883</v>
      </c>
      <c r="CA55" s="542">
        <f t="shared" si="73"/>
        <v>179.11474112288636</v>
      </c>
    </row>
    <row r="56" spans="1:79" x14ac:dyDescent="0.2">
      <c r="A56" s="239">
        <f t="shared" si="40"/>
        <v>42</v>
      </c>
      <c r="B56" s="822">
        <v>10151448.761</v>
      </c>
      <c r="C56" s="239">
        <f t="shared" si="41"/>
        <v>2060</v>
      </c>
      <c r="E56" s="254">
        <f>IF(E55&gt;$K$10,MAX($K$7,E55*(1+$K$9)),MAX($K$7,scenarios!E55+scenarios!F55))</f>
        <v>0.27531104585304611</v>
      </c>
      <c r="F56" s="14">
        <f t="shared" si="74"/>
        <v>-0.31503901973444082</v>
      </c>
      <c r="G56" s="9">
        <f t="shared" si="42"/>
        <v>-0.53364781016993657</v>
      </c>
      <c r="H56" s="18">
        <f t="shared" si="64"/>
        <v>-0.98999261602411914</v>
      </c>
      <c r="I56" s="102">
        <f t="shared" si="75"/>
        <v>-0.99349326180856612</v>
      </c>
      <c r="J56" s="18">
        <f t="shared" si="76"/>
        <v>-0.99320616501423287</v>
      </c>
      <c r="K56" s="136">
        <f t="shared" si="65"/>
        <v>2.7120369942735714E-2</v>
      </c>
      <c r="L56" s="263"/>
      <c r="M56" s="243">
        <f>IF(M55&gt;'goal seek'!$F$28,MAX($T$7,M55*(1+O56)),MAX($T$7,M55+N55))</f>
        <v>-4.3499999999999996</v>
      </c>
      <c r="N56" s="14">
        <f t="shared" si="77"/>
        <v>0</v>
      </c>
      <c r="O56" s="135">
        <f t="shared" si="62"/>
        <v>-3.6397512271458776</v>
      </c>
      <c r="P56" s="9" t="str">
        <f t="shared" si="43"/>
        <v/>
      </c>
      <c r="Q56" s="18">
        <f t="shared" si="13"/>
        <v>-1.1581197738005675</v>
      </c>
      <c r="R56" s="102">
        <f t="shared" si="78"/>
        <v>-1.1028084835646064</v>
      </c>
      <c r="S56" s="18">
        <f t="shared" si="79"/>
        <v>-1.1073447020497025</v>
      </c>
      <c r="T56" s="136">
        <f t="shared" si="44"/>
        <v>-0.42851026512707235</v>
      </c>
      <c r="U56" s="6"/>
      <c r="V56" s="243">
        <f>IF(V55&gt;'goal seek'!$F$28,MAX($AC$7,V55*(1+X56)),MAX($AC$7,V55+W55))</f>
        <v>-4.3499999999999996</v>
      </c>
      <c r="W56" s="14">
        <f t="shared" si="80"/>
        <v>0</v>
      </c>
      <c r="X56" s="135">
        <f t="shared" si="63"/>
        <v>-0.27501693775349445</v>
      </c>
      <c r="Y56" s="9" t="str">
        <f t="shared" si="45"/>
        <v/>
      </c>
      <c r="Z56" s="18">
        <f t="shared" si="17"/>
        <v>-1.1581197738005675</v>
      </c>
      <c r="AA56" s="102">
        <f t="shared" si="81"/>
        <v>-1.1028084835646064</v>
      </c>
      <c r="AB56" s="18">
        <f t="shared" si="82"/>
        <v>-1.1073447020497025</v>
      </c>
      <c r="AC56" s="136">
        <f t="shared" si="46"/>
        <v>-0.42851026512707235</v>
      </c>
      <c r="AD56" s="6"/>
      <c r="AE56" s="243">
        <f>IF(AE55&gt;'goal seek'!$F$28,MAX($AL$7,AE55*(1+AG56)),MAX($AL$7,AE55+AF55))</f>
        <v>-4.3499999999999996</v>
      </c>
      <c r="AF56" s="14">
        <f t="shared" si="66"/>
        <v>0</v>
      </c>
      <c r="AG56" s="135">
        <f t="shared" si="83"/>
        <v>-0.86609540882496472</v>
      </c>
      <c r="AH56" s="9" t="str">
        <f t="shared" si="47"/>
        <v/>
      </c>
      <c r="AI56" s="18">
        <f t="shared" si="22"/>
        <v>-1.1581197738005675</v>
      </c>
      <c r="AJ56" s="102">
        <f t="shared" si="67"/>
        <v>-1.1028084835646064</v>
      </c>
      <c r="AK56" s="18">
        <f t="shared" si="68"/>
        <v>-1.1073447020497025</v>
      </c>
      <c r="AL56" s="136">
        <f t="shared" si="48"/>
        <v>-0.42851026512707235</v>
      </c>
      <c r="AM56" s="6"/>
      <c r="AN56" s="243">
        <f>IF(AN55&gt;'goal seek'!$F$28,MAX($AL$7,AN55*(1+AP56)),MAX($AL$7,AN55+AO55))</f>
        <v>-2.7838083684869579</v>
      </c>
      <c r="AO56" s="14">
        <f t="shared" si="25"/>
        <v>-0.4318985145477825</v>
      </c>
      <c r="AP56" s="135">
        <f t="shared" si="49"/>
        <v>-0.15807673912319059</v>
      </c>
      <c r="AQ56" s="9" t="str">
        <f t="shared" si="50"/>
        <v/>
      </c>
      <c r="AR56" s="18">
        <f t="shared" si="26"/>
        <v>-1.1011896895469622</v>
      </c>
      <c r="AS56" s="102">
        <f t="shared" si="27"/>
        <v>-1.0657929004364608</v>
      </c>
      <c r="AT56" s="18">
        <f t="shared" si="28"/>
        <v>-1.0686958804318853</v>
      </c>
      <c r="AU56" s="136">
        <f t="shared" si="51"/>
        <v>-0.27422769242374923</v>
      </c>
      <c r="AV56" s="6"/>
      <c r="AW56" s="243">
        <f t="shared" si="52"/>
        <v>-4.3499999999999996</v>
      </c>
      <c r="AX56" s="730">
        <f t="shared" si="53"/>
        <v>0</v>
      </c>
      <c r="AY56" s="9">
        <f t="shared" si="54"/>
        <v>0</v>
      </c>
      <c r="AZ56" s="9">
        <f t="shared" si="55"/>
        <v>0</v>
      </c>
      <c r="BA56" s="18">
        <f t="shared" si="29"/>
        <v>-1.1581197738005675</v>
      </c>
      <c r="BB56" s="102">
        <f t="shared" si="30"/>
        <v>-1.1028084835646064</v>
      </c>
      <c r="BC56" s="18">
        <f t="shared" si="31"/>
        <v>-1.1073447020497025</v>
      </c>
      <c r="BD56" s="136">
        <f t="shared" si="56"/>
        <v>-0.42851026512707235</v>
      </c>
      <c r="BE56" s="6"/>
      <c r="BF56" s="243">
        <f t="shared" si="57"/>
        <v>1.9018584686248563E-2</v>
      </c>
      <c r="BG56" s="14">
        <f t="shared" si="32"/>
        <v>-4.8378862486080088E-3</v>
      </c>
      <c r="BH56" s="9"/>
      <c r="BI56" s="9">
        <f t="shared" si="58"/>
        <v>-0.20279136263777375</v>
      </c>
      <c r="BJ56" s="18">
        <f t="shared" si="33"/>
        <v>-0.99930868636583992</v>
      </c>
      <c r="BK56" s="102">
        <f t="shared" si="34"/>
        <v>-0.99955051221812907</v>
      </c>
      <c r="BL56" s="18">
        <f t="shared" si="35"/>
        <v>-0.99953067946975804</v>
      </c>
      <c r="BM56" s="136">
        <f t="shared" si="59"/>
        <v>1.8734847738496666E-3</v>
      </c>
      <c r="BP56" s="540">
        <f t="shared" si="84"/>
        <v>562.75575901885998</v>
      </c>
      <c r="BQ56" s="541">
        <f t="shared" si="85"/>
        <v>594.90216887574422</v>
      </c>
      <c r="BR56" s="541">
        <f t="shared" si="86"/>
        <v>594.24815702270871</v>
      </c>
      <c r="BS56" s="541">
        <f t="shared" si="87"/>
        <v>594.83960747884055</v>
      </c>
      <c r="BT56" s="541">
        <f t="shared" si="60"/>
        <v>592.61835026368192</v>
      </c>
      <c r="BU56" s="541">
        <f t="shared" si="61"/>
        <v>594.76474112288633</v>
      </c>
      <c r="BV56" s="540">
        <f t="shared" si="69"/>
        <v>142.75575901885998</v>
      </c>
      <c r="BW56" s="541">
        <f t="shared" si="70"/>
        <v>174.90216887574422</v>
      </c>
      <c r="BX56" s="541">
        <f t="shared" si="71"/>
        <v>174.24815702270871</v>
      </c>
      <c r="BY56" s="541">
        <f t="shared" si="72"/>
        <v>174.83960747884055</v>
      </c>
      <c r="BZ56" s="541">
        <f t="shared" si="73"/>
        <v>172.61835026368192</v>
      </c>
      <c r="CA56" s="542">
        <f t="shared" si="73"/>
        <v>174.76474112288633</v>
      </c>
    </row>
    <row r="57" spans="1:79" x14ac:dyDescent="0.2">
      <c r="A57" s="239">
        <f t="shared" si="40"/>
        <v>43</v>
      </c>
      <c r="B57" s="822">
        <v>10186811.588</v>
      </c>
      <c r="C57" s="239">
        <f t="shared" si="41"/>
        <v>2061</v>
      </c>
      <c r="E57" s="254">
        <f>IF(E56&gt;$K$10,MAX($K$7,E56*(1+$K$9)),MAX($K$7,scenarios!E56+scenarios!F56))</f>
        <v>-3.9727973881394707E-2</v>
      </c>
      <c r="F57" s="14">
        <f t="shared" si="74"/>
        <v>-0.31503901973444082</v>
      </c>
      <c r="G57" s="9" t="str">
        <f t="shared" si="42"/>
        <v/>
      </c>
      <c r="H57" s="18">
        <f t="shared" si="64"/>
        <v>-1.0014440869525703</v>
      </c>
      <c r="I57" s="102">
        <f t="shared" si="75"/>
        <v>-1.0009389362643313</v>
      </c>
      <c r="J57" s="18">
        <f t="shared" si="76"/>
        <v>-1.000980364946974</v>
      </c>
      <c r="K57" s="136">
        <f t="shared" si="65"/>
        <v>-3.8999419532009414E-3</v>
      </c>
      <c r="L57" s="263"/>
      <c r="M57" s="243">
        <f>IF(M56&gt;'goal seek'!$F$28,MAX($T$7,M56*(1+O57)),MAX($T$7,M56+N56))</f>
        <v>-4.3499999999999996</v>
      </c>
      <c r="N57" s="14">
        <f t="shared" si="77"/>
        <v>0</v>
      </c>
      <c r="O57" s="135">
        <f t="shared" si="62"/>
        <v>-4.1686505837399412</v>
      </c>
      <c r="P57" s="9" t="str">
        <f t="shared" si="43"/>
        <v/>
      </c>
      <c r="Q57" s="18">
        <f t="shared" si="13"/>
        <v>-1.1581197738005675</v>
      </c>
      <c r="R57" s="102">
        <f t="shared" si="78"/>
        <v>-1.1028084835646064</v>
      </c>
      <c r="S57" s="18">
        <f t="shared" si="79"/>
        <v>-1.1073447020497025</v>
      </c>
      <c r="T57" s="136">
        <f t="shared" si="44"/>
        <v>-0.42702272074259945</v>
      </c>
      <c r="U57" s="6"/>
      <c r="V57" s="243">
        <f>IF(V56&gt;'goal seek'!$F$28,MAX($AC$7,V56*(1+X57)),MAX($AC$7,V56+W56))</f>
        <v>-4.3499999999999996</v>
      </c>
      <c r="W57" s="14">
        <f t="shared" si="80"/>
        <v>0</v>
      </c>
      <c r="X57" s="135">
        <f t="shared" si="63"/>
        <v>-0.28149236119733179</v>
      </c>
      <c r="Y57" s="9" t="str">
        <f t="shared" si="45"/>
        <v/>
      </c>
      <c r="Z57" s="18">
        <f t="shared" si="17"/>
        <v>-1.1581197738005675</v>
      </c>
      <c r="AA57" s="102">
        <f t="shared" si="81"/>
        <v>-1.1028084835646064</v>
      </c>
      <c r="AB57" s="18">
        <f t="shared" si="82"/>
        <v>-1.1073447020497025</v>
      </c>
      <c r="AC57" s="136">
        <f t="shared" si="46"/>
        <v>-0.42702272074259945</v>
      </c>
      <c r="AD57" s="6"/>
      <c r="AE57" s="243">
        <f>IF(AE56&gt;'goal seek'!$F$28,MAX($AL$7,AE56*(1+AG57)),MAX($AL$7,AE56+AF56))</f>
        <v>-4.3499999999999996</v>
      </c>
      <c r="AF57" s="14">
        <f t="shared" si="66"/>
        <v>0</v>
      </c>
      <c r="AG57" s="135">
        <f t="shared" si="83"/>
        <v>-0.90913148889672857</v>
      </c>
      <c r="AH57" s="9" t="str">
        <f t="shared" si="47"/>
        <v/>
      </c>
      <c r="AI57" s="18">
        <f t="shared" si="22"/>
        <v>-1.1581197738005675</v>
      </c>
      <c r="AJ57" s="102">
        <f t="shared" si="67"/>
        <v>-1.1028084835646064</v>
      </c>
      <c r="AK57" s="18">
        <f t="shared" si="68"/>
        <v>-1.1073447020497025</v>
      </c>
      <c r="AL57" s="136">
        <f t="shared" si="48"/>
        <v>-0.42702272074259945</v>
      </c>
      <c r="AM57" s="6"/>
      <c r="AN57" s="243">
        <f>IF(AN56&gt;'goal seek'!$F$28,MAX($AL$7,AN56*(1+AP57)),MAX($AL$7,AN56+AO56))</f>
        <v>-3.2157068830347404</v>
      </c>
      <c r="AO57" s="14">
        <f t="shared" si="25"/>
        <v>-0.4318985145477825</v>
      </c>
      <c r="AP57" s="135">
        <f t="shared" si="49"/>
        <v>-0.15986393817147232</v>
      </c>
      <c r="AQ57" s="9" t="str">
        <f t="shared" si="50"/>
        <v/>
      </c>
      <c r="AR57" s="18">
        <f t="shared" si="26"/>
        <v>-1.1168889298745706</v>
      </c>
      <c r="AS57" s="102">
        <f t="shared" si="27"/>
        <v>-1.076000447869671</v>
      </c>
      <c r="AT57" s="18">
        <f t="shared" si="28"/>
        <v>-1.079353815457136</v>
      </c>
      <c r="AU57" s="136">
        <f t="shared" si="51"/>
        <v>-0.31567354075958598</v>
      </c>
      <c r="AV57" s="6"/>
      <c r="AW57" s="243">
        <f t="shared" si="52"/>
        <v>-4.3499999999999996</v>
      </c>
      <c r="AX57" s="730">
        <f t="shared" si="53"/>
        <v>0</v>
      </c>
      <c r="AY57" s="9">
        <f t="shared" si="54"/>
        <v>0</v>
      </c>
      <c r="AZ57" s="9">
        <f t="shared" si="55"/>
        <v>0</v>
      </c>
      <c r="BA57" s="18">
        <f t="shared" si="29"/>
        <v>-1.1581197738005675</v>
      </c>
      <c r="BB57" s="102">
        <f t="shared" si="30"/>
        <v>-1.1028084835646064</v>
      </c>
      <c r="BC57" s="18">
        <f t="shared" si="31"/>
        <v>-1.1073447020497025</v>
      </c>
      <c r="BD57" s="136">
        <f t="shared" si="56"/>
        <v>-0.42702272074259945</v>
      </c>
      <c r="BE57" s="6"/>
      <c r="BF57" s="243">
        <f t="shared" si="57"/>
        <v>1.5154148224542634E-2</v>
      </c>
      <c r="BG57" s="14">
        <f t="shared" si="32"/>
        <v>-3.8644364617059293E-3</v>
      </c>
      <c r="BH57" s="9"/>
      <c r="BI57" s="9">
        <f t="shared" si="58"/>
        <v>-0.20319264159020833</v>
      </c>
      <c r="BJ57" s="18">
        <f t="shared" si="33"/>
        <v>-0.99944915620933217</v>
      </c>
      <c r="BK57" s="102">
        <f t="shared" si="34"/>
        <v>-0.99964184482789009</v>
      </c>
      <c r="BL57" s="18">
        <f t="shared" si="35"/>
        <v>-0.99962604194805049</v>
      </c>
      <c r="BM57" s="136">
        <f t="shared" si="59"/>
        <v>1.4876242770990411E-3</v>
      </c>
      <c r="BP57" s="540">
        <f t="shared" si="84"/>
        <v>562.71603104497854</v>
      </c>
      <c r="BQ57" s="541">
        <f t="shared" si="85"/>
        <v>590.5521688757442</v>
      </c>
      <c r="BR57" s="541">
        <f t="shared" si="86"/>
        <v>589.89815702270869</v>
      </c>
      <c r="BS57" s="541">
        <f t="shared" si="87"/>
        <v>590.48960747884053</v>
      </c>
      <c r="BT57" s="541">
        <f t="shared" si="60"/>
        <v>589.40264338064719</v>
      </c>
      <c r="BU57" s="541">
        <f t="shared" si="61"/>
        <v>590.41474112288631</v>
      </c>
      <c r="BV57" s="540">
        <f t="shared" si="69"/>
        <v>142.71603104497854</v>
      </c>
      <c r="BW57" s="541">
        <f t="shared" si="70"/>
        <v>170.5521688757442</v>
      </c>
      <c r="BX57" s="541">
        <f t="shared" si="71"/>
        <v>169.89815702270869</v>
      </c>
      <c r="BY57" s="541">
        <f t="shared" si="72"/>
        <v>170.48960747884053</v>
      </c>
      <c r="BZ57" s="541">
        <f t="shared" si="73"/>
        <v>169.40264338064719</v>
      </c>
      <c r="CA57" s="542">
        <f t="shared" si="73"/>
        <v>170.41474112288631</v>
      </c>
    </row>
    <row r="58" spans="1:79" x14ac:dyDescent="0.2">
      <c r="A58" s="239">
        <f t="shared" si="40"/>
        <v>44</v>
      </c>
      <c r="B58" s="822">
        <v>10221118.372</v>
      </c>
      <c r="C58" s="239">
        <f t="shared" si="41"/>
        <v>2062</v>
      </c>
      <c r="E58" s="254">
        <f>IF(E57&gt;$K$10,MAX($K$7,E57*(1+$K$9)),MAX($K$7,scenarios!E57+scenarios!F57))</f>
        <v>-0.35476699361583552</v>
      </c>
      <c r="F58" s="14">
        <f t="shared" si="74"/>
        <v>-0.31503901973444082</v>
      </c>
      <c r="G58" s="9" t="str">
        <f t="shared" si="42"/>
        <v/>
      </c>
      <c r="H58" s="18">
        <f t="shared" si="64"/>
        <v>-1.0128955578810215</v>
      </c>
      <c r="I58" s="102">
        <f t="shared" si="75"/>
        <v>-1.0083846107200962</v>
      </c>
      <c r="J58" s="18">
        <f t="shared" si="76"/>
        <v>-1.0087545648797149</v>
      </c>
      <c r="K58" s="136">
        <f t="shared" si="65"/>
        <v>-3.4709214853405231E-2</v>
      </c>
      <c r="L58" s="263"/>
      <c r="M58" s="243">
        <f>IF(M57&gt;'goal seek'!$F$28,MAX($T$7,M57*(1+O58)),MAX($T$7,M57+N57))</f>
        <v>-4.3499999999999996</v>
      </c>
      <c r="N58" s="14">
        <f t="shared" si="77"/>
        <v>0</v>
      </c>
      <c r="O58" s="135">
        <f t="shared" si="62"/>
        <v>-4.7744053383950877</v>
      </c>
      <c r="P58" s="9" t="str">
        <f t="shared" si="43"/>
        <v/>
      </c>
      <c r="Q58" s="18">
        <f t="shared" si="13"/>
        <v>-1.1581197738005675</v>
      </c>
      <c r="R58" s="102">
        <f t="shared" si="78"/>
        <v>-1.1028084835646064</v>
      </c>
      <c r="S58" s="18">
        <f t="shared" si="79"/>
        <v>-1.1073447020497025</v>
      </c>
      <c r="T58" s="136">
        <f t="shared" si="44"/>
        <v>-0.42558943568411306</v>
      </c>
      <c r="U58" s="6"/>
      <c r="V58" s="243">
        <f>IF(V57&gt;'goal seek'!$F$28,MAX($AC$7,V57*(1+X58)),MAX($AC$7,V57+W57))</f>
        <v>-4.3499999999999996</v>
      </c>
      <c r="W58" s="14">
        <f t="shared" si="80"/>
        <v>0</v>
      </c>
      <c r="X58" s="135">
        <f t="shared" si="63"/>
        <v>-0.28796778464116912</v>
      </c>
      <c r="Y58" s="9" t="str">
        <f t="shared" si="45"/>
        <v/>
      </c>
      <c r="Z58" s="18">
        <f t="shared" si="17"/>
        <v>-1.1581197738005675</v>
      </c>
      <c r="AA58" s="102">
        <f t="shared" si="81"/>
        <v>-1.1028084835646064</v>
      </c>
      <c r="AB58" s="18">
        <f t="shared" si="82"/>
        <v>-1.1073447020497025</v>
      </c>
      <c r="AC58" s="136">
        <f t="shared" si="46"/>
        <v>-0.42558943568411306</v>
      </c>
      <c r="AD58" s="6"/>
      <c r="AE58" s="243">
        <f>IF(AE57&gt;'goal seek'!$F$28,MAX($AL$7,AE57*(1+AG58)),MAX($AL$7,AE57+AF57))</f>
        <v>-4.3499999999999996</v>
      </c>
      <c r="AF58" s="14">
        <f t="shared" si="66"/>
        <v>0</v>
      </c>
      <c r="AG58" s="135">
        <f t="shared" si="83"/>
        <v>-0.95323018822952355</v>
      </c>
      <c r="AH58" s="9" t="str">
        <f t="shared" si="47"/>
        <v/>
      </c>
      <c r="AI58" s="18">
        <f t="shared" si="22"/>
        <v>-1.1581197738005675</v>
      </c>
      <c r="AJ58" s="102">
        <f t="shared" si="67"/>
        <v>-1.1028084835646064</v>
      </c>
      <c r="AK58" s="18">
        <f t="shared" si="68"/>
        <v>-1.1073447020497025</v>
      </c>
      <c r="AL58" s="136">
        <f t="shared" si="48"/>
        <v>-0.42558943568411306</v>
      </c>
      <c r="AM58" s="6"/>
      <c r="AN58" s="243">
        <f>IF(AN57&gt;'goal seek'!$F$28,MAX($AL$7,AN57*(1+AP58)),MAX($AL$7,AN57+AO57))</f>
        <v>-3.6476053975825229</v>
      </c>
      <c r="AO58" s="14">
        <f t="shared" si="25"/>
        <v>-0.4318985145477825</v>
      </c>
      <c r="AP58" s="135">
        <f t="shared" si="49"/>
        <v>-0.1616292059050356</v>
      </c>
      <c r="AQ58" s="9" t="str">
        <f t="shared" si="50"/>
        <v/>
      </c>
      <c r="AR58" s="18">
        <f t="shared" si="26"/>
        <v>-1.1325881702021789</v>
      </c>
      <c r="AS58" s="102">
        <f t="shared" si="27"/>
        <v>-1.0862079953028809</v>
      </c>
      <c r="AT58" s="18">
        <f t="shared" si="28"/>
        <v>-1.0900117504823867</v>
      </c>
      <c r="AU58" s="136">
        <f t="shared" si="51"/>
        <v>-0.35686949948401625</v>
      </c>
      <c r="AV58" s="6"/>
      <c r="AW58" s="243">
        <f t="shared" si="52"/>
        <v>-4.3499999999999996</v>
      </c>
      <c r="AX58" s="730">
        <f t="shared" si="53"/>
        <v>0</v>
      </c>
      <c r="AY58" s="9">
        <f t="shared" si="54"/>
        <v>0</v>
      </c>
      <c r="AZ58" s="9">
        <f t="shared" si="55"/>
        <v>0</v>
      </c>
      <c r="BA58" s="18">
        <f t="shared" si="29"/>
        <v>-1.1581197738005675</v>
      </c>
      <c r="BB58" s="102">
        <f t="shared" si="30"/>
        <v>-1.1028084835646064</v>
      </c>
      <c r="BC58" s="18">
        <f t="shared" si="31"/>
        <v>-1.1073447020497025</v>
      </c>
      <c r="BD58" s="136">
        <f t="shared" si="56"/>
        <v>-0.42558943568411306</v>
      </c>
      <c r="BE58" s="6"/>
      <c r="BF58" s="243">
        <f t="shared" si="57"/>
        <v>1.2069122650795593E-2</v>
      </c>
      <c r="BG58" s="14">
        <f t="shared" si="32"/>
        <v>-3.0850255737470411E-3</v>
      </c>
      <c r="BH58" s="9"/>
      <c r="BI58" s="9">
        <f t="shared" si="58"/>
        <v>-0.20357630980214003</v>
      </c>
      <c r="BJ58" s="18">
        <f t="shared" si="33"/>
        <v>-0.99956129495551371</v>
      </c>
      <c r="BK58" s="102">
        <f t="shared" si="34"/>
        <v>-0.99971475673616472</v>
      </c>
      <c r="BL58" s="18">
        <f t="shared" si="35"/>
        <v>-0.99970217094828717</v>
      </c>
      <c r="BM58" s="136">
        <f t="shared" si="59"/>
        <v>1.180802551299872E-3</v>
      </c>
      <c r="BP58" s="540">
        <f t="shared" si="84"/>
        <v>562.3612640513627</v>
      </c>
      <c r="BQ58" s="541">
        <f t="shared" si="85"/>
        <v>586.20216887574418</v>
      </c>
      <c r="BR58" s="541">
        <f t="shared" si="86"/>
        <v>585.54815702270866</v>
      </c>
      <c r="BS58" s="541">
        <f t="shared" si="87"/>
        <v>586.1396074788405</v>
      </c>
      <c r="BT58" s="541">
        <f t="shared" si="60"/>
        <v>585.75503798306465</v>
      </c>
      <c r="BU58" s="541">
        <f t="shared" si="61"/>
        <v>586.06474112288629</v>
      </c>
      <c r="BV58" s="540">
        <f t="shared" si="69"/>
        <v>142.3612640513627</v>
      </c>
      <c r="BW58" s="541">
        <f t="shared" si="70"/>
        <v>166.20216887574418</v>
      </c>
      <c r="BX58" s="541">
        <f t="shared" si="71"/>
        <v>165.54815702270866</v>
      </c>
      <c r="BY58" s="541">
        <f t="shared" si="72"/>
        <v>166.1396074788405</v>
      </c>
      <c r="BZ58" s="541">
        <f t="shared" si="73"/>
        <v>165.75503798306465</v>
      </c>
      <c r="CA58" s="542">
        <f t="shared" si="73"/>
        <v>166.06474112288629</v>
      </c>
    </row>
    <row r="59" spans="1:79" x14ac:dyDescent="0.2">
      <c r="A59" s="239">
        <f t="shared" si="40"/>
        <v>45</v>
      </c>
      <c r="B59" s="822">
        <v>10254382.505000001</v>
      </c>
      <c r="C59" s="239">
        <f t="shared" si="41"/>
        <v>2063</v>
      </c>
      <c r="E59" s="254">
        <f>IF(E58&gt;$K$10,MAX($K$7,E58*(1+$K$9)),MAX($K$7,scenarios!E58+scenarios!F58))</f>
        <v>-0.66980601335027634</v>
      </c>
      <c r="F59" s="14">
        <f t="shared" si="74"/>
        <v>-0.31503901973444082</v>
      </c>
      <c r="G59" s="9" t="str">
        <f t="shared" si="42"/>
        <v/>
      </c>
      <c r="H59" s="18">
        <f t="shared" si="64"/>
        <v>-1.0243470288094725</v>
      </c>
      <c r="I59" s="102">
        <f t="shared" si="75"/>
        <v>-1.0158302851758612</v>
      </c>
      <c r="J59" s="18">
        <f t="shared" si="76"/>
        <v>-1.0165287648124561</v>
      </c>
      <c r="K59" s="136">
        <f t="shared" si="65"/>
        <v>-6.5319000244401001E-2</v>
      </c>
      <c r="L59" s="263"/>
      <c r="M59" s="243">
        <f>IF(M58&gt;'goal seek'!$F$28,MAX($T$7,M58*(1+O59)),MAX($T$7,M58+N58))</f>
        <v>-4.3499999999999996</v>
      </c>
      <c r="N59" s="14">
        <f t="shared" si="77"/>
        <v>0</v>
      </c>
      <c r="O59" s="135">
        <f t="shared" si="62"/>
        <v>-5</v>
      </c>
      <c r="P59" s="9" t="str">
        <f t="shared" si="43"/>
        <v/>
      </c>
      <c r="Q59" s="18">
        <f t="shared" si="13"/>
        <v>-1.1581197738005675</v>
      </c>
      <c r="R59" s="102">
        <f t="shared" si="78"/>
        <v>-1.1028084835646064</v>
      </c>
      <c r="S59" s="18">
        <f t="shared" si="79"/>
        <v>-1.1073447020497025</v>
      </c>
      <c r="T59" s="136">
        <f t="shared" si="44"/>
        <v>-0.42420886853781348</v>
      </c>
      <c r="U59" s="6"/>
      <c r="V59" s="243">
        <f>IF(V58&gt;'goal seek'!$F$28,MAX($AC$7,V58*(1+X59)),MAX($AC$7,V58+W58))</f>
        <v>-4.3499999999999996</v>
      </c>
      <c r="W59" s="14">
        <f t="shared" si="80"/>
        <v>0</v>
      </c>
      <c r="X59" s="135">
        <f t="shared" si="63"/>
        <v>-0.29444320808500646</v>
      </c>
      <c r="Y59" s="9" t="str">
        <f t="shared" si="45"/>
        <v/>
      </c>
      <c r="Z59" s="18">
        <f t="shared" si="17"/>
        <v>-1.1581197738005675</v>
      </c>
      <c r="AA59" s="102">
        <f t="shared" si="81"/>
        <v>-1.1028084835646064</v>
      </c>
      <c r="AB59" s="18">
        <f t="shared" si="82"/>
        <v>-1.1073447020497025</v>
      </c>
      <c r="AC59" s="136">
        <f t="shared" si="46"/>
        <v>-0.42420886853781348</v>
      </c>
      <c r="AD59" s="6"/>
      <c r="AE59" s="243">
        <f>IF(AE58&gt;'goal seek'!$F$28,MAX($AL$7,AE58*(1+AG59)),MAX($AL$7,AE58+AF58))</f>
        <v>-4.3499999999999996</v>
      </c>
      <c r="AF59" s="14">
        <f t="shared" si="66"/>
        <v>0</v>
      </c>
      <c r="AG59" s="135">
        <f t="shared" si="83"/>
        <v>-0.99839150682334987</v>
      </c>
      <c r="AH59" s="9" t="str">
        <f t="shared" si="47"/>
        <v/>
      </c>
      <c r="AI59" s="18">
        <f t="shared" si="22"/>
        <v>-1.1581197738005675</v>
      </c>
      <c r="AJ59" s="102">
        <f t="shared" si="67"/>
        <v>-1.1028084835646064</v>
      </c>
      <c r="AK59" s="18">
        <f t="shared" si="68"/>
        <v>-1.1073447020497025</v>
      </c>
      <c r="AL59" s="136">
        <f t="shared" si="48"/>
        <v>-0.42420886853781348</v>
      </c>
      <c r="AM59" s="6"/>
      <c r="AN59" s="243">
        <f>IF(AN58&gt;'goal seek'!$F$28,MAX($AL$7,AN58*(1+AP59)),MAX($AL$7,AN58+AO58))</f>
        <v>-4.0795039121303054</v>
      </c>
      <c r="AO59" s="14">
        <f t="shared" si="25"/>
        <v>-0.4318985145477825</v>
      </c>
      <c r="AP59" s="135">
        <f t="shared" si="49"/>
        <v>-0.16337333041923602</v>
      </c>
      <c r="AQ59" s="9" t="str">
        <f t="shared" si="50"/>
        <v/>
      </c>
      <c r="AR59" s="18">
        <f t="shared" si="26"/>
        <v>-1.1482874105297873</v>
      </c>
      <c r="AS59" s="102">
        <f t="shared" si="27"/>
        <v>-1.0964155427360909</v>
      </c>
      <c r="AT59" s="18">
        <f t="shared" si="28"/>
        <v>-1.1006696855076377</v>
      </c>
      <c r="AU59" s="136">
        <f t="shared" si="51"/>
        <v>-0.39783028477250132</v>
      </c>
      <c r="AV59" s="6"/>
      <c r="AW59" s="243">
        <f t="shared" si="52"/>
        <v>-4.3499999999999996</v>
      </c>
      <c r="AX59" s="730">
        <f t="shared" si="53"/>
        <v>0</v>
      </c>
      <c r="AY59" s="9">
        <f t="shared" si="54"/>
        <v>0</v>
      </c>
      <c r="AZ59" s="9">
        <f t="shared" si="55"/>
        <v>0</v>
      </c>
      <c r="BA59" s="18">
        <f t="shared" si="29"/>
        <v>-1.1581197738005675</v>
      </c>
      <c r="BB59" s="102">
        <f t="shared" si="30"/>
        <v>-1.1028084835646064</v>
      </c>
      <c r="BC59" s="18">
        <f t="shared" si="31"/>
        <v>-1.1073447020497025</v>
      </c>
      <c r="BD59" s="136">
        <f t="shared" si="56"/>
        <v>-0.42420886853781348</v>
      </c>
      <c r="BE59" s="6"/>
      <c r="BF59" s="243">
        <f t="shared" si="57"/>
        <v>9.6077035150404153E-3</v>
      </c>
      <c r="BG59" s="14">
        <f t="shared" si="32"/>
        <v>-2.4614191357551773E-3</v>
      </c>
      <c r="BH59" s="9"/>
      <c r="BI59" s="9">
        <f t="shared" si="58"/>
        <v>-0.20394350169214015</v>
      </c>
      <c r="BJ59" s="18">
        <f t="shared" si="33"/>
        <v>-0.99965076599849623</v>
      </c>
      <c r="BK59" s="102">
        <f t="shared" si="34"/>
        <v>-0.99977293024622549</v>
      </c>
      <c r="BL59" s="18">
        <f t="shared" si="35"/>
        <v>-0.99976291124799921</v>
      </c>
      <c r="BM59" s="136">
        <f t="shared" si="59"/>
        <v>9.3693633042806162E-4</v>
      </c>
      <c r="BP59" s="540">
        <f t="shared" si="84"/>
        <v>561.69145803801246</v>
      </c>
      <c r="BQ59" s="541">
        <f t="shared" si="85"/>
        <v>581.85216887574416</v>
      </c>
      <c r="BR59" s="541">
        <f t="shared" si="86"/>
        <v>581.19815702270864</v>
      </c>
      <c r="BS59" s="541">
        <f t="shared" si="87"/>
        <v>581.78960747884048</v>
      </c>
      <c r="BT59" s="541">
        <f t="shared" si="60"/>
        <v>581.6755340709343</v>
      </c>
      <c r="BU59" s="541">
        <f t="shared" si="61"/>
        <v>581.71474112288627</v>
      </c>
      <c r="BV59" s="540">
        <f t="shared" si="69"/>
        <v>141.69145803801246</v>
      </c>
      <c r="BW59" s="541">
        <f t="shared" si="70"/>
        <v>161.85216887574416</v>
      </c>
      <c r="BX59" s="541">
        <f t="shared" si="71"/>
        <v>161.19815702270864</v>
      </c>
      <c r="BY59" s="541">
        <f t="shared" si="72"/>
        <v>161.78960747884048</v>
      </c>
      <c r="BZ59" s="541">
        <f t="shared" si="73"/>
        <v>161.6755340709343</v>
      </c>
      <c r="CA59" s="542">
        <f t="shared" si="73"/>
        <v>161.71474112288627</v>
      </c>
    </row>
    <row r="60" spans="1:79" x14ac:dyDescent="0.2">
      <c r="A60" s="239">
        <f t="shared" si="40"/>
        <v>46</v>
      </c>
      <c r="B60" s="822">
        <v>10286615.745999999</v>
      </c>
      <c r="C60" s="239">
        <f t="shared" si="41"/>
        <v>2064</v>
      </c>
      <c r="E60" s="254">
        <f>IF(E59&gt;$K$10,MAX($K$7,E59*(1+$K$9)),MAX($K$7,scenarios!E59+scenarios!F59))</f>
        <v>-0.98484503308471716</v>
      </c>
      <c r="F60" s="14">
        <f t="shared" si="74"/>
        <v>-0.31503901973444082</v>
      </c>
      <c r="G60" s="9" t="str">
        <f t="shared" si="42"/>
        <v/>
      </c>
      <c r="H60" s="18">
        <f t="shared" si="64"/>
        <v>-1.0357984997379237</v>
      </c>
      <c r="I60" s="102">
        <f t="shared" si="75"/>
        <v>-1.0232759596316263</v>
      </c>
      <c r="J60" s="18">
        <f t="shared" si="76"/>
        <v>-1.0243029647451973</v>
      </c>
      <c r="K60" s="136">
        <f t="shared" si="65"/>
        <v>-9.5740431780751492E-2</v>
      </c>
      <c r="L60" s="263"/>
      <c r="M60" s="243">
        <f>IF(M59&gt;'goal seek'!$F$28,MAX($T$7,M59*(1+O60)),MAX($T$7,M59+N59))</f>
        <v>-4.3499999999999996</v>
      </c>
      <c r="N60" s="14">
        <f t="shared" si="77"/>
        <v>0</v>
      </c>
      <c r="O60" s="135">
        <f t="shared" si="62"/>
        <v>-5</v>
      </c>
      <c r="P60" s="9" t="str">
        <f t="shared" si="43"/>
        <v/>
      </c>
      <c r="Q60" s="18">
        <f t="shared" si="13"/>
        <v>-1.1581197738005675</v>
      </c>
      <c r="R60" s="102">
        <f t="shared" si="78"/>
        <v>-1.1028084835646064</v>
      </c>
      <c r="S60" s="18">
        <f t="shared" si="79"/>
        <v>-1.1073447020497025</v>
      </c>
      <c r="T60" s="136">
        <f t="shared" si="44"/>
        <v>-0.42287960466410141</v>
      </c>
      <c r="U60" s="6"/>
      <c r="V60" s="243">
        <f>IF(V59&gt;'goal seek'!$F$28,MAX($AC$7,V59*(1+X60)),MAX($AC$7,V59+W59))</f>
        <v>-4.3499999999999996</v>
      </c>
      <c r="W60" s="14">
        <f t="shared" si="80"/>
        <v>0</v>
      </c>
      <c r="X60" s="135">
        <f t="shared" si="63"/>
        <v>-0.30091863152884379</v>
      </c>
      <c r="Y60" s="9" t="str">
        <f t="shared" si="45"/>
        <v/>
      </c>
      <c r="Z60" s="18">
        <f t="shared" si="17"/>
        <v>-1.1581197738005675</v>
      </c>
      <c r="AA60" s="102">
        <f t="shared" si="81"/>
        <v>-1.1028084835646064</v>
      </c>
      <c r="AB60" s="18">
        <f t="shared" si="82"/>
        <v>-1.1073447020497025</v>
      </c>
      <c r="AC60" s="136">
        <f t="shared" si="46"/>
        <v>-0.42287960466410141</v>
      </c>
      <c r="AD60" s="6"/>
      <c r="AE60" s="243">
        <f>IF(AE59&gt;'goal seek'!$F$28,MAX($AL$7,AE59*(1+AG60)),MAX($AL$7,AE59+AF59))</f>
        <v>-4.3499999999999996</v>
      </c>
      <c r="AF60" s="14">
        <f t="shared" si="66"/>
        <v>0</v>
      </c>
      <c r="AG60" s="135">
        <f t="shared" si="83"/>
        <v>-1.0446154446782072</v>
      </c>
      <c r="AH60" s="9" t="str">
        <f t="shared" si="47"/>
        <v/>
      </c>
      <c r="AI60" s="18">
        <f t="shared" si="22"/>
        <v>-1.1581197738005675</v>
      </c>
      <c r="AJ60" s="102">
        <f t="shared" si="67"/>
        <v>-1.1028084835646064</v>
      </c>
      <c r="AK60" s="18">
        <f t="shared" si="68"/>
        <v>-1.1073447020497025</v>
      </c>
      <c r="AL60" s="136">
        <f t="shared" si="48"/>
        <v>-0.42287960466410141</v>
      </c>
      <c r="AM60" s="6"/>
      <c r="AN60" s="243">
        <f>IF(AN59&gt;'goal seek'!$F$28,MAX($AL$7,AN59*(1+AP60)),MAX($AL$7,AN59+AO59))</f>
        <v>-4.3499999999999996</v>
      </c>
      <c r="AO60" s="14">
        <f t="shared" si="25"/>
        <v>-0.27049608786969426</v>
      </c>
      <c r="AP60" s="135">
        <f t="shared" si="49"/>
        <v>-0.16509705371060612</v>
      </c>
      <c r="AQ60" s="9" t="str">
        <f t="shared" si="50"/>
        <v/>
      </c>
      <c r="AR60" s="18">
        <f t="shared" si="26"/>
        <v>-1.1581197738005675</v>
      </c>
      <c r="AS60" s="102">
        <f t="shared" si="27"/>
        <v>-1.1028084835646064</v>
      </c>
      <c r="AT60" s="18">
        <f t="shared" si="28"/>
        <v>-1.1073447020497025</v>
      </c>
      <c r="AU60" s="136">
        <f t="shared" si="51"/>
        <v>-0.42287960466410141</v>
      </c>
      <c r="AV60" s="6"/>
      <c r="AW60" s="243">
        <f t="shared" si="52"/>
        <v>-4.3499999999999996</v>
      </c>
      <c r="AX60" s="730">
        <f t="shared" si="53"/>
        <v>0</v>
      </c>
      <c r="AY60" s="9">
        <f t="shared" si="54"/>
        <v>0</v>
      </c>
      <c r="AZ60" s="9">
        <f t="shared" si="55"/>
        <v>0</v>
      </c>
      <c r="BA60" s="18">
        <f t="shared" si="29"/>
        <v>-1.1581197738005675</v>
      </c>
      <c r="BB60" s="102">
        <f t="shared" si="30"/>
        <v>-1.1028084835646064</v>
      </c>
      <c r="BC60" s="18">
        <f t="shared" si="31"/>
        <v>-1.1073447020497025</v>
      </c>
      <c r="BD60" s="136">
        <f t="shared" si="56"/>
        <v>-0.42287960466410141</v>
      </c>
      <c r="BE60" s="6"/>
      <c r="BF60" s="243">
        <f t="shared" si="57"/>
        <v>7.6448952630430445E-3</v>
      </c>
      <c r="BG60" s="14">
        <f t="shared" si="32"/>
        <v>-1.9628082519973708E-3</v>
      </c>
      <c r="BH60" s="9"/>
      <c r="BI60" s="9">
        <f t="shared" si="58"/>
        <v>-0.20429525629352374</v>
      </c>
      <c r="BJ60" s="18">
        <f t="shared" si="33"/>
        <v>-0.99972211284834001</v>
      </c>
      <c r="BK60" s="102">
        <f t="shared" si="34"/>
        <v>-0.99981931951976932</v>
      </c>
      <c r="BL60" s="18">
        <f t="shared" si="35"/>
        <v>-0.99981134735535349</v>
      </c>
      <c r="BM60" s="136">
        <f t="shared" si="59"/>
        <v>7.4318857161703548E-4</v>
      </c>
      <c r="BP60" s="540">
        <f t="shared" si="84"/>
        <v>560.7066130049277</v>
      </c>
      <c r="BQ60" s="541">
        <f t="shared" si="85"/>
        <v>577.50216887574413</v>
      </c>
      <c r="BR60" s="541">
        <f t="shared" si="86"/>
        <v>576.84815702270862</v>
      </c>
      <c r="BS60" s="541">
        <f t="shared" si="87"/>
        <v>577.43960747884046</v>
      </c>
      <c r="BT60" s="541">
        <f t="shared" si="60"/>
        <v>577.32553407093428</v>
      </c>
      <c r="BU60" s="541">
        <f t="shared" si="61"/>
        <v>577.36474112288624</v>
      </c>
      <c r="BV60" s="540">
        <f t="shared" si="69"/>
        <v>140.7066130049277</v>
      </c>
      <c r="BW60" s="541">
        <f t="shared" si="70"/>
        <v>157.50216887574413</v>
      </c>
      <c r="BX60" s="541">
        <f t="shared" si="71"/>
        <v>156.84815702270862</v>
      </c>
      <c r="BY60" s="541">
        <f t="shared" si="72"/>
        <v>157.43960747884046</v>
      </c>
      <c r="BZ60" s="541">
        <f t="shared" si="73"/>
        <v>157.32553407093428</v>
      </c>
      <c r="CA60" s="542">
        <f t="shared" si="73"/>
        <v>157.36474112288624</v>
      </c>
    </row>
    <row r="61" spans="1:79" x14ac:dyDescent="0.2">
      <c r="A61" s="239">
        <f t="shared" si="40"/>
        <v>47</v>
      </c>
      <c r="B61" s="822">
        <v>10317830.205</v>
      </c>
      <c r="C61" s="239">
        <f t="shared" si="41"/>
        <v>2065</v>
      </c>
      <c r="E61" s="254">
        <f>IF(E60&gt;$K$10,MAX($K$7,E60*(1+$K$9)),MAX($K$7,scenarios!E60+scenarios!F60))</f>
        <v>-1.299884052819158</v>
      </c>
      <c r="F61" s="14">
        <f t="shared" si="74"/>
        <v>-0.31503901973444082</v>
      </c>
      <c r="G61" s="9" t="str">
        <f t="shared" si="42"/>
        <v/>
      </c>
      <c r="H61" s="18">
        <f t="shared" si="64"/>
        <v>-1.0472499706663749</v>
      </c>
      <c r="I61" s="102">
        <f t="shared" si="75"/>
        <v>-1.0307216340873913</v>
      </c>
      <c r="J61" s="18">
        <f t="shared" si="76"/>
        <v>-1.0320771646779385</v>
      </c>
      <c r="K61" s="136">
        <f t="shared" si="65"/>
        <v>-0.12598424542683759</v>
      </c>
      <c r="L61" s="263"/>
      <c r="M61" s="243">
        <f>IF(M60&gt;'goal seek'!$F$28,MAX($T$7,M60*(1+O61)),MAX($T$7,M60+N60))</f>
        <v>-4.3499999999999996</v>
      </c>
      <c r="N61" s="14">
        <f t="shared" si="77"/>
        <v>0</v>
      </c>
      <c r="O61" s="135">
        <f t="shared" si="62"/>
        <v>-5</v>
      </c>
      <c r="P61" s="9" t="str">
        <f t="shared" si="43"/>
        <v/>
      </c>
      <c r="Q61" s="18">
        <f t="shared" si="13"/>
        <v>-1.1581197738005675</v>
      </c>
      <c r="R61" s="102">
        <f t="shared" si="78"/>
        <v>-1.1028084835646064</v>
      </c>
      <c r="S61" s="18">
        <f t="shared" si="79"/>
        <v>-1.1073447020497025</v>
      </c>
      <c r="T61" s="136">
        <f t="shared" si="44"/>
        <v>-0.42160026997653038</v>
      </c>
      <c r="U61" s="6"/>
      <c r="V61" s="243">
        <f>IF(V60&gt;'goal seek'!$F$28,MAX($AC$7,V60*(1+X61)),MAX($AC$7,V60+W60))</f>
        <v>-4.3499999999999996</v>
      </c>
      <c r="W61" s="14">
        <f t="shared" si="80"/>
        <v>0</v>
      </c>
      <c r="X61" s="135">
        <f t="shared" si="63"/>
        <v>-0.30739405497268113</v>
      </c>
      <c r="Y61" s="9" t="str">
        <f t="shared" si="45"/>
        <v/>
      </c>
      <c r="Z61" s="18">
        <f t="shared" si="17"/>
        <v>-1.1581197738005675</v>
      </c>
      <c r="AA61" s="102">
        <f t="shared" si="81"/>
        <v>-1.1028084835646064</v>
      </c>
      <c r="AB61" s="18">
        <f t="shared" si="82"/>
        <v>-1.1073447020497025</v>
      </c>
      <c r="AC61" s="136">
        <f t="shared" si="46"/>
        <v>-0.42160026997653038</v>
      </c>
      <c r="AD61" s="6"/>
      <c r="AE61" s="243">
        <f>IF(AE60&gt;'goal seek'!$F$28,MAX($AL$7,AE60*(1+AG61)),MAX($AL$7,AE60+AF60))</f>
        <v>-4.3499999999999996</v>
      </c>
      <c r="AF61" s="14">
        <f t="shared" si="66"/>
        <v>0</v>
      </c>
      <c r="AG61" s="135">
        <f t="shared" si="83"/>
        <v>-1.0919020017940959</v>
      </c>
      <c r="AH61" s="9" t="str">
        <f t="shared" si="47"/>
        <v/>
      </c>
      <c r="AI61" s="18">
        <f t="shared" si="22"/>
        <v>-1.1581197738005675</v>
      </c>
      <c r="AJ61" s="102">
        <f t="shared" si="67"/>
        <v>-1.1028084835646064</v>
      </c>
      <c r="AK61" s="18">
        <f t="shared" si="68"/>
        <v>-1.1073447020497025</v>
      </c>
      <c r="AL61" s="136">
        <f t="shared" si="48"/>
        <v>-0.42160026997653038</v>
      </c>
      <c r="AM61" s="6"/>
      <c r="AN61" s="243">
        <f>IF(AN60&gt;'goal seek'!$F$28,MAX($AL$7,AN60*(1+AP61)),MAX($AL$7,AN60+AO60))</f>
        <v>-4.3499999999999996</v>
      </c>
      <c r="AO61" s="14">
        <f t="shared" si="25"/>
        <v>0</v>
      </c>
      <c r="AP61" s="135">
        <f t="shared" si="49"/>
        <v>-0.16680107536589195</v>
      </c>
      <c r="AQ61" s="9" t="str">
        <f t="shared" si="50"/>
        <v/>
      </c>
      <c r="AR61" s="18">
        <f t="shared" si="26"/>
        <v>-1.1581197738005675</v>
      </c>
      <c r="AS61" s="102">
        <f t="shared" si="27"/>
        <v>-1.1028084835646064</v>
      </c>
      <c r="AT61" s="18">
        <f t="shared" si="28"/>
        <v>-1.1073447020497025</v>
      </c>
      <c r="AU61" s="136">
        <f t="shared" si="51"/>
        <v>-0.42160026997653038</v>
      </c>
      <c r="AV61" s="6"/>
      <c r="AW61" s="243">
        <f t="shared" si="52"/>
        <v>-4.3499999999999996</v>
      </c>
      <c r="AX61" s="730">
        <f t="shared" si="53"/>
        <v>0</v>
      </c>
      <c r="AY61" s="9">
        <f t="shared" si="54"/>
        <v>0</v>
      </c>
      <c r="AZ61" s="9">
        <f t="shared" si="55"/>
        <v>0</v>
      </c>
      <c r="BA61" s="18">
        <f t="shared" si="29"/>
        <v>-1.1581197738005675</v>
      </c>
      <c r="BB61" s="102">
        <f t="shared" si="30"/>
        <v>-1.1028084835646064</v>
      </c>
      <c r="BC61" s="18">
        <f t="shared" si="31"/>
        <v>-1.1073447020497025</v>
      </c>
      <c r="BD61" s="136">
        <f t="shared" si="56"/>
        <v>-0.42160026997653038</v>
      </c>
      <c r="BE61" s="6"/>
      <c r="BF61" s="243">
        <f t="shared" si="57"/>
        <v>6.0805010261560204E-3</v>
      </c>
      <c r="BG61" s="14">
        <f t="shared" si="32"/>
        <v>-1.5643942368870241E-3</v>
      </c>
      <c r="BH61" s="9"/>
      <c r="BI61" s="9">
        <f t="shared" si="58"/>
        <v>-0.20463252707327717</v>
      </c>
      <c r="BJ61" s="18">
        <f t="shared" si="33"/>
        <v>-0.99977897759842538</v>
      </c>
      <c r="BK61" s="102">
        <f t="shared" si="34"/>
        <v>-0.99985629262303177</v>
      </c>
      <c r="BL61" s="18">
        <f t="shared" si="35"/>
        <v>-0.99984995182276659</v>
      </c>
      <c r="BM61" s="136">
        <f t="shared" si="59"/>
        <v>5.8931974119998804E-4</v>
      </c>
      <c r="BP61" s="540">
        <f t="shared" si="84"/>
        <v>559.40672895210855</v>
      </c>
      <c r="BQ61" s="541">
        <f t="shared" si="85"/>
        <v>573.15216887574411</v>
      </c>
      <c r="BR61" s="541">
        <f t="shared" si="86"/>
        <v>572.4981570227086</v>
      </c>
      <c r="BS61" s="541">
        <f t="shared" si="87"/>
        <v>573.08960747884043</v>
      </c>
      <c r="BT61" s="541">
        <f t="shared" si="60"/>
        <v>572.97553407093426</v>
      </c>
      <c r="BU61" s="541">
        <f t="shared" si="61"/>
        <v>573.01474112288622</v>
      </c>
      <c r="BV61" s="540">
        <f t="shared" si="69"/>
        <v>139.40672895210855</v>
      </c>
      <c r="BW61" s="541">
        <f t="shared" si="70"/>
        <v>153.15216887574411</v>
      </c>
      <c r="BX61" s="541">
        <f t="shared" si="71"/>
        <v>152.4981570227086</v>
      </c>
      <c r="BY61" s="541">
        <f t="shared" si="72"/>
        <v>153.08960747884043</v>
      </c>
      <c r="BZ61" s="541">
        <f t="shared" si="73"/>
        <v>152.97553407093426</v>
      </c>
      <c r="CA61" s="542">
        <f t="shared" si="73"/>
        <v>153.01474112288622</v>
      </c>
    </row>
    <row r="62" spans="1:79" x14ac:dyDescent="0.2">
      <c r="A62" s="239">
        <f t="shared" si="40"/>
        <v>48</v>
      </c>
      <c r="B62" s="822">
        <v>10348042.081</v>
      </c>
      <c r="C62" s="239">
        <f t="shared" si="41"/>
        <v>2066</v>
      </c>
      <c r="E62" s="254">
        <f>IF(E61&gt;$K$10,MAX($K$7,E61*(1+$K$9)),MAX($K$7,scenarios!E61+scenarios!F61))</f>
        <v>-1.6149230725535988</v>
      </c>
      <c r="F62" s="14">
        <f t="shared" si="74"/>
        <v>-0.31503901973444082</v>
      </c>
      <c r="G62" s="9" t="str">
        <f t="shared" si="42"/>
        <v/>
      </c>
      <c r="H62" s="18">
        <f t="shared" si="64"/>
        <v>-1.0587014415948259</v>
      </c>
      <c r="I62" s="102">
        <f t="shared" si="75"/>
        <v>-1.0381673085431564</v>
      </c>
      <c r="J62" s="18">
        <f t="shared" si="76"/>
        <v>-1.0398513646106797</v>
      </c>
      <c r="K62" s="136">
        <f t="shared" si="65"/>
        <v>-0.15606073689232022</v>
      </c>
      <c r="L62" s="263"/>
      <c r="M62" s="243">
        <f>IF(M61&gt;'goal seek'!$F$28,MAX($T$7,M61*(1+O62)),MAX($T$7,M61+N61))</f>
        <v>-4.3499999999999996</v>
      </c>
      <c r="N62" s="14">
        <f t="shared" si="77"/>
        <v>0</v>
      </c>
      <c r="O62" s="135">
        <f t="shared" si="62"/>
        <v>-5</v>
      </c>
      <c r="P62" s="9" t="str">
        <f t="shared" si="43"/>
        <v/>
      </c>
      <c r="Q62" s="18">
        <f t="shared" si="13"/>
        <v>-1.1581197738005675</v>
      </c>
      <c r="R62" s="102">
        <f t="shared" si="78"/>
        <v>-1.1028084835646064</v>
      </c>
      <c r="S62" s="18">
        <f t="shared" si="79"/>
        <v>-1.1073447020497025</v>
      </c>
      <c r="T62" s="136">
        <f t="shared" si="44"/>
        <v>-0.42036937673330671</v>
      </c>
      <c r="U62" s="6"/>
      <c r="V62" s="243">
        <f>IF(V61&gt;'goal seek'!$F$28,MAX($AC$7,V61*(1+X62)),MAX($AC$7,V61+W61))</f>
        <v>-4.3499999999999996</v>
      </c>
      <c r="W62" s="14">
        <f t="shared" si="80"/>
        <v>0</v>
      </c>
      <c r="X62" s="135">
        <f t="shared" si="63"/>
        <v>-0.31386947841651847</v>
      </c>
      <c r="Y62" s="9" t="str">
        <f t="shared" si="45"/>
        <v/>
      </c>
      <c r="Z62" s="18">
        <f t="shared" si="17"/>
        <v>-1.1581197738005675</v>
      </c>
      <c r="AA62" s="102">
        <f t="shared" si="81"/>
        <v>-1.1028084835646064</v>
      </c>
      <c r="AB62" s="18">
        <f t="shared" si="82"/>
        <v>-1.1073447020497025</v>
      </c>
      <c r="AC62" s="136">
        <f t="shared" si="46"/>
        <v>-0.42036937673330671</v>
      </c>
      <c r="AD62" s="6"/>
      <c r="AE62" s="243">
        <f>IF(AE61&gt;'goal seek'!$F$28,MAX($AL$7,AE61*(1+AG62)),MAX($AL$7,AE61+AF61))</f>
        <v>-4.3499999999999996</v>
      </c>
      <c r="AF62" s="14">
        <f t="shared" si="66"/>
        <v>0</v>
      </c>
      <c r="AG62" s="135">
        <f t="shared" si="83"/>
        <v>-1.1402511781710158</v>
      </c>
      <c r="AH62" s="9" t="str">
        <f t="shared" si="47"/>
        <v/>
      </c>
      <c r="AI62" s="18">
        <f t="shared" si="22"/>
        <v>-1.1581197738005675</v>
      </c>
      <c r="AJ62" s="102">
        <f t="shared" si="67"/>
        <v>-1.1028084835646064</v>
      </c>
      <c r="AK62" s="18">
        <f t="shared" si="68"/>
        <v>-1.1073447020497025</v>
      </c>
      <c r="AL62" s="136">
        <f t="shared" si="48"/>
        <v>-0.42036937673330671</v>
      </c>
      <c r="AM62" s="6"/>
      <c r="AN62" s="243">
        <f>IF(AN61&gt;'goal seek'!$F$28,MAX($AL$7,AN61*(1+AP62)),MAX($AL$7,AN61+AO61))</f>
        <v>-4.3499999999999996</v>
      </c>
      <c r="AO62" s="14">
        <f t="shared" si="25"/>
        <v>0</v>
      </c>
      <c r="AP62" s="135">
        <f t="shared" si="49"/>
        <v>-0.16848605587999016</v>
      </c>
      <c r="AQ62" s="9" t="str">
        <f t="shared" si="50"/>
        <v/>
      </c>
      <c r="AR62" s="18">
        <f t="shared" si="26"/>
        <v>-1.1581197738005675</v>
      </c>
      <c r="AS62" s="102">
        <f t="shared" si="27"/>
        <v>-1.1028084835646064</v>
      </c>
      <c r="AT62" s="18">
        <f t="shared" si="28"/>
        <v>-1.1073447020497025</v>
      </c>
      <c r="AU62" s="136">
        <f t="shared" si="51"/>
        <v>-0.42036937673330671</v>
      </c>
      <c r="AV62" s="6"/>
      <c r="AW62" s="243">
        <f t="shared" si="52"/>
        <v>-4.3499999999999996</v>
      </c>
      <c r="AX62" s="730">
        <f t="shared" si="53"/>
        <v>0</v>
      </c>
      <c r="AY62" s="9">
        <f t="shared" si="54"/>
        <v>0</v>
      </c>
      <c r="AZ62" s="9">
        <f t="shared" si="55"/>
        <v>0</v>
      </c>
      <c r="BA62" s="18">
        <f t="shared" si="29"/>
        <v>-1.1581197738005675</v>
      </c>
      <c r="BB62" s="102">
        <f t="shared" si="30"/>
        <v>-1.1028084835646064</v>
      </c>
      <c r="BC62" s="18">
        <f t="shared" si="31"/>
        <v>-1.1073447020497025</v>
      </c>
      <c r="BD62" s="136">
        <f t="shared" si="56"/>
        <v>-0.42036937673330671</v>
      </c>
      <c r="BE62" s="6"/>
      <c r="BF62" s="243">
        <f t="shared" si="57"/>
        <v>4.8342646991232363E-3</v>
      </c>
      <c r="BG62" s="14">
        <f t="shared" si="32"/>
        <v>-1.2462363270327841E-3</v>
      </c>
      <c r="BH62" s="9"/>
      <c r="BI62" s="9">
        <f t="shared" si="58"/>
        <v>-0.20495619056257797</v>
      </c>
      <c r="BJ62" s="18">
        <f t="shared" si="33"/>
        <v>-0.99982427750788105</v>
      </c>
      <c r="BK62" s="102">
        <f t="shared" si="34"/>
        <v>-0.99988574633957095</v>
      </c>
      <c r="BL62" s="18">
        <f t="shared" si="35"/>
        <v>-0.99988070512557325</v>
      </c>
      <c r="BM62" s="136">
        <f t="shared" si="59"/>
        <v>4.6716708931822095E-4</v>
      </c>
      <c r="BP62" s="540">
        <f t="shared" si="84"/>
        <v>557.791805879555</v>
      </c>
      <c r="BQ62" s="541">
        <f t="shared" si="85"/>
        <v>568.80216887574409</v>
      </c>
      <c r="BR62" s="541">
        <f t="shared" si="86"/>
        <v>568.14815702270857</v>
      </c>
      <c r="BS62" s="541">
        <f t="shared" si="87"/>
        <v>568.73960747884041</v>
      </c>
      <c r="BT62" s="541">
        <f t="shared" si="60"/>
        <v>568.62553407093424</v>
      </c>
      <c r="BU62" s="541">
        <f t="shared" si="61"/>
        <v>568.6647411228862</v>
      </c>
      <c r="BV62" s="540">
        <f t="shared" si="69"/>
        <v>137.791805879555</v>
      </c>
      <c r="BW62" s="541">
        <f t="shared" si="70"/>
        <v>148.80216887574409</v>
      </c>
      <c r="BX62" s="541">
        <f t="shared" si="71"/>
        <v>148.14815702270857</v>
      </c>
      <c r="BY62" s="541">
        <f t="shared" si="72"/>
        <v>148.73960747884041</v>
      </c>
      <c r="BZ62" s="541">
        <f t="shared" si="73"/>
        <v>148.62553407093424</v>
      </c>
      <c r="CA62" s="542">
        <f t="shared" si="73"/>
        <v>148.6647411228862</v>
      </c>
    </row>
    <row r="63" spans="1:79" x14ac:dyDescent="0.2">
      <c r="A63" s="239">
        <f t="shared" si="40"/>
        <v>49</v>
      </c>
      <c r="B63" s="822">
        <v>10377267.714</v>
      </c>
      <c r="C63" s="239">
        <f t="shared" si="41"/>
        <v>2067</v>
      </c>
      <c r="E63" s="254">
        <f>IF(E62&gt;$K$10,MAX($K$7,E62*(1+$K$9)),MAX($K$7,scenarios!E62+scenarios!F62))</f>
        <v>-1.9299620922880396</v>
      </c>
      <c r="F63" s="14">
        <f t="shared" si="74"/>
        <v>-0.31503901973444082</v>
      </c>
      <c r="G63" s="9" t="str">
        <f t="shared" si="42"/>
        <v/>
      </c>
      <c r="H63" s="18">
        <f t="shared" si="64"/>
        <v>-1.0701529125232772</v>
      </c>
      <c r="I63" s="102">
        <f t="shared" si="75"/>
        <v>-1.0456129829989214</v>
      </c>
      <c r="J63" s="18">
        <f t="shared" si="76"/>
        <v>-1.0476255645434207</v>
      </c>
      <c r="K63" s="136">
        <f t="shared" si="65"/>
        <v>-0.18597979212623786</v>
      </c>
      <c r="L63" s="263"/>
      <c r="M63" s="243">
        <f>IF(M62&gt;'goal seek'!$F$28,MAX($T$7,M62*(1+O63)),MAX($T$7,M62+N62))</f>
        <v>-4.3499999999999996</v>
      </c>
      <c r="N63" s="14">
        <f t="shared" si="77"/>
        <v>0</v>
      </c>
      <c r="O63" s="135">
        <f t="shared" si="62"/>
        <v>-5</v>
      </c>
      <c r="P63" s="9" t="str">
        <f t="shared" si="43"/>
        <v/>
      </c>
      <c r="Q63" s="18">
        <f t="shared" si="13"/>
        <v>-1.1581197738005675</v>
      </c>
      <c r="R63" s="102">
        <f t="shared" si="78"/>
        <v>-1.1028084835646064</v>
      </c>
      <c r="S63" s="18">
        <f t="shared" si="79"/>
        <v>-1.1073447020497025</v>
      </c>
      <c r="T63" s="136">
        <f t="shared" si="44"/>
        <v>-0.41918548503199965</v>
      </c>
      <c r="U63" s="6"/>
      <c r="V63" s="243">
        <f>IF(V62&gt;'goal seek'!$F$28,MAX($AC$7,V62*(1+X63)),MAX($AC$7,V62+W62))</f>
        <v>-4.3499999999999996</v>
      </c>
      <c r="W63" s="14">
        <f t="shared" si="80"/>
        <v>0</v>
      </c>
      <c r="X63" s="135">
        <f t="shared" si="63"/>
        <v>-0.3203449018603558</v>
      </c>
      <c r="Y63" s="9" t="str">
        <f t="shared" si="45"/>
        <v/>
      </c>
      <c r="Z63" s="18">
        <f t="shared" si="17"/>
        <v>-1.1581197738005675</v>
      </c>
      <c r="AA63" s="102">
        <f t="shared" si="81"/>
        <v>-1.1028084835646064</v>
      </c>
      <c r="AB63" s="18">
        <f t="shared" si="82"/>
        <v>-1.1073447020497025</v>
      </c>
      <c r="AC63" s="136">
        <f t="shared" si="46"/>
        <v>-0.41918548503199965</v>
      </c>
      <c r="AD63" s="6"/>
      <c r="AE63" s="243">
        <f>IF(AE62&gt;'goal seek'!$F$28,MAX($AL$7,AE62*(1+AG63)),MAX($AL$7,AE62+AF62))</f>
        <v>-4.3499999999999996</v>
      </c>
      <c r="AF63" s="14">
        <f t="shared" si="66"/>
        <v>0</v>
      </c>
      <c r="AG63" s="135">
        <f t="shared" si="83"/>
        <v>-1.1896629738089668</v>
      </c>
      <c r="AH63" s="9" t="str">
        <f t="shared" si="47"/>
        <v/>
      </c>
      <c r="AI63" s="18">
        <f t="shared" si="22"/>
        <v>-1.1581197738005675</v>
      </c>
      <c r="AJ63" s="102">
        <f t="shared" si="67"/>
        <v>-1.1028084835646064</v>
      </c>
      <c r="AK63" s="18">
        <f t="shared" si="68"/>
        <v>-1.1073447020497025</v>
      </c>
      <c r="AL63" s="136">
        <f t="shared" si="48"/>
        <v>-0.41918548503199965</v>
      </c>
      <c r="AM63" s="6"/>
      <c r="AN63" s="243">
        <f>IF(AN62&gt;'goal seek'!$F$28,MAX($AL$7,AN62*(1+AP63)),MAX($AL$7,AN62+AO62))</f>
        <v>-4.3499999999999996</v>
      </c>
      <c r="AO63" s="14">
        <f t="shared" si="25"/>
        <v>0</v>
      </c>
      <c r="AP63" s="135">
        <f t="shared" si="49"/>
        <v>-0.17015261964741801</v>
      </c>
      <c r="AQ63" s="9" t="str">
        <f t="shared" si="50"/>
        <v/>
      </c>
      <c r="AR63" s="18">
        <f t="shared" si="26"/>
        <v>-1.1581197738005675</v>
      </c>
      <c r="AS63" s="102">
        <f t="shared" si="27"/>
        <v>-1.1028084835646064</v>
      </c>
      <c r="AT63" s="18">
        <f t="shared" si="28"/>
        <v>-1.1073447020497025</v>
      </c>
      <c r="AU63" s="136">
        <f t="shared" si="51"/>
        <v>-0.41918548503199965</v>
      </c>
      <c r="AV63" s="6"/>
      <c r="AW63" s="243">
        <f t="shared" si="52"/>
        <v>-4.3499999999999996</v>
      </c>
      <c r="AX63" s="730">
        <f t="shared" si="53"/>
        <v>0</v>
      </c>
      <c r="AY63" s="9">
        <f t="shared" si="54"/>
        <v>0</v>
      </c>
      <c r="AZ63" s="9">
        <f t="shared" si="55"/>
        <v>0</v>
      </c>
      <c r="BA63" s="18">
        <f t="shared" si="29"/>
        <v>-1.1581197738005675</v>
      </c>
      <c r="BB63" s="102">
        <f t="shared" si="30"/>
        <v>-1.1028084835646064</v>
      </c>
      <c r="BC63" s="18">
        <f t="shared" si="31"/>
        <v>-1.1073447020497025</v>
      </c>
      <c r="BD63" s="136">
        <f t="shared" si="56"/>
        <v>-0.41918548503199965</v>
      </c>
      <c r="BE63" s="6"/>
      <c r="BF63" s="243">
        <f t="shared" si="57"/>
        <v>3.8419494262553113E-3</v>
      </c>
      <c r="BG63" s="14">
        <f t="shared" si="32"/>
        <v>-9.9231527286792499E-4</v>
      </c>
      <c r="BH63" s="9"/>
      <c r="BI63" s="9">
        <f t="shared" si="58"/>
        <v>-0.20526705396332467</v>
      </c>
      <c r="BJ63" s="18">
        <f t="shared" si="33"/>
        <v>-0.99986034754615338</v>
      </c>
      <c r="BK63" s="102">
        <f t="shared" si="34"/>
        <v>-0.9999091988518517</v>
      </c>
      <c r="BL63" s="18">
        <f t="shared" si="35"/>
        <v>-0.99990519243299969</v>
      </c>
      <c r="BM63" s="136">
        <f t="shared" si="59"/>
        <v>3.7022745602603344E-4</v>
      </c>
      <c r="BP63" s="540">
        <f t="shared" si="84"/>
        <v>555.86184378726693</v>
      </c>
      <c r="BQ63" s="541">
        <f t="shared" si="85"/>
        <v>564.45216887574406</v>
      </c>
      <c r="BR63" s="541">
        <f t="shared" si="86"/>
        <v>563.79815702270855</v>
      </c>
      <c r="BS63" s="541">
        <f t="shared" si="87"/>
        <v>564.38960747884039</v>
      </c>
      <c r="BT63" s="541">
        <f t="shared" si="60"/>
        <v>564.27553407093421</v>
      </c>
      <c r="BU63" s="541">
        <f t="shared" si="61"/>
        <v>564.31474112288618</v>
      </c>
      <c r="BV63" s="540">
        <f t="shared" si="69"/>
        <v>135.86184378726693</v>
      </c>
      <c r="BW63" s="541">
        <f t="shared" si="70"/>
        <v>144.45216887574406</v>
      </c>
      <c r="BX63" s="541">
        <f t="shared" si="71"/>
        <v>143.79815702270855</v>
      </c>
      <c r="BY63" s="541">
        <f t="shared" si="72"/>
        <v>144.38960747884039</v>
      </c>
      <c r="BZ63" s="541">
        <f t="shared" si="73"/>
        <v>144.27553407093421</v>
      </c>
      <c r="CA63" s="542">
        <f t="shared" si="73"/>
        <v>144.31474112288618</v>
      </c>
    </row>
    <row r="64" spans="1:79" x14ac:dyDescent="0.2">
      <c r="A64" s="239">
        <f t="shared" si="40"/>
        <v>50</v>
      </c>
      <c r="B64" s="822">
        <v>10405519.682</v>
      </c>
      <c r="C64" s="239">
        <f t="shared" si="41"/>
        <v>2068</v>
      </c>
      <c r="E64" s="254">
        <f>IF(E63&gt;$K$10,MAX($K$7,E63*(1+$K$9)),MAX($K$7,scenarios!E63+scenarios!F63))</f>
        <v>-2.2450011120224804</v>
      </c>
      <c r="F64" s="14">
        <f t="shared" si="74"/>
        <v>-0.31503901973444082</v>
      </c>
      <c r="G64" s="9" t="str">
        <f t="shared" si="42"/>
        <v/>
      </c>
      <c r="H64" s="18">
        <f t="shared" si="64"/>
        <v>-1.0816043834517282</v>
      </c>
      <c r="I64" s="102">
        <f t="shared" si="75"/>
        <v>-1.0530586574546863</v>
      </c>
      <c r="J64" s="18">
        <f t="shared" si="76"/>
        <v>-1.0553997644761619</v>
      </c>
      <c r="K64" s="136">
        <f t="shared" si="65"/>
        <v>-0.2157509841537274</v>
      </c>
      <c r="L64" s="263"/>
      <c r="M64" s="243">
        <f>IF(M63&gt;'goal seek'!$F$28,MAX($T$7,M63*(1+O64)),MAX($T$7,M63+N63))</f>
        <v>-4.3499999999999996</v>
      </c>
      <c r="N64" s="14">
        <f t="shared" si="77"/>
        <v>0</v>
      </c>
      <c r="O64" s="135">
        <f t="shared" si="62"/>
        <v>-5</v>
      </c>
      <c r="P64" s="9" t="str">
        <f t="shared" si="43"/>
        <v/>
      </c>
      <c r="Q64" s="18">
        <f t="shared" si="13"/>
        <v>-1.1581197738005675</v>
      </c>
      <c r="R64" s="102">
        <f t="shared" si="78"/>
        <v>-1.1028084835646064</v>
      </c>
      <c r="S64" s="18">
        <f t="shared" si="79"/>
        <v>-1.1073447020497025</v>
      </c>
      <c r="T64" s="136">
        <f t="shared" si="44"/>
        <v>-0.41804735687779748</v>
      </c>
      <c r="U64" s="6"/>
      <c r="V64" s="243">
        <f>IF(V63&gt;'goal seek'!$F$28,MAX($AC$7,V63*(1+X64)),MAX($AC$7,V63+W63))</f>
        <v>-4.3499999999999996</v>
      </c>
      <c r="W64" s="14">
        <f t="shared" si="80"/>
        <v>0</v>
      </c>
      <c r="X64" s="135">
        <f t="shared" si="63"/>
        <v>-0.32682032530419314</v>
      </c>
      <c r="Y64" s="9" t="str">
        <f t="shared" si="45"/>
        <v/>
      </c>
      <c r="Z64" s="18">
        <f t="shared" si="17"/>
        <v>-1.1581197738005675</v>
      </c>
      <c r="AA64" s="102">
        <f t="shared" si="81"/>
        <v>-1.1028084835646064</v>
      </c>
      <c r="AB64" s="18">
        <f t="shared" si="82"/>
        <v>-1.1073447020497025</v>
      </c>
      <c r="AC64" s="136">
        <f t="shared" si="46"/>
        <v>-0.41804735687779748</v>
      </c>
      <c r="AD64" s="6"/>
      <c r="AE64" s="243">
        <f>IF(AE63&gt;'goal seek'!$F$28,MAX($AL$7,AE63*(1+AG64)),MAX($AL$7,AE63+AF63))</f>
        <v>-4.3499999999999996</v>
      </c>
      <c r="AF64" s="14">
        <f t="shared" si="66"/>
        <v>0</v>
      </c>
      <c r="AG64" s="135">
        <f t="shared" si="83"/>
        <v>-1.2401373887079492</v>
      </c>
      <c r="AH64" s="9" t="str">
        <f t="shared" si="47"/>
        <v/>
      </c>
      <c r="AI64" s="18">
        <f t="shared" si="22"/>
        <v>-1.1581197738005675</v>
      </c>
      <c r="AJ64" s="102">
        <f t="shared" si="67"/>
        <v>-1.1028084835646064</v>
      </c>
      <c r="AK64" s="18">
        <f t="shared" si="68"/>
        <v>-1.1073447020497025</v>
      </c>
      <c r="AL64" s="136">
        <f t="shared" si="48"/>
        <v>-0.41804735687779748</v>
      </c>
      <c r="AM64" s="6"/>
      <c r="AN64" s="243">
        <f>IF(AN63&gt;'goal seek'!$F$28,MAX($AL$7,AN63*(1+AP64)),MAX($AL$7,AN63+AO63))</f>
        <v>-4.3499999999999996</v>
      </c>
      <c r="AO64" s="14">
        <f t="shared" si="25"/>
        <v>0</v>
      </c>
      <c r="AP64" s="135">
        <f t="shared" si="49"/>
        <v>-0.17180135766573917</v>
      </c>
      <c r="AQ64" s="9" t="str">
        <f t="shared" si="50"/>
        <v/>
      </c>
      <c r="AR64" s="18">
        <f t="shared" si="26"/>
        <v>-1.1581197738005675</v>
      </c>
      <c r="AS64" s="102">
        <f t="shared" si="27"/>
        <v>-1.1028084835646064</v>
      </c>
      <c r="AT64" s="18">
        <f t="shared" si="28"/>
        <v>-1.1073447020497025</v>
      </c>
      <c r="AU64" s="136">
        <f t="shared" si="51"/>
        <v>-0.41804735687779748</v>
      </c>
      <c r="AV64" s="6"/>
      <c r="AW64" s="243">
        <f t="shared" si="52"/>
        <v>-4.3499999999999996</v>
      </c>
      <c r="AX64" s="730">
        <f t="shared" si="53"/>
        <v>0</v>
      </c>
      <c r="AY64" s="9">
        <f t="shared" si="54"/>
        <v>0</v>
      </c>
      <c r="AZ64" s="9">
        <f t="shared" si="55"/>
        <v>0</v>
      </c>
      <c r="BA64" s="18">
        <f t="shared" si="29"/>
        <v>-1.1581197738005675</v>
      </c>
      <c r="BB64" s="102">
        <f t="shared" si="30"/>
        <v>-1.1028084835646064</v>
      </c>
      <c r="BC64" s="18">
        <f t="shared" si="31"/>
        <v>-1.1073447020497025</v>
      </c>
      <c r="BD64" s="136">
        <f t="shared" si="56"/>
        <v>-0.41804735687779748</v>
      </c>
      <c r="BE64" s="6"/>
      <c r="BF64" s="243">
        <f t="shared" si="57"/>
        <v>3.0521757811871712E-3</v>
      </c>
      <c r="BG64" s="14">
        <f t="shared" si="32"/>
        <v>-7.8977364506814009E-4</v>
      </c>
      <c r="BH64" s="9"/>
      <c r="BI64" s="9">
        <f t="shared" si="58"/>
        <v>-0.20556586186974357</v>
      </c>
      <c r="BJ64" s="18">
        <f t="shared" si="33"/>
        <v>-0.99988905532319061</v>
      </c>
      <c r="BK64" s="102">
        <f t="shared" si="34"/>
        <v>-0.99992786446812953</v>
      </c>
      <c r="BL64" s="18">
        <f t="shared" si="35"/>
        <v>-0.99992468163222192</v>
      </c>
      <c r="BM64" s="136">
        <f t="shared" si="59"/>
        <v>2.9332276277051119E-4</v>
      </c>
      <c r="BP64" s="540">
        <f t="shared" si="84"/>
        <v>553.61684267524447</v>
      </c>
      <c r="BQ64" s="541">
        <f t="shared" si="85"/>
        <v>560.10216887574404</v>
      </c>
      <c r="BR64" s="541">
        <f t="shared" si="86"/>
        <v>559.44815702270853</v>
      </c>
      <c r="BS64" s="541">
        <f t="shared" si="87"/>
        <v>560.03960747884037</v>
      </c>
      <c r="BT64" s="541">
        <f t="shared" si="60"/>
        <v>559.92553407093419</v>
      </c>
      <c r="BU64" s="541">
        <f t="shared" si="61"/>
        <v>559.96474112288615</v>
      </c>
      <c r="BV64" s="540">
        <f t="shared" si="69"/>
        <v>133.61684267524447</v>
      </c>
      <c r="BW64" s="541">
        <f t="shared" si="70"/>
        <v>140.10216887574404</v>
      </c>
      <c r="BX64" s="541">
        <f t="shared" si="71"/>
        <v>139.44815702270853</v>
      </c>
      <c r="BY64" s="541">
        <f t="shared" si="72"/>
        <v>140.03960747884037</v>
      </c>
      <c r="BZ64" s="541">
        <f t="shared" si="73"/>
        <v>139.92553407093419</v>
      </c>
      <c r="CA64" s="542">
        <f t="shared" si="73"/>
        <v>139.96474112288615</v>
      </c>
    </row>
    <row r="65" spans="1:79" x14ac:dyDescent="0.2">
      <c r="A65" s="239">
        <f t="shared" si="40"/>
        <v>51</v>
      </c>
      <c r="B65" s="822">
        <v>10432810.409</v>
      </c>
      <c r="C65" s="239">
        <f t="shared" si="41"/>
        <v>2069</v>
      </c>
      <c r="E65" s="254">
        <f>IF(E64&gt;$K$10,MAX($K$7,E64*(1+$K$9)),MAX($K$7,scenarios!E64+scenarios!F64))</f>
        <v>-2.5600401317569212</v>
      </c>
      <c r="F65" s="14">
        <f t="shared" si="74"/>
        <v>-0.31503901973444082</v>
      </c>
      <c r="G65" s="9" t="str">
        <f t="shared" si="42"/>
        <v/>
      </c>
      <c r="H65" s="18">
        <f t="shared" si="64"/>
        <v>-1.0930558543801792</v>
      </c>
      <c r="I65" s="102">
        <f t="shared" si="75"/>
        <v>-1.0605043319104515</v>
      </c>
      <c r="J65" s="18">
        <f t="shared" si="76"/>
        <v>-1.0631739644089029</v>
      </c>
      <c r="K65" s="136">
        <f t="shared" si="65"/>
        <v>-0.24538355739202058</v>
      </c>
      <c r="L65" s="263"/>
      <c r="M65" s="243">
        <f>IF(M64&gt;'goal seek'!$F$28,MAX($T$7,M64*(1+O65)),MAX($T$7,M64+N64))</f>
        <v>-4.3499999999999996</v>
      </c>
      <c r="N65" s="14">
        <f t="shared" si="77"/>
        <v>0</v>
      </c>
      <c r="O65" s="135">
        <f t="shared" si="62"/>
        <v>-5</v>
      </c>
      <c r="P65" s="9" t="str">
        <f t="shared" si="43"/>
        <v/>
      </c>
      <c r="Q65" s="18">
        <f t="shared" si="13"/>
        <v>-1.1581197738005675</v>
      </c>
      <c r="R65" s="102">
        <f t="shared" si="78"/>
        <v>-1.1028084835646064</v>
      </c>
      <c r="S65" s="18">
        <f t="shared" si="79"/>
        <v>-1.1073447020497025</v>
      </c>
      <c r="T65" s="136">
        <f t="shared" si="44"/>
        <v>-0.41695380529942494</v>
      </c>
      <c r="U65" s="6"/>
      <c r="V65" s="243">
        <f>IF(V64&gt;'goal seek'!$F$28,MAX($AC$7,V64*(1+X65)),MAX($AC$7,V64+W64))</f>
        <v>-4.3499999999999996</v>
      </c>
      <c r="W65" s="14">
        <f t="shared" si="80"/>
        <v>0</v>
      </c>
      <c r="X65" s="135">
        <f t="shared" si="63"/>
        <v>-0.33329574874803047</v>
      </c>
      <c r="Y65" s="9" t="str">
        <f t="shared" si="45"/>
        <v/>
      </c>
      <c r="Z65" s="18">
        <f t="shared" si="17"/>
        <v>-1.1581197738005675</v>
      </c>
      <c r="AA65" s="102">
        <f t="shared" si="81"/>
        <v>-1.1028084835646064</v>
      </c>
      <c r="AB65" s="18">
        <f t="shared" si="82"/>
        <v>-1.1073447020497025</v>
      </c>
      <c r="AC65" s="136">
        <f t="shared" si="46"/>
        <v>-0.41695380529942494</v>
      </c>
      <c r="AD65" s="6"/>
      <c r="AE65" s="243">
        <f>IF(AE64&gt;'goal seek'!$F$28,MAX($AL$7,AE64*(1+AG65)),MAX($AL$7,AE64+AF64))</f>
        <v>-4.3499999999999996</v>
      </c>
      <c r="AF65" s="14">
        <f t="shared" si="66"/>
        <v>0</v>
      </c>
      <c r="AG65" s="135">
        <f t="shared" si="83"/>
        <v>-1.2916744228679626</v>
      </c>
      <c r="AH65" s="9" t="str">
        <f t="shared" si="47"/>
        <v/>
      </c>
      <c r="AI65" s="18">
        <f t="shared" si="22"/>
        <v>-1.1581197738005675</v>
      </c>
      <c r="AJ65" s="102">
        <f t="shared" si="67"/>
        <v>-1.1028084835646064</v>
      </c>
      <c r="AK65" s="18">
        <f t="shared" si="68"/>
        <v>-1.1073447020497025</v>
      </c>
      <c r="AL65" s="136">
        <f t="shared" si="48"/>
        <v>-0.41695380529942494</v>
      </c>
      <c r="AM65" s="6"/>
      <c r="AN65" s="243">
        <f>IF(AN64&gt;'goal seek'!$F$28,MAX($AL$7,AN64*(1+AP65)),MAX($AL$7,AN64+AO64))</f>
        <v>-4.3499999999999996</v>
      </c>
      <c r="AO65" s="14">
        <f t="shared" si="25"/>
        <v>0</v>
      </c>
      <c r="AP65" s="135">
        <f t="shared" si="49"/>
        <v>-0.17343282998413528</v>
      </c>
      <c r="AQ65" s="9" t="str">
        <f t="shared" si="50"/>
        <v/>
      </c>
      <c r="AR65" s="18">
        <f t="shared" si="26"/>
        <v>-1.1581197738005675</v>
      </c>
      <c r="AS65" s="102">
        <f t="shared" si="27"/>
        <v>-1.1028084835646064</v>
      </c>
      <c r="AT65" s="18">
        <f t="shared" si="28"/>
        <v>-1.1073447020497025</v>
      </c>
      <c r="AU65" s="136">
        <f t="shared" si="51"/>
        <v>-0.41695380529942494</v>
      </c>
      <c r="AV65" s="6"/>
      <c r="AW65" s="243">
        <f t="shared" si="52"/>
        <v>-4.3499999999999996</v>
      </c>
      <c r="AX65" s="730">
        <f t="shared" si="53"/>
        <v>0</v>
      </c>
      <c r="AY65" s="9">
        <f t="shared" si="54"/>
        <v>0</v>
      </c>
      <c r="AZ65" s="9">
        <f t="shared" si="55"/>
        <v>0</v>
      </c>
      <c r="BA65" s="18">
        <f t="shared" si="29"/>
        <v>-1.1581197738005675</v>
      </c>
      <c r="BB65" s="102">
        <f t="shared" si="30"/>
        <v>-1.1028084835646064</v>
      </c>
      <c r="BC65" s="18">
        <f t="shared" si="31"/>
        <v>-1.1073447020497025</v>
      </c>
      <c r="BD65" s="136">
        <f t="shared" si="56"/>
        <v>-0.41695380529942494</v>
      </c>
      <c r="BE65" s="6"/>
      <c r="BF65" s="243">
        <f t="shared" si="57"/>
        <v>2.4238753176652125E-3</v>
      </c>
      <c r="BG65" s="14">
        <f t="shared" si="32"/>
        <v>-6.283004635219587E-4</v>
      </c>
      <c r="BH65" s="9"/>
      <c r="BI65" s="9">
        <f t="shared" si="58"/>
        <v>-0.20585330222284104</v>
      </c>
      <c r="BJ65" s="18">
        <f t="shared" si="33"/>
        <v>-0.99991189365127586</v>
      </c>
      <c r="BK65" s="102">
        <f t="shared" si="34"/>
        <v>-0.99994271380557265</v>
      </c>
      <c r="BL65" s="18">
        <f t="shared" si="35"/>
        <v>-0.99994018616694702</v>
      </c>
      <c r="BM65" s="136">
        <f t="shared" si="59"/>
        <v>2.3233196259123283E-4</v>
      </c>
      <c r="BP65" s="540">
        <f t="shared" si="84"/>
        <v>551.05680254348749</v>
      </c>
      <c r="BQ65" s="541">
        <f t="shared" si="85"/>
        <v>555.75216887574402</v>
      </c>
      <c r="BR65" s="541">
        <f t="shared" si="86"/>
        <v>555.09815702270851</v>
      </c>
      <c r="BS65" s="541">
        <f t="shared" si="87"/>
        <v>555.68960747884034</v>
      </c>
      <c r="BT65" s="541">
        <f t="shared" si="60"/>
        <v>555.57553407093417</v>
      </c>
      <c r="BU65" s="541">
        <f t="shared" si="61"/>
        <v>555.61474112288613</v>
      </c>
      <c r="BV65" s="540">
        <f t="shared" si="69"/>
        <v>131.05680254348749</v>
      </c>
      <c r="BW65" s="541">
        <f t="shared" si="70"/>
        <v>135.75216887574402</v>
      </c>
      <c r="BX65" s="541">
        <f t="shared" si="71"/>
        <v>135.09815702270851</v>
      </c>
      <c r="BY65" s="541">
        <f t="shared" si="72"/>
        <v>135.68960747884034</v>
      </c>
      <c r="BZ65" s="541">
        <f t="shared" si="73"/>
        <v>135.57553407093417</v>
      </c>
      <c r="CA65" s="542">
        <f t="shared" si="73"/>
        <v>135.61474112288613</v>
      </c>
    </row>
    <row r="66" spans="1:79" x14ac:dyDescent="0.2">
      <c r="A66" s="239">
        <f t="shared" si="40"/>
        <v>52</v>
      </c>
      <c r="B66" s="822">
        <v>10459152.506999999</v>
      </c>
      <c r="C66" s="239">
        <f t="shared" si="41"/>
        <v>2070</v>
      </c>
      <c r="E66" s="254">
        <f>IF(E65&gt;$K$10,MAX($K$7,E65*(1+$K$9)),MAX($K$7,scenarios!E65+scenarios!F65))</f>
        <v>-2.8750791514913621</v>
      </c>
      <c r="F66" s="14">
        <f t="shared" si="74"/>
        <v>-0.31503901973444082</v>
      </c>
      <c r="G66" s="9" t="str">
        <f t="shared" si="42"/>
        <v/>
      </c>
      <c r="H66" s="18">
        <f t="shared" si="64"/>
        <v>-1.1045073253086304</v>
      </c>
      <c r="I66" s="102">
        <f t="shared" si="75"/>
        <v>-1.0679500063662166</v>
      </c>
      <c r="J66" s="18">
        <f t="shared" si="76"/>
        <v>-1.0709481643416441</v>
      </c>
      <c r="K66" s="136">
        <f t="shared" si="65"/>
        <v>-0.27488643554696779</v>
      </c>
      <c r="L66" s="263"/>
      <c r="M66" s="243">
        <f>IF(M65&gt;'goal seek'!$F$28,MAX($T$7,M65*(1+O66)),MAX($T$7,M65+N65))</f>
        <v>-4.3499999999999996</v>
      </c>
      <c r="N66" s="14">
        <f t="shared" si="77"/>
        <v>0</v>
      </c>
      <c r="O66" s="135">
        <f t="shared" si="62"/>
        <v>-5</v>
      </c>
      <c r="P66" s="9" t="str">
        <f t="shared" si="43"/>
        <v/>
      </c>
      <c r="Q66" s="18">
        <f t="shared" si="13"/>
        <v>-1.1581197738005675</v>
      </c>
      <c r="R66" s="102">
        <f t="shared" si="78"/>
        <v>-1.1028084835646064</v>
      </c>
      <c r="S66" s="18">
        <f t="shared" si="79"/>
        <v>-1.1073447020497025</v>
      </c>
      <c r="T66" s="136">
        <f t="shared" si="44"/>
        <v>-0.41590367834188041</v>
      </c>
      <c r="U66" s="6"/>
      <c r="V66" s="243">
        <f>IF(V65&gt;'goal seek'!$F$28,MAX($AC$7,V65*(1+X66)),MAX($AC$7,V65+W65))</f>
        <v>-4.3499999999999996</v>
      </c>
      <c r="W66" s="14">
        <f t="shared" si="80"/>
        <v>0</v>
      </c>
      <c r="X66" s="135">
        <f t="shared" si="63"/>
        <v>-0.33977117219186781</v>
      </c>
      <c r="Y66" s="9" t="str">
        <f t="shared" si="45"/>
        <v/>
      </c>
      <c r="Z66" s="18">
        <f t="shared" si="17"/>
        <v>-1.1581197738005675</v>
      </c>
      <c r="AA66" s="102">
        <f t="shared" si="81"/>
        <v>-1.1028084835646064</v>
      </c>
      <c r="AB66" s="18">
        <f t="shared" si="82"/>
        <v>-1.1073447020497025</v>
      </c>
      <c r="AC66" s="136">
        <f t="shared" si="46"/>
        <v>-0.41590367834188041</v>
      </c>
      <c r="AD66" s="6"/>
      <c r="AE66" s="243">
        <f>IF(AE65&gt;'goal seek'!$F$28,MAX($AL$7,AE65*(1+AG66)),MAX($AL$7,AE65+AF65))</f>
        <v>-4.3499999999999996</v>
      </c>
      <c r="AF66" s="14">
        <f t="shared" si="66"/>
        <v>0</v>
      </c>
      <c r="AG66" s="135">
        <f t="shared" si="83"/>
        <v>-1.3442740762890073</v>
      </c>
      <c r="AH66" s="9" t="str">
        <f t="shared" si="47"/>
        <v/>
      </c>
      <c r="AI66" s="18">
        <f t="shared" si="22"/>
        <v>-1.1581197738005675</v>
      </c>
      <c r="AJ66" s="102">
        <f t="shared" si="67"/>
        <v>-1.1028084835646064</v>
      </c>
      <c r="AK66" s="18">
        <f t="shared" si="68"/>
        <v>-1.1073447020497025</v>
      </c>
      <c r="AL66" s="136">
        <f t="shared" si="48"/>
        <v>-0.41590367834188041</v>
      </c>
      <c r="AM66" s="6"/>
      <c r="AN66" s="243">
        <f>IF(AN65&gt;'goal seek'!$F$28,MAX($AL$7,AN65*(1+AP66)),MAX($AL$7,AN65+AO65))</f>
        <v>-4.3499999999999996</v>
      </c>
      <c r="AO66" s="14">
        <f t="shared" si="25"/>
        <v>0</v>
      </c>
      <c r="AP66" s="135">
        <f t="shared" si="49"/>
        <v>-0.17504756792588716</v>
      </c>
      <c r="AQ66" s="9" t="str">
        <f t="shared" si="50"/>
        <v/>
      </c>
      <c r="AR66" s="18">
        <f t="shared" si="26"/>
        <v>-1.1581197738005675</v>
      </c>
      <c r="AS66" s="102">
        <f t="shared" si="27"/>
        <v>-1.1028084835646064</v>
      </c>
      <c r="AT66" s="18">
        <f t="shared" si="28"/>
        <v>-1.1073447020497025</v>
      </c>
      <c r="AU66" s="136">
        <f t="shared" si="51"/>
        <v>-0.41590367834188041</v>
      </c>
      <c r="AV66" s="6"/>
      <c r="AW66" s="243">
        <f t="shared" si="52"/>
        <v>-4.3499999999999996</v>
      </c>
      <c r="AX66" s="730">
        <f t="shared" si="53"/>
        <v>0</v>
      </c>
      <c r="AY66" s="9">
        <f t="shared" si="54"/>
        <v>0</v>
      </c>
      <c r="AZ66" s="9">
        <f t="shared" si="55"/>
        <v>0</v>
      </c>
      <c r="BA66" s="18">
        <f t="shared" si="29"/>
        <v>-1.1581197738005675</v>
      </c>
      <c r="BB66" s="102">
        <f t="shared" si="30"/>
        <v>-1.1028084835646064</v>
      </c>
      <c r="BC66" s="18">
        <f t="shared" si="31"/>
        <v>-1.1073447020497025</v>
      </c>
      <c r="BD66" s="136">
        <f t="shared" si="56"/>
        <v>-0.41590367834188041</v>
      </c>
      <c r="BE66" s="6"/>
      <c r="BF66" s="243">
        <f t="shared" si="57"/>
        <v>1.9242418703228478E-3</v>
      </c>
      <c r="BG66" s="14">
        <f t="shared" si="32"/>
        <v>-4.9963344734236474E-4</v>
      </c>
      <c r="BH66" s="9"/>
      <c r="BI66" s="9">
        <f t="shared" si="58"/>
        <v>-0.20613001159797051</v>
      </c>
      <c r="BJ66" s="18">
        <f t="shared" si="33"/>
        <v>-0.99993005501396015</v>
      </c>
      <c r="BK66" s="102">
        <f t="shared" si="34"/>
        <v>-0.99995452220949443</v>
      </c>
      <c r="BL66" s="18">
        <f t="shared" si="35"/>
        <v>-0.99995251559304799</v>
      </c>
      <c r="BM66" s="136">
        <f t="shared" si="59"/>
        <v>1.8397684411189242E-4</v>
      </c>
      <c r="BP66" s="540">
        <f t="shared" si="84"/>
        <v>548.18172339199612</v>
      </c>
      <c r="BQ66" s="541">
        <f t="shared" si="85"/>
        <v>551.402168875744</v>
      </c>
      <c r="BR66" s="541">
        <f t="shared" si="86"/>
        <v>550.74815702270848</v>
      </c>
      <c r="BS66" s="541">
        <f t="shared" si="87"/>
        <v>551.33960747884032</v>
      </c>
      <c r="BT66" s="541">
        <f t="shared" si="60"/>
        <v>551.22553407093415</v>
      </c>
      <c r="BU66" s="541">
        <f t="shared" si="61"/>
        <v>551.26474112288611</v>
      </c>
      <c r="BV66" s="540">
        <f t="shared" si="69"/>
        <v>128.18172339199612</v>
      </c>
      <c r="BW66" s="541">
        <f t="shared" si="70"/>
        <v>131.402168875744</v>
      </c>
      <c r="BX66" s="541">
        <f t="shared" si="71"/>
        <v>130.74815702270848</v>
      </c>
      <c r="BY66" s="541">
        <f t="shared" si="72"/>
        <v>131.33960747884032</v>
      </c>
      <c r="BZ66" s="541">
        <f t="shared" si="73"/>
        <v>131.22553407093415</v>
      </c>
      <c r="CA66" s="542">
        <f t="shared" si="73"/>
        <v>131.26474112288611</v>
      </c>
    </row>
    <row r="67" spans="1:79" x14ac:dyDescent="0.2">
      <c r="A67" s="239">
        <f t="shared" si="40"/>
        <v>53</v>
      </c>
      <c r="B67" s="822">
        <v>10484559.381999999</v>
      </c>
      <c r="C67" s="239">
        <f t="shared" si="41"/>
        <v>2071</v>
      </c>
      <c r="E67" s="254">
        <f>IF(E66&gt;$K$10,MAX($K$7,E66*(1+$K$9)),MAX($K$7,scenarios!E66+scenarios!F66))</f>
        <v>-3.1901181712258029</v>
      </c>
      <c r="F67" s="14">
        <f t="shared" si="74"/>
        <v>-0.31503901973444082</v>
      </c>
      <c r="G67" s="9" t="str">
        <f t="shared" si="42"/>
        <v/>
      </c>
      <c r="H67" s="18">
        <f t="shared" si="64"/>
        <v>-1.1159587962370814</v>
      </c>
      <c r="I67" s="102">
        <f t="shared" si="75"/>
        <v>-1.0753956808219816</v>
      </c>
      <c r="J67" s="18">
        <f t="shared" si="76"/>
        <v>-1.0787223642743853</v>
      </c>
      <c r="K67" s="136">
        <f t="shared" si="65"/>
        <v>-0.30426821528643644</v>
      </c>
      <c r="L67" s="263"/>
      <c r="M67" s="243">
        <f>IF(M66&gt;'goal seek'!$F$28,MAX($T$7,M66*(1+O67)),MAX($T$7,M66+N66))</f>
        <v>-4.3499999999999996</v>
      </c>
      <c r="N67" s="14">
        <f t="shared" si="77"/>
        <v>0</v>
      </c>
      <c r="O67" s="135">
        <f t="shared" si="62"/>
        <v>-5</v>
      </c>
      <c r="P67" s="9" t="str">
        <f t="shared" si="43"/>
        <v/>
      </c>
      <c r="Q67" s="18">
        <f t="shared" si="13"/>
        <v>-1.1581197738005675</v>
      </c>
      <c r="R67" s="102">
        <f t="shared" si="78"/>
        <v>-1.1028084835646064</v>
      </c>
      <c r="S67" s="18">
        <f t="shared" si="79"/>
        <v>-1.1073447020497025</v>
      </c>
      <c r="T67" s="136">
        <f t="shared" si="44"/>
        <v>-0.4148958331494717</v>
      </c>
      <c r="U67" s="6"/>
      <c r="V67" s="243">
        <f>IF(V66&gt;'goal seek'!$F$28,MAX($AC$7,V66*(1+X67)),MAX($AC$7,V66+W66))</f>
        <v>-4.3499999999999996</v>
      </c>
      <c r="W67" s="14">
        <f t="shared" si="80"/>
        <v>0</v>
      </c>
      <c r="X67" s="135">
        <f t="shared" si="63"/>
        <v>-0.34624659563570515</v>
      </c>
      <c r="Y67" s="9" t="str">
        <f t="shared" si="45"/>
        <v/>
      </c>
      <c r="Z67" s="18">
        <f t="shared" si="17"/>
        <v>-1.1581197738005675</v>
      </c>
      <c r="AA67" s="102">
        <f t="shared" si="81"/>
        <v>-1.1028084835646064</v>
      </c>
      <c r="AB67" s="18">
        <f t="shared" si="82"/>
        <v>-1.1073447020497025</v>
      </c>
      <c r="AC67" s="136">
        <f t="shared" si="46"/>
        <v>-0.4148958331494717</v>
      </c>
      <c r="AD67" s="6"/>
      <c r="AE67" s="243">
        <f>IF(AE66&gt;'goal seek'!$F$28,MAX($AL$7,AE66*(1+AG67)),MAX($AL$7,AE66+AF66))</f>
        <v>-4.3499999999999996</v>
      </c>
      <c r="AF67" s="14">
        <f t="shared" si="66"/>
        <v>0</v>
      </c>
      <c r="AG67" s="135">
        <f t="shared" si="83"/>
        <v>-1.3979363489710832</v>
      </c>
      <c r="AH67" s="9" t="str">
        <f t="shared" si="47"/>
        <v/>
      </c>
      <c r="AI67" s="18">
        <f t="shared" si="22"/>
        <v>-1.1581197738005675</v>
      </c>
      <c r="AJ67" s="102">
        <f t="shared" si="67"/>
        <v>-1.1028084835646064</v>
      </c>
      <c r="AK67" s="18">
        <f t="shared" si="68"/>
        <v>-1.1073447020497025</v>
      </c>
      <c r="AL67" s="136">
        <f t="shared" si="48"/>
        <v>-0.4148958331494717</v>
      </c>
      <c r="AM67" s="6"/>
      <c r="AN67" s="243">
        <f>IF(AN66&gt;'goal seek'!$F$28,MAX($AL$7,AN66*(1+AP67)),MAX($AL$7,AN66+AO66))</f>
        <v>-4.3499999999999996</v>
      </c>
      <c r="AO67" s="14">
        <f t="shared" si="25"/>
        <v>0</v>
      </c>
      <c r="AP67" s="135">
        <f t="shared" si="49"/>
        <v>-0.17664607610976918</v>
      </c>
      <c r="AQ67" s="9" t="str">
        <f t="shared" si="50"/>
        <v/>
      </c>
      <c r="AR67" s="18">
        <f t="shared" si="26"/>
        <v>-1.1581197738005675</v>
      </c>
      <c r="AS67" s="102">
        <f t="shared" si="27"/>
        <v>-1.1028084835646064</v>
      </c>
      <c r="AT67" s="18">
        <f t="shared" si="28"/>
        <v>-1.1073447020497025</v>
      </c>
      <c r="AU67" s="136">
        <f t="shared" si="51"/>
        <v>-0.4148958331494717</v>
      </c>
      <c r="AV67" s="6"/>
      <c r="AW67" s="243">
        <f t="shared" si="52"/>
        <v>-4.3499999999999996</v>
      </c>
      <c r="AX67" s="730">
        <f t="shared" si="53"/>
        <v>0</v>
      </c>
      <c r="AY67" s="9">
        <f t="shared" si="54"/>
        <v>0</v>
      </c>
      <c r="AZ67" s="9">
        <f t="shared" si="55"/>
        <v>0</v>
      </c>
      <c r="BA67" s="18">
        <f t="shared" si="29"/>
        <v>-1.1581197738005675</v>
      </c>
      <c r="BB67" s="102">
        <f t="shared" si="30"/>
        <v>-1.1028084835646064</v>
      </c>
      <c r="BC67" s="18">
        <f t="shared" si="31"/>
        <v>-1.1073447020497025</v>
      </c>
      <c r="BD67" s="136">
        <f t="shared" si="56"/>
        <v>-0.4148958331494717</v>
      </c>
      <c r="BE67" s="6"/>
      <c r="BF67" s="243">
        <f t="shared" si="57"/>
        <v>1.5270849293665132E-3</v>
      </c>
      <c r="BG67" s="14">
        <f t="shared" si="32"/>
        <v>-3.9715694095633462E-4</v>
      </c>
      <c r="BH67" s="9"/>
      <c r="BI67" s="9">
        <f t="shared" si="58"/>
        <v>-0.2063965799110794</v>
      </c>
      <c r="BJ67" s="18">
        <f t="shared" si="33"/>
        <v>-0.99994449141986075</v>
      </c>
      <c r="BK67" s="102">
        <f t="shared" si="34"/>
        <v>-0.99996390866991669</v>
      </c>
      <c r="BL67" s="18">
        <f t="shared" si="35"/>
        <v>-0.99996231621224207</v>
      </c>
      <c r="BM67" s="136">
        <f t="shared" si="59"/>
        <v>1.4565084461138429E-4</v>
      </c>
      <c r="BP67" s="540">
        <f t="shared" si="84"/>
        <v>544.99160522077034</v>
      </c>
      <c r="BQ67" s="541">
        <f t="shared" si="85"/>
        <v>547.05216887574397</v>
      </c>
      <c r="BR67" s="541">
        <f t="shared" si="86"/>
        <v>546.39815702270846</v>
      </c>
      <c r="BS67" s="541">
        <f t="shared" si="87"/>
        <v>546.9896074788403</v>
      </c>
      <c r="BT67" s="541">
        <f t="shared" si="60"/>
        <v>546.87553407093412</v>
      </c>
      <c r="BU67" s="541">
        <f t="shared" si="61"/>
        <v>546.91474112288608</v>
      </c>
      <c r="BV67" s="540">
        <f t="shared" si="69"/>
        <v>124.99160522077034</v>
      </c>
      <c r="BW67" s="541">
        <f t="shared" si="70"/>
        <v>127.05216887574397</v>
      </c>
      <c r="BX67" s="541">
        <f t="shared" si="71"/>
        <v>126.39815702270846</v>
      </c>
      <c r="BY67" s="541">
        <f t="shared" si="72"/>
        <v>126.9896074788403</v>
      </c>
      <c r="BZ67" s="541">
        <f t="shared" si="73"/>
        <v>126.87553407093412</v>
      </c>
      <c r="CA67" s="542">
        <f t="shared" si="73"/>
        <v>126.91474112288608</v>
      </c>
    </row>
    <row r="68" spans="1:79" x14ac:dyDescent="0.2">
      <c r="A68" s="239">
        <f t="shared" si="40"/>
        <v>54</v>
      </c>
      <c r="B68" s="822">
        <v>10509046.182</v>
      </c>
      <c r="C68" s="239">
        <f t="shared" si="41"/>
        <v>2072</v>
      </c>
      <c r="E68" s="254">
        <f>IF(E67&gt;$K$10,MAX($K$7,E67*(1+$K$9)),MAX($K$7,scenarios!E67+scenarios!F67))</f>
        <v>-3.5051571909602437</v>
      </c>
      <c r="F68" s="14">
        <f t="shared" si="74"/>
        <v>-0.31503901973444082</v>
      </c>
      <c r="G68" s="9" t="str">
        <f t="shared" si="42"/>
        <v/>
      </c>
      <c r="H68" s="18">
        <f t="shared" si="64"/>
        <v>-1.1274102671655326</v>
      </c>
      <c r="I68" s="102">
        <f t="shared" si="75"/>
        <v>-1.0828413552777465</v>
      </c>
      <c r="J68" s="18">
        <f t="shared" si="76"/>
        <v>-1.0864965642071265</v>
      </c>
      <c r="K68" s="136">
        <f t="shared" si="65"/>
        <v>-0.33353713840975524</v>
      </c>
      <c r="L68" s="263"/>
      <c r="M68" s="243">
        <f>IF(M67&gt;'goal seek'!$F$28,MAX($T$7,M67*(1+O68)),MAX($T$7,M67+N67))</f>
        <v>-4.3499999999999996</v>
      </c>
      <c r="N68" s="14">
        <f t="shared" si="77"/>
        <v>0</v>
      </c>
      <c r="O68" s="135">
        <f t="shared" si="62"/>
        <v>-5</v>
      </c>
      <c r="P68" s="9" t="str">
        <f t="shared" si="43"/>
        <v/>
      </c>
      <c r="Q68" s="18">
        <f t="shared" si="13"/>
        <v>-1.1581197738005675</v>
      </c>
      <c r="R68" s="102">
        <f t="shared" si="78"/>
        <v>-1.1028084835646064</v>
      </c>
      <c r="S68" s="18">
        <f t="shared" si="79"/>
        <v>-1.1073447020497025</v>
      </c>
      <c r="T68" s="136">
        <f t="shared" si="44"/>
        <v>-0.41392909733813177</v>
      </c>
      <c r="U68" s="6"/>
      <c r="V68" s="243">
        <f>IF(V67&gt;'goal seek'!$F$28,MAX($AC$7,V67*(1+X68)),MAX($AC$7,V67+W67))</f>
        <v>-4.3499999999999996</v>
      </c>
      <c r="W68" s="14">
        <f t="shared" si="80"/>
        <v>0</v>
      </c>
      <c r="X68" s="135">
        <f t="shared" si="63"/>
        <v>-0.35272201907954248</v>
      </c>
      <c r="Y68" s="9" t="str">
        <f t="shared" si="45"/>
        <v/>
      </c>
      <c r="Z68" s="18">
        <f t="shared" si="17"/>
        <v>-1.1581197738005675</v>
      </c>
      <c r="AA68" s="102">
        <f t="shared" si="81"/>
        <v>-1.1028084835646064</v>
      </c>
      <c r="AB68" s="18">
        <f t="shared" si="82"/>
        <v>-1.1073447020497025</v>
      </c>
      <c r="AC68" s="136">
        <f t="shared" si="46"/>
        <v>-0.41392909733813177</v>
      </c>
      <c r="AD68" s="6"/>
      <c r="AE68" s="243">
        <f>IF(AE67&gt;'goal seek'!$F$28,MAX($AL$7,AE67*(1+AG68)),MAX($AL$7,AE67+AF67))</f>
        <v>-4.3499999999999996</v>
      </c>
      <c r="AF68" s="14">
        <f t="shared" si="66"/>
        <v>0</v>
      </c>
      <c r="AG68" s="135">
        <f t="shared" si="83"/>
        <v>-1.4526612409141904</v>
      </c>
      <c r="AH68" s="9" t="str">
        <f t="shared" si="47"/>
        <v/>
      </c>
      <c r="AI68" s="18">
        <f t="shared" si="22"/>
        <v>-1.1581197738005675</v>
      </c>
      <c r="AJ68" s="102">
        <f t="shared" si="67"/>
        <v>-1.1028084835646064</v>
      </c>
      <c r="AK68" s="18">
        <f t="shared" si="68"/>
        <v>-1.1073447020497025</v>
      </c>
      <c r="AL68" s="136">
        <f t="shared" si="48"/>
        <v>-0.41392909733813177</v>
      </c>
      <c r="AM68" s="6"/>
      <c r="AN68" s="243">
        <f>IF(AN67&gt;'goal seek'!$F$28,MAX($AL$7,AN67*(1+AP68)),MAX($AL$7,AN67+AO67))</f>
        <v>-4.3499999999999996</v>
      </c>
      <c r="AO68" s="14">
        <f t="shared" si="25"/>
        <v>0</v>
      </c>
      <c r="AP68" s="135">
        <f t="shared" si="49"/>
        <v>-0.17822883429215597</v>
      </c>
      <c r="AQ68" s="9" t="str">
        <f t="shared" si="50"/>
        <v/>
      </c>
      <c r="AR68" s="18">
        <f t="shared" si="26"/>
        <v>-1.1581197738005675</v>
      </c>
      <c r="AS68" s="102">
        <f t="shared" si="27"/>
        <v>-1.1028084835646064</v>
      </c>
      <c r="AT68" s="18">
        <f t="shared" si="28"/>
        <v>-1.1073447020497025</v>
      </c>
      <c r="AU68" s="136">
        <f t="shared" si="51"/>
        <v>-0.41392909733813177</v>
      </c>
      <c r="AV68" s="6"/>
      <c r="AW68" s="243">
        <f t="shared" si="52"/>
        <v>-4.3499999999999996</v>
      </c>
      <c r="AX68" s="730">
        <f t="shared" si="53"/>
        <v>0</v>
      </c>
      <c r="AY68" s="9">
        <f t="shared" si="54"/>
        <v>0</v>
      </c>
      <c r="AZ68" s="9">
        <f t="shared" si="55"/>
        <v>0</v>
      </c>
      <c r="BA68" s="18">
        <f t="shared" si="29"/>
        <v>-1.1581197738005675</v>
      </c>
      <c r="BB68" s="102">
        <f t="shared" si="30"/>
        <v>-1.1028084835646064</v>
      </c>
      <c r="BC68" s="18">
        <f t="shared" si="31"/>
        <v>-1.1073447020497025</v>
      </c>
      <c r="BD68" s="136">
        <f t="shared" si="56"/>
        <v>-0.41392909733813177</v>
      </c>
      <c r="BE68" s="6"/>
      <c r="BF68" s="243">
        <f t="shared" si="57"/>
        <v>1.211507400511235E-3</v>
      </c>
      <c r="BG68" s="14">
        <f t="shared" si="32"/>
        <v>-3.1557752885527819E-4</v>
      </c>
      <c r="BH68" s="9"/>
      <c r="BI68" s="9">
        <f t="shared" si="58"/>
        <v>-0.20665355461676282</v>
      </c>
      <c r="BJ68" s="18">
        <f t="shared" si="33"/>
        <v>-0.9999559624652582</v>
      </c>
      <c r="BK68" s="102">
        <f t="shared" si="34"/>
        <v>-0.99997136707156919</v>
      </c>
      <c r="BL68" s="18">
        <f t="shared" si="35"/>
        <v>-0.99997010370093353</v>
      </c>
      <c r="BM68" s="136">
        <f t="shared" si="59"/>
        <v>1.1528233671542113E-4</v>
      </c>
      <c r="BP68" s="540">
        <f t="shared" si="84"/>
        <v>541.48644802981005</v>
      </c>
      <c r="BQ68" s="541">
        <f t="shared" si="85"/>
        <v>542.70216887574395</v>
      </c>
      <c r="BR68" s="541">
        <f t="shared" si="86"/>
        <v>542.04815702270844</v>
      </c>
      <c r="BS68" s="541">
        <f t="shared" si="87"/>
        <v>542.63960747884028</v>
      </c>
      <c r="BT68" s="541">
        <f t="shared" si="60"/>
        <v>542.5255340709341</v>
      </c>
      <c r="BU68" s="541">
        <f t="shared" si="61"/>
        <v>542.56474112288606</v>
      </c>
      <c r="BV68" s="540">
        <f t="shared" si="69"/>
        <v>121.48644802981005</v>
      </c>
      <c r="BW68" s="541">
        <f t="shared" si="70"/>
        <v>122.70216887574395</v>
      </c>
      <c r="BX68" s="541">
        <f t="shared" si="71"/>
        <v>122.04815702270844</v>
      </c>
      <c r="BY68" s="541">
        <f t="shared" si="72"/>
        <v>122.63960747884028</v>
      </c>
      <c r="BZ68" s="541">
        <f t="shared" si="73"/>
        <v>122.5255340709341</v>
      </c>
      <c r="CA68" s="542">
        <f t="shared" si="73"/>
        <v>122.56474112288606</v>
      </c>
    </row>
    <row r="69" spans="1:79" x14ac:dyDescent="0.2">
      <c r="A69" s="239">
        <f t="shared" si="40"/>
        <v>55</v>
      </c>
      <c r="B69" s="822">
        <v>10532629.592</v>
      </c>
      <c r="C69" s="239">
        <f t="shared" si="41"/>
        <v>2073</v>
      </c>
      <c r="E69" s="254">
        <f>IF(E68&gt;$K$10,MAX($K$7,E68*(1+$K$9)),MAX($K$7,scenarios!E68+scenarios!F68))</f>
        <v>-3.8201962106946845</v>
      </c>
      <c r="F69" s="14">
        <f t="shared" si="74"/>
        <v>-0.31503901973444082</v>
      </c>
      <c r="G69" s="9" t="str">
        <f t="shared" si="42"/>
        <v/>
      </c>
      <c r="H69" s="18">
        <f t="shared" si="64"/>
        <v>-1.1388617380939838</v>
      </c>
      <c r="I69" s="102">
        <f t="shared" si="75"/>
        <v>-1.0902870297335117</v>
      </c>
      <c r="J69" s="18">
        <f t="shared" si="76"/>
        <v>-1.0942707641398675</v>
      </c>
      <c r="K69" s="136">
        <f t="shared" si="65"/>
        <v>-0.36270108782675631</v>
      </c>
      <c r="L69" s="263"/>
      <c r="M69" s="243">
        <f>IF(M68&gt;'goal seek'!$F$28,MAX($T$7,M68*(1+O69)),MAX($T$7,M68+N68))</f>
        <v>-4.3499999999999996</v>
      </c>
      <c r="N69" s="14">
        <f t="shared" si="77"/>
        <v>0</v>
      </c>
      <c r="O69" s="135">
        <f t="shared" si="62"/>
        <v>-5</v>
      </c>
      <c r="P69" s="9" t="str">
        <f t="shared" si="43"/>
        <v/>
      </c>
      <c r="Q69" s="18">
        <f t="shared" si="13"/>
        <v>-1.1581197738005675</v>
      </c>
      <c r="R69" s="102">
        <f t="shared" si="78"/>
        <v>-1.1028084835646064</v>
      </c>
      <c r="S69" s="18">
        <f t="shared" si="79"/>
        <v>-1.1073447020497025</v>
      </c>
      <c r="T69" s="136">
        <f t="shared" si="44"/>
        <v>-0.41300227659235433</v>
      </c>
      <c r="U69" s="6"/>
      <c r="V69" s="243">
        <f>IF(V68&gt;'goal seek'!$F$28,MAX($AC$7,V68*(1+X69)),MAX($AC$7,V68+W68))</f>
        <v>-4.3499999999999996</v>
      </c>
      <c r="W69" s="14">
        <f t="shared" si="80"/>
        <v>0</v>
      </c>
      <c r="X69" s="135">
        <f t="shared" si="63"/>
        <v>-0.35919744252337982</v>
      </c>
      <c r="Y69" s="9" t="str">
        <f t="shared" si="45"/>
        <v/>
      </c>
      <c r="Z69" s="18">
        <f t="shared" si="17"/>
        <v>-1.1581197738005675</v>
      </c>
      <c r="AA69" s="102">
        <f t="shared" si="81"/>
        <v>-1.1028084835646064</v>
      </c>
      <c r="AB69" s="18">
        <f t="shared" si="82"/>
        <v>-1.1073447020497025</v>
      </c>
      <c r="AC69" s="136">
        <f t="shared" si="46"/>
        <v>-0.41300227659235433</v>
      </c>
      <c r="AD69" s="6"/>
      <c r="AE69" s="243">
        <f>IF(AE68&gt;'goal seek'!$F$28,MAX($AL$7,AE68*(1+AG69)),MAX($AL$7,AE68+AF68))</f>
        <v>-4.3499999999999996</v>
      </c>
      <c r="AF69" s="14">
        <f t="shared" si="66"/>
        <v>0</v>
      </c>
      <c r="AG69" s="135">
        <f t="shared" si="83"/>
        <v>-1.5084487521183287</v>
      </c>
      <c r="AH69" s="9" t="str">
        <f t="shared" si="47"/>
        <v/>
      </c>
      <c r="AI69" s="18">
        <f t="shared" si="22"/>
        <v>-1.1581197738005675</v>
      </c>
      <c r="AJ69" s="102">
        <f t="shared" si="67"/>
        <v>-1.1028084835646064</v>
      </c>
      <c r="AK69" s="18">
        <f t="shared" si="68"/>
        <v>-1.1073447020497025</v>
      </c>
      <c r="AL69" s="136">
        <f t="shared" si="48"/>
        <v>-0.41300227659235433</v>
      </c>
      <c r="AM69" s="6"/>
      <c r="AN69" s="243">
        <f>IF(AN68&gt;'goal seek'!$F$28,MAX($AL$7,AN68*(1+AP69)),MAX($AL$7,AN68+AO68))</f>
        <v>-4.3499999999999996</v>
      </c>
      <c r="AO69" s="14">
        <f t="shared" si="25"/>
        <v>0</v>
      </c>
      <c r="AP69" s="135">
        <f t="shared" si="49"/>
        <v>-0.1797962990489036</v>
      </c>
      <c r="AQ69" s="9" t="str">
        <f t="shared" si="50"/>
        <v/>
      </c>
      <c r="AR69" s="18">
        <f t="shared" si="26"/>
        <v>-1.1581197738005675</v>
      </c>
      <c r="AS69" s="102">
        <f t="shared" si="27"/>
        <v>-1.1028084835646064</v>
      </c>
      <c r="AT69" s="18">
        <f t="shared" si="28"/>
        <v>-1.1073447020497025</v>
      </c>
      <c r="AU69" s="136">
        <f t="shared" si="51"/>
        <v>-0.41300227659235433</v>
      </c>
      <c r="AV69" s="6"/>
      <c r="AW69" s="243">
        <f t="shared" si="52"/>
        <v>-4.3499999999999996</v>
      </c>
      <c r="AX69" s="730">
        <f t="shared" si="53"/>
        <v>0</v>
      </c>
      <c r="AY69" s="9">
        <f t="shared" si="54"/>
        <v>0</v>
      </c>
      <c r="AZ69" s="9">
        <f t="shared" si="55"/>
        <v>0</v>
      </c>
      <c r="BA69" s="18">
        <f t="shared" si="29"/>
        <v>-1.1581197738005675</v>
      </c>
      <c r="BB69" s="102">
        <f t="shared" si="30"/>
        <v>-1.1028084835646064</v>
      </c>
      <c r="BC69" s="18">
        <f t="shared" si="31"/>
        <v>-1.1073447020497025</v>
      </c>
      <c r="BD69" s="136">
        <f t="shared" si="56"/>
        <v>-0.41300227659235433</v>
      </c>
      <c r="BE69" s="6"/>
      <c r="BF69" s="243">
        <f t="shared" si="57"/>
        <v>9.6084476937006134E-4</v>
      </c>
      <c r="BG69" s="14">
        <f t="shared" si="32"/>
        <v>-2.5066263114117363E-4</v>
      </c>
      <c r="BH69" s="9"/>
      <c r="BI69" s="9">
        <f t="shared" si="58"/>
        <v>-0.20690144446117154</v>
      </c>
      <c r="BJ69" s="18">
        <f t="shared" si="33"/>
        <v>-0.99996507389480682</v>
      </c>
      <c r="BK69" s="102">
        <f t="shared" si="34"/>
        <v>-0.9999772912658208</v>
      </c>
      <c r="BL69" s="18">
        <f t="shared" si="35"/>
        <v>-0.99997628928839455</v>
      </c>
      <c r="BM69" s="136">
        <f t="shared" si="59"/>
        <v>9.1225534988894475E-5</v>
      </c>
      <c r="BP69" s="540">
        <f t="shared" si="84"/>
        <v>537.66625181911536</v>
      </c>
      <c r="BQ69" s="541">
        <f t="shared" si="85"/>
        <v>538.35216887574393</v>
      </c>
      <c r="BR69" s="541">
        <f t="shared" si="86"/>
        <v>537.69815702270841</v>
      </c>
      <c r="BS69" s="541">
        <f t="shared" si="87"/>
        <v>538.28960747884025</v>
      </c>
      <c r="BT69" s="541">
        <f t="shared" si="60"/>
        <v>538.17553407093408</v>
      </c>
      <c r="BU69" s="541">
        <f t="shared" si="61"/>
        <v>538.21474112288604</v>
      </c>
      <c r="BV69" s="540">
        <f t="shared" si="69"/>
        <v>117.66625181911536</v>
      </c>
      <c r="BW69" s="541">
        <f t="shared" si="70"/>
        <v>118.35216887574393</v>
      </c>
      <c r="BX69" s="541">
        <f t="shared" si="71"/>
        <v>117.69815702270841</v>
      </c>
      <c r="BY69" s="541">
        <f t="shared" si="72"/>
        <v>118.28960747884025</v>
      </c>
      <c r="BZ69" s="541">
        <f t="shared" si="73"/>
        <v>118.17553407093408</v>
      </c>
      <c r="CA69" s="542">
        <f t="shared" si="73"/>
        <v>118.21474112288604</v>
      </c>
    </row>
    <row r="70" spans="1:79" x14ac:dyDescent="0.2">
      <c r="A70" s="239">
        <f t="shared" si="40"/>
        <v>56</v>
      </c>
      <c r="B70" s="822">
        <v>10555327.277000001</v>
      </c>
      <c r="C70" s="239">
        <f t="shared" si="41"/>
        <v>2074</v>
      </c>
      <c r="E70" s="254">
        <f>IF(E69&gt;$K$10,MAX($K$7,E69*(1+$K$9)),MAX($K$7,scenarios!E69+scenarios!F69))</f>
        <v>-4.1352352304291253</v>
      </c>
      <c r="F70" s="14">
        <f t="shared" si="74"/>
        <v>-0.31503901973444082</v>
      </c>
      <c r="G70" s="9" t="str">
        <f t="shared" si="42"/>
        <v/>
      </c>
      <c r="H70" s="18">
        <f t="shared" si="64"/>
        <v>-1.1503132090224348</v>
      </c>
      <c r="I70" s="102">
        <f t="shared" si="75"/>
        <v>-1.0977327041892766</v>
      </c>
      <c r="J70" s="18">
        <f t="shared" si="76"/>
        <v>-1.1020449640726087</v>
      </c>
      <c r="K70" s="136">
        <f t="shared" si="65"/>
        <v>-0.39176759961197793</v>
      </c>
      <c r="L70" s="263"/>
      <c r="M70" s="243">
        <f>IF(M69&gt;'goal seek'!$F$28,MAX($T$7,M69*(1+O70)),MAX($T$7,M69+N69))</f>
        <v>-4.3499999999999996</v>
      </c>
      <c r="N70" s="14">
        <f t="shared" si="77"/>
        <v>0</v>
      </c>
      <c r="O70" s="135">
        <f t="shared" si="62"/>
        <v>-5</v>
      </c>
      <c r="P70" s="9" t="str">
        <f t="shared" si="43"/>
        <v/>
      </c>
      <c r="Q70" s="18">
        <f t="shared" si="13"/>
        <v>-1.1581197738005675</v>
      </c>
      <c r="R70" s="102">
        <f t="shared" si="78"/>
        <v>-1.1028084835646064</v>
      </c>
      <c r="S70" s="18">
        <f t="shared" si="79"/>
        <v>-1.1073447020497025</v>
      </c>
      <c r="T70" s="136">
        <f t="shared" si="44"/>
        <v>-0.41211417569956599</v>
      </c>
      <c r="U70" s="6"/>
      <c r="V70" s="243">
        <f>IF(V69&gt;'goal seek'!$F$28,MAX($AC$7,V69*(1+X70)),MAX($AC$7,V69+W69))</f>
        <v>-4.3499999999999996</v>
      </c>
      <c r="W70" s="14">
        <f t="shared" si="80"/>
        <v>0</v>
      </c>
      <c r="X70" s="135">
        <f t="shared" si="63"/>
        <v>-0.36567286596721715</v>
      </c>
      <c r="Y70" s="9" t="str">
        <f t="shared" si="45"/>
        <v/>
      </c>
      <c r="Z70" s="18">
        <f t="shared" si="17"/>
        <v>-1.1581197738005675</v>
      </c>
      <c r="AA70" s="102">
        <f t="shared" si="81"/>
        <v>-1.1028084835646064</v>
      </c>
      <c r="AB70" s="18">
        <f t="shared" si="82"/>
        <v>-1.1073447020497025</v>
      </c>
      <c r="AC70" s="136">
        <f t="shared" si="46"/>
        <v>-0.41211417569956599</v>
      </c>
      <c r="AD70" s="6"/>
      <c r="AE70" s="243">
        <f>IF(AE69&gt;'goal seek'!$F$28,MAX($AL$7,AE69*(1+AG70)),MAX($AL$7,AE69+AF69))</f>
        <v>-4.3499999999999996</v>
      </c>
      <c r="AF70" s="14">
        <f t="shared" si="66"/>
        <v>0</v>
      </c>
      <c r="AG70" s="135">
        <f t="shared" si="83"/>
        <v>-1.5652988825834981</v>
      </c>
      <c r="AH70" s="9" t="str">
        <f t="shared" si="47"/>
        <v/>
      </c>
      <c r="AI70" s="18">
        <f t="shared" si="22"/>
        <v>-1.1581197738005675</v>
      </c>
      <c r="AJ70" s="102">
        <f t="shared" si="67"/>
        <v>-1.1028084835646064</v>
      </c>
      <c r="AK70" s="18">
        <f t="shared" si="68"/>
        <v>-1.1073447020497025</v>
      </c>
      <c r="AL70" s="136">
        <f t="shared" si="48"/>
        <v>-0.41211417569956599</v>
      </c>
      <c r="AM70" s="6"/>
      <c r="AN70" s="243">
        <f>IF(AN69&gt;'goal seek'!$F$28,MAX($AL$7,AN69*(1+AP70)),MAX($AL$7,AN69+AO69))</f>
        <v>-4.3499999999999996</v>
      </c>
      <c r="AO70" s="14">
        <f t="shared" si="25"/>
        <v>0</v>
      </c>
      <c r="AP70" s="135">
        <f t="shared" si="49"/>
        <v>-0.18134890531371506</v>
      </c>
      <c r="AQ70" s="9" t="str">
        <f t="shared" si="50"/>
        <v/>
      </c>
      <c r="AR70" s="18">
        <f t="shared" si="26"/>
        <v>-1.1581197738005675</v>
      </c>
      <c r="AS70" s="102">
        <f t="shared" si="27"/>
        <v>-1.1028084835646064</v>
      </c>
      <c r="AT70" s="18">
        <f t="shared" si="28"/>
        <v>-1.1073447020497025</v>
      </c>
      <c r="AU70" s="136">
        <f t="shared" si="51"/>
        <v>-0.41211417569956599</v>
      </c>
      <c r="AV70" s="6"/>
      <c r="AW70" s="243">
        <f t="shared" si="52"/>
        <v>-4.3499999999999996</v>
      </c>
      <c r="AX70" s="730">
        <f t="shared" si="53"/>
        <v>0</v>
      </c>
      <c r="AY70" s="9">
        <f t="shared" si="54"/>
        <v>0</v>
      </c>
      <c r="AZ70" s="9">
        <f t="shared" si="55"/>
        <v>0</v>
      </c>
      <c r="BA70" s="18">
        <f t="shared" si="29"/>
        <v>-1.1581197738005675</v>
      </c>
      <c r="BB70" s="102">
        <f t="shared" si="30"/>
        <v>-1.1028084835646064</v>
      </c>
      <c r="BC70" s="18">
        <f t="shared" si="31"/>
        <v>-1.1073447020497025</v>
      </c>
      <c r="BD70" s="136">
        <f t="shared" si="56"/>
        <v>-0.41211417569956599</v>
      </c>
      <c r="BE70" s="6"/>
      <c r="BF70" s="243">
        <f t="shared" si="57"/>
        <v>7.61814689302157E-4</v>
      </c>
      <c r="BG70" s="14">
        <f t="shared" si="32"/>
        <v>-1.9903008006790434E-4</v>
      </c>
      <c r="BH70" s="9"/>
      <c r="BI70" s="9">
        <f t="shared" si="58"/>
        <v>-0.20714072284370166</v>
      </c>
      <c r="BJ70" s="18">
        <f t="shared" si="33"/>
        <v>-0.99997230851348273</v>
      </c>
      <c r="BK70" s="102">
        <f t="shared" si="34"/>
        <v>-0.99998199516943342</v>
      </c>
      <c r="BL70" s="18">
        <f t="shared" si="35"/>
        <v>-0.99998120074233554</v>
      </c>
      <c r="BM70" s="136">
        <f t="shared" si="59"/>
        <v>7.2173478785650451E-5</v>
      </c>
      <c r="BP70" s="540">
        <f t="shared" si="84"/>
        <v>533.53101658868627</v>
      </c>
      <c r="BQ70" s="541">
        <f t="shared" si="85"/>
        <v>534.00216887574391</v>
      </c>
      <c r="BR70" s="541">
        <f t="shared" si="86"/>
        <v>533.34815702270839</v>
      </c>
      <c r="BS70" s="541">
        <f t="shared" si="87"/>
        <v>533.93960747884023</v>
      </c>
      <c r="BT70" s="541">
        <f t="shared" si="60"/>
        <v>533.82553407093405</v>
      </c>
      <c r="BU70" s="541">
        <f t="shared" si="61"/>
        <v>533.86474112288602</v>
      </c>
      <c r="BV70" s="540">
        <f t="shared" si="69"/>
        <v>113.53101658868627</v>
      </c>
      <c r="BW70" s="541">
        <f t="shared" si="70"/>
        <v>114.00216887574391</v>
      </c>
      <c r="BX70" s="541">
        <f t="shared" si="71"/>
        <v>113.34815702270839</v>
      </c>
      <c r="BY70" s="541">
        <f t="shared" si="72"/>
        <v>113.93960747884023</v>
      </c>
      <c r="BZ70" s="541">
        <f t="shared" si="73"/>
        <v>113.82553407093405</v>
      </c>
      <c r="CA70" s="542">
        <f t="shared" si="73"/>
        <v>113.86474112288602</v>
      </c>
    </row>
    <row r="71" spans="1:79" x14ac:dyDescent="0.2">
      <c r="A71" s="239">
        <f t="shared" si="40"/>
        <v>57</v>
      </c>
      <c r="B71" s="822">
        <v>10577155.889</v>
      </c>
      <c r="C71" s="239">
        <f t="shared" si="41"/>
        <v>2075</v>
      </c>
      <c r="E71" s="254">
        <f>IF(E70&gt;$K$10,MAX($K$7,E70*(1+$K$9)),MAX($K$7,scenarios!E70+scenarios!F70))</f>
        <v>-4.3499999999999996</v>
      </c>
      <c r="F71" s="14">
        <f t="shared" si="74"/>
        <v>-0.21476476957087431</v>
      </c>
      <c r="G71" s="9" t="str">
        <f t="shared" si="42"/>
        <v/>
      </c>
      <c r="H71" s="18">
        <f t="shared" si="64"/>
        <v>-1.1581197738005675</v>
      </c>
      <c r="I71" s="102">
        <f t="shared" si="75"/>
        <v>-1.1028084835646064</v>
      </c>
      <c r="J71" s="18">
        <f t="shared" si="76"/>
        <v>-1.1073447020497025</v>
      </c>
      <c r="K71" s="136">
        <f t="shared" si="65"/>
        <v>-0.41126367481488102</v>
      </c>
      <c r="L71" s="263"/>
      <c r="M71" s="243">
        <f>IF(M70&gt;'goal seek'!$F$28,MAX($T$7,M70*(1+O71)),MAX($T$7,M70+N70))</f>
        <v>-4.3499999999999996</v>
      </c>
      <c r="N71" s="14">
        <f t="shared" si="77"/>
        <v>0</v>
      </c>
      <c r="O71" s="135">
        <f t="shared" si="62"/>
        <v>-5</v>
      </c>
      <c r="P71" s="9" t="str">
        <f t="shared" si="43"/>
        <v/>
      </c>
      <c r="Q71" s="18">
        <f t="shared" si="13"/>
        <v>-1.1581197738005675</v>
      </c>
      <c r="R71" s="102">
        <f t="shared" si="78"/>
        <v>-1.1028084835646064</v>
      </c>
      <c r="S71" s="18">
        <f t="shared" si="79"/>
        <v>-1.1073447020497025</v>
      </c>
      <c r="T71" s="136">
        <f t="shared" si="44"/>
        <v>-0.41126367481488102</v>
      </c>
      <c r="U71" s="6"/>
      <c r="V71" s="243">
        <f>IF(V70&gt;'goal seek'!$F$28,MAX($AC$7,V70*(1+X71)),MAX($AC$7,V70+W70))</f>
        <v>-4.3499999999999996</v>
      </c>
      <c r="W71" s="14">
        <f t="shared" si="80"/>
        <v>0</v>
      </c>
      <c r="X71" s="135">
        <f t="shared" si="63"/>
        <v>-0.37214828941105449</v>
      </c>
      <c r="Y71" s="9" t="str">
        <f t="shared" si="45"/>
        <v/>
      </c>
      <c r="Z71" s="18">
        <f t="shared" si="17"/>
        <v>-1.1581197738005675</v>
      </c>
      <c r="AA71" s="102">
        <f t="shared" si="81"/>
        <v>-1.1028084835646064</v>
      </c>
      <c r="AB71" s="18">
        <f t="shared" si="82"/>
        <v>-1.1073447020497025</v>
      </c>
      <c r="AC71" s="136">
        <f t="shared" si="46"/>
        <v>-0.41126367481488102</v>
      </c>
      <c r="AD71" s="6"/>
      <c r="AE71" s="243">
        <f>IF(AE70&gt;'goal seek'!$F$28,MAX($AL$7,AE70*(1+AG71)),MAX($AL$7,AE70+AF70))</f>
        <v>-4.3499999999999996</v>
      </c>
      <c r="AF71" s="14">
        <f t="shared" si="66"/>
        <v>0</v>
      </c>
      <c r="AG71" s="135">
        <f t="shared" si="83"/>
        <v>-1.623211632309699</v>
      </c>
      <c r="AH71" s="9" t="str">
        <f t="shared" si="47"/>
        <v/>
      </c>
      <c r="AI71" s="18">
        <f t="shared" si="22"/>
        <v>-1.1581197738005675</v>
      </c>
      <c r="AJ71" s="102">
        <f t="shared" si="67"/>
        <v>-1.1028084835646064</v>
      </c>
      <c r="AK71" s="18">
        <f t="shared" si="68"/>
        <v>-1.1073447020497025</v>
      </c>
      <c r="AL71" s="136">
        <f t="shared" si="48"/>
        <v>-0.41126367481488102</v>
      </c>
      <c r="AM71" s="6"/>
      <c r="AN71" s="243">
        <f>IF(AN70&gt;'goal seek'!$F$28,MAX($AL$7,AN70*(1+AP71)),MAX($AL$7,AN70+AO70))</f>
        <v>-4.3499999999999996</v>
      </c>
      <c r="AO71" s="14">
        <f t="shared" si="25"/>
        <v>0</v>
      </c>
      <c r="AP71" s="135">
        <f t="shared" si="49"/>
        <v>-0.18288706778768077</v>
      </c>
      <c r="AQ71" s="9" t="str">
        <f t="shared" si="50"/>
        <v/>
      </c>
      <c r="AR71" s="18">
        <f t="shared" si="26"/>
        <v>-1.1581197738005675</v>
      </c>
      <c r="AS71" s="102">
        <f t="shared" si="27"/>
        <v>-1.1028084835646064</v>
      </c>
      <c r="AT71" s="18">
        <f t="shared" si="28"/>
        <v>-1.1073447020497025</v>
      </c>
      <c r="AU71" s="136">
        <f t="shared" si="51"/>
        <v>-0.41126367481488102</v>
      </c>
      <c r="AV71" s="6"/>
      <c r="AW71" s="243">
        <f t="shared" si="52"/>
        <v>-4.3499999999999996</v>
      </c>
      <c r="AX71" s="730">
        <f t="shared" si="53"/>
        <v>0</v>
      </c>
      <c r="AY71" s="9">
        <f t="shared" si="54"/>
        <v>0</v>
      </c>
      <c r="AZ71" s="9">
        <f t="shared" si="55"/>
        <v>0</v>
      </c>
      <c r="BA71" s="18">
        <f t="shared" si="29"/>
        <v>-1.1581197738005675</v>
      </c>
      <c r="BB71" s="102">
        <f t="shared" si="30"/>
        <v>-1.1028084835646064</v>
      </c>
      <c r="BC71" s="18">
        <f t="shared" si="31"/>
        <v>-1.1073447020497025</v>
      </c>
      <c r="BD71" s="136">
        <f t="shared" si="56"/>
        <v>-0.41126367481488102</v>
      </c>
      <c r="BE71" s="6"/>
      <c r="BF71" s="243">
        <f t="shared" si="57"/>
        <v>6.0383578242502933E-4</v>
      </c>
      <c r="BG71" s="14">
        <f t="shared" si="32"/>
        <v>-1.5797890687712767E-4</v>
      </c>
      <c r="BH71" s="9"/>
      <c r="BI71" s="9">
        <f t="shared" si="58"/>
        <v>-0.2073718308343997</v>
      </c>
      <c r="BJ71" s="18">
        <f t="shared" si="33"/>
        <v>-0.99997805094774028</v>
      </c>
      <c r="BK71" s="102">
        <f t="shared" si="34"/>
        <v>-0.99998572886411186</v>
      </c>
      <c r="BL71" s="18">
        <f t="shared" si="35"/>
        <v>-0.99998509917881573</v>
      </c>
      <c r="BM71" s="136">
        <f t="shared" si="59"/>
        <v>5.7088671922950926E-5</v>
      </c>
      <c r="BP71" s="540">
        <f t="shared" si="84"/>
        <v>529.18101658868625</v>
      </c>
      <c r="BQ71" s="541">
        <f t="shared" si="85"/>
        <v>529.65216887574388</v>
      </c>
      <c r="BR71" s="541">
        <f t="shared" si="86"/>
        <v>528.99815702270837</v>
      </c>
      <c r="BS71" s="541">
        <f t="shared" si="87"/>
        <v>529.58960747884021</v>
      </c>
      <c r="BT71" s="541">
        <f t="shared" si="60"/>
        <v>529.47553407093403</v>
      </c>
      <c r="BU71" s="541">
        <f t="shared" si="61"/>
        <v>529.51474112288599</v>
      </c>
      <c r="BV71" s="540">
        <f t="shared" si="69"/>
        <v>109.18101658868625</v>
      </c>
      <c r="BW71" s="541">
        <f t="shared" si="70"/>
        <v>109.65216887574388</v>
      </c>
      <c r="BX71" s="541">
        <f t="shared" si="71"/>
        <v>108.99815702270837</v>
      </c>
      <c r="BY71" s="541">
        <f t="shared" si="72"/>
        <v>109.58960747884021</v>
      </c>
      <c r="BZ71" s="541">
        <f t="shared" si="73"/>
        <v>109.47553407093403</v>
      </c>
      <c r="CA71" s="542">
        <f t="shared" si="73"/>
        <v>109.51474112288599</v>
      </c>
    </row>
    <row r="72" spans="1:79" x14ac:dyDescent="0.2">
      <c r="A72" s="239">
        <f t="shared" si="40"/>
        <v>58</v>
      </c>
      <c r="B72" s="822">
        <v>10598131.958000001</v>
      </c>
      <c r="C72" s="239">
        <f t="shared" si="41"/>
        <v>2076</v>
      </c>
      <c r="E72" s="254">
        <f>IF(E71&gt;$K$10,MAX($K$7,E71*(1+$K$9)),MAX($K$7,scenarios!E71+scenarios!F71))</f>
        <v>-4.3499999999999996</v>
      </c>
      <c r="F72" s="14">
        <f t="shared" si="74"/>
        <v>0</v>
      </c>
      <c r="G72" s="9" t="str">
        <f t="shared" si="42"/>
        <v/>
      </c>
      <c r="H72" s="18">
        <f t="shared" si="64"/>
        <v>-1.1581197738005675</v>
      </c>
      <c r="I72" s="102">
        <f t="shared" si="75"/>
        <v>-1.1028084835646064</v>
      </c>
      <c r="J72" s="18">
        <f t="shared" si="76"/>
        <v>-1.1073447020497025</v>
      </c>
      <c r="K72" s="136">
        <f t="shared" si="65"/>
        <v>-0.41044969219470817</v>
      </c>
      <c r="L72" s="263"/>
      <c r="M72" s="243">
        <f>IF(M71&gt;'goal seek'!$F$28,MAX($T$7,M71*(1+O72)),MAX($T$7,M71+N71))</f>
        <v>-4.3499999999999996</v>
      </c>
      <c r="N72" s="14">
        <f t="shared" si="77"/>
        <v>0</v>
      </c>
      <c r="O72" s="135">
        <f t="shared" si="62"/>
        <v>-5</v>
      </c>
      <c r="P72" s="9" t="str">
        <f t="shared" si="43"/>
        <v/>
      </c>
      <c r="Q72" s="18">
        <f t="shared" si="13"/>
        <v>-1.1581197738005675</v>
      </c>
      <c r="R72" s="102">
        <f t="shared" si="78"/>
        <v>-1.1028084835646064</v>
      </c>
      <c r="S72" s="18">
        <f t="shared" si="79"/>
        <v>-1.1073447020497025</v>
      </c>
      <c r="T72" s="136">
        <f t="shared" si="44"/>
        <v>-0.41044969219470817</v>
      </c>
      <c r="U72" s="6"/>
      <c r="V72" s="243">
        <f>IF(V71&gt;'goal seek'!$F$28,MAX($AC$7,V71*(1+X72)),MAX($AC$7,V71+W71))</f>
        <v>-4.3499999999999996</v>
      </c>
      <c r="W72" s="14">
        <f t="shared" si="80"/>
        <v>0</v>
      </c>
      <c r="X72" s="135">
        <f t="shared" si="63"/>
        <v>-0.37862371285489183</v>
      </c>
      <c r="Y72" s="9" t="str">
        <f t="shared" si="45"/>
        <v/>
      </c>
      <c r="Z72" s="18">
        <f t="shared" si="17"/>
        <v>-1.1581197738005675</v>
      </c>
      <c r="AA72" s="102">
        <f t="shared" si="81"/>
        <v>-1.1028084835646064</v>
      </c>
      <c r="AB72" s="18">
        <f t="shared" si="82"/>
        <v>-1.1073447020497025</v>
      </c>
      <c r="AC72" s="136">
        <f t="shared" si="46"/>
        <v>-0.41044969219470817</v>
      </c>
      <c r="AD72" s="6"/>
      <c r="AE72" s="243">
        <f>IF(AE71&gt;'goal seek'!$F$28,MAX($AL$7,AE71*(1+AG72)),MAX($AL$7,AE71+AF71))</f>
        <v>-4.3499999999999996</v>
      </c>
      <c r="AF72" s="14">
        <f t="shared" si="66"/>
        <v>0</v>
      </c>
      <c r="AG72" s="135">
        <f t="shared" si="83"/>
        <v>-1.6821870012969309</v>
      </c>
      <c r="AH72" s="9" t="str">
        <f t="shared" si="47"/>
        <v/>
      </c>
      <c r="AI72" s="18">
        <f t="shared" si="22"/>
        <v>-1.1581197738005675</v>
      </c>
      <c r="AJ72" s="102">
        <f t="shared" si="67"/>
        <v>-1.1028084835646064</v>
      </c>
      <c r="AK72" s="18">
        <f t="shared" si="68"/>
        <v>-1.1073447020497025</v>
      </c>
      <c r="AL72" s="136">
        <f t="shared" si="48"/>
        <v>-0.41044969219470817</v>
      </c>
      <c r="AM72" s="6"/>
      <c r="AN72" s="243">
        <f>IF(AN71&gt;'goal seek'!$F$28,MAX($AL$7,AN71*(1+AP72)),MAX($AL$7,AN71+AO71))</f>
        <v>-4.3499999999999996</v>
      </c>
      <c r="AO72" s="14">
        <f t="shared" si="25"/>
        <v>0</v>
      </c>
      <c r="AP72" s="135">
        <f t="shared" si="49"/>
        <v>-0.18441118223293851</v>
      </c>
      <c r="AQ72" s="9" t="str">
        <f t="shared" si="50"/>
        <v/>
      </c>
      <c r="AR72" s="18">
        <f t="shared" si="26"/>
        <v>-1.1581197738005675</v>
      </c>
      <c r="AS72" s="102">
        <f t="shared" si="27"/>
        <v>-1.1028084835646064</v>
      </c>
      <c r="AT72" s="18">
        <f t="shared" si="28"/>
        <v>-1.1073447020497025</v>
      </c>
      <c r="AU72" s="136">
        <f t="shared" si="51"/>
        <v>-0.41044969219470817</v>
      </c>
      <c r="AV72" s="6"/>
      <c r="AW72" s="243">
        <f t="shared" si="52"/>
        <v>-4.3499999999999996</v>
      </c>
      <c r="AX72" s="730">
        <f t="shared" si="53"/>
        <v>0</v>
      </c>
      <c r="AY72" s="9">
        <f t="shared" si="54"/>
        <v>0</v>
      </c>
      <c r="AZ72" s="9">
        <f t="shared" si="55"/>
        <v>0</v>
      </c>
      <c r="BA72" s="18">
        <f t="shared" si="29"/>
        <v>-1.1581197738005675</v>
      </c>
      <c r="BB72" s="102">
        <f t="shared" si="30"/>
        <v>-1.1028084835646064</v>
      </c>
      <c r="BC72" s="18">
        <f t="shared" si="31"/>
        <v>-1.1073447020497025</v>
      </c>
      <c r="BD72" s="136">
        <f t="shared" si="56"/>
        <v>-0.41044969219470817</v>
      </c>
      <c r="BE72" s="6"/>
      <c r="BF72" s="243">
        <f t="shared" si="57"/>
        <v>4.784823845500471E-4</v>
      </c>
      <c r="BG72" s="14">
        <f t="shared" si="32"/>
        <v>-1.2535339787498223E-4</v>
      </c>
      <c r="BH72" s="9"/>
      <c r="BI72" s="9">
        <f t="shared" si="58"/>
        <v>-0.20759517988741549</v>
      </c>
      <c r="BJ72" s="18">
        <f t="shared" si="33"/>
        <v>-0.99998260746519241</v>
      </c>
      <c r="BK72" s="102">
        <f t="shared" si="34"/>
        <v>-0.99998869148313374</v>
      </c>
      <c r="BL72" s="18">
        <f t="shared" si="35"/>
        <v>-0.99998819251746995</v>
      </c>
      <c r="BM72" s="136">
        <f t="shared" si="59"/>
        <v>4.5147804013599269E-5</v>
      </c>
      <c r="BP72" s="540">
        <f t="shared" si="84"/>
        <v>524.83101658868623</v>
      </c>
      <c r="BQ72" s="541">
        <f t="shared" si="85"/>
        <v>525.30216887574386</v>
      </c>
      <c r="BR72" s="541">
        <f t="shared" si="86"/>
        <v>524.64815702270835</v>
      </c>
      <c r="BS72" s="541">
        <f t="shared" si="87"/>
        <v>525.23960747884018</v>
      </c>
      <c r="BT72" s="541">
        <f t="shared" si="60"/>
        <v>525.12553407093401</v>
      </c>
      <c r="BU72" s="541">
        <f t="shared" si="61"/>
        <v>525.16474112288597</v>
      </c>
      <c r="BV72" s="540">
        <f t="shared" si="69"/>
        <v>104.83101658868623</v>
      </c>
      <c r="BW72" s="541">
        <f t="shared" si="70"/>
        <v>105.30216887574386</v>
      </c>
      <c r="BX72" s="541">
        <f t="shared" si="71"/>
        <v>104.64815702270835</v>
      </c>
      <c r="BY72" s="541">
        <f t="shared" si="72"/>
        <v>105.23960747884018</v>
      </c>
      <c r="BZ72" s="541">
        <f t="shared" si="73"/>
        <v>105.12553407093401</v>
      </c>
      <c r="CA72" s="542">
        <f t="shared" si="73"/>
        <v>105.16474112288597</v>
      </c>
    </row>
    <row r="73" spans="1:79" x14ac:dyDescent="0.2">
      <c r="A73" s="239">
        <f t="shared" si="40"/>
        <v>59</v>
      </c>
      <c r="B73" s="822">
        <v>10618268.333000001</v>
      </c>
      <c r="C73" s="239">
        <f t="shared" si="41"/>
        <v>2077</v>
      </c>
      <c r="E73" s="254">
        <f>IF(E72&gt;$K$10,MAX($K$7,E72*(1+$K$9)),MAX($K$7,scenarios!E72+scenarios!F72))</f>
        <v>-4.3499999999999996</v>
      </c>
      <c r="F73" s="14">
        <f t="shared" si="74"/>
        <v>0</v>
      </c>
      <c r="G73" s="9" t="str">
        <f t="shared" si="42"/>
        <v/>
      </c>
      <c r="H73" s="18">
        <f t="shared" si="64"/>
        <v>-1.1581197738005675</v>
      </c>
      <c r="I73" s="102">
        <f t="shared" si="75"/>
        <v>-1.1028084835646064</v>
      </c>
      <c r="J73" s="18">
        <f t="shared" si="76"/>
        <v>-1.1073447020497025</v>
      </c>
      <c r="K73" s="136">
        <f t="shared" si="65"/>
        <v>-0.40967131961440889</v>
      </c>
      <c r="L73" s="263"/>
      <c r="M73" s="243">
        <f>IF(M72&gt;'goal seek'!$F$28,MAX($T$7,M72*(1+O73)),MAX($T$7,M72+N72))</f>
        <v>-4.3499999999999996</v>
      </c>
      <c r="N73" s="14">
        <f t="shared" si="77"/>
        <v>0</v>
      </c>
      <c r="O73" s="135">
        <f t="shared" si="62"/>
        <v>-5</v>
      </c>
      <c r="P73" s="9" t="str">
        <f t="shared" si="43"/>
        <v/>
      </c>
      <c r="Q73" s="18">
        <f t="shared" si="13"/>
        <v>-1.1581197738005675</v>
      </c>
      <c r="R73" s="102">
        <f t="shared" si="78"/>
        <v>-1.1028084835646064</v>
      </c>
      <c r="S73" s="18">
        <f t="shared" si="79"/>
        <v>-1.1073447020497025</v>
      </c>
      <c r="T73" s="136">
        <f t="shared" si="44"/>
        <v>-0.40967131961440889</v>
      </c>
      <c r="U73" s="6"/>
      <c r="V73" s="243">
        <f>IF(V72&gt;'goal seek'!$F$28,MAX($AC$7,V72*(1+X73)),MAX($AC$7,V72+W72))</f>
        <v>-4.3499999999999996</v>
      </c>
      <c r="W73" s="14">
        <f t="shared" si="80"/>
        <v>0</v>
      </c>
      <c r="X73" s="135">
        <f t="shared" si="63"/>
        <v>-0.38509913629872916</v>
      </c>
      <c r="Y73" s="9" t="str">
        <f t="shared" si="45"/>
        <v/>
      </c>
      <c r="Z73" s="18">
        <f t="shared" si="17"/>
        <v>-1.1581197738005675</v>
      </c>
      <c r="AA73" s="102">
        <f t="shared" si="81"/>
        <v>-1.1028084835646064</v>
      </c>
      <c r="AB73" s="18">
        <f t="shared" si="82"/>
        <v>-1.1073447020497025</v>
      </c>
      <c r="AC73" s="136">
        <f t="shared" si="46"/>
        <v>-0.40967131961440889</v>
      </c>
      <c r="AD73" s="6"/>
      <c r="AE73" s="243">
        <f>IF(AE72&gt;'goal seek'!$F$28,MAX($AL$7,AE72*(1+AG73)),MAX($AL$7,AE72+AF72))</f>
        <v>-4.3499999999999996</v>
      </c>
      <c r="AF73" s="14">
        <f t="shared" si="66"/>
        <v>0</v>
      </c>
      <c r="AG73" s="135">
        <f t="shared" si="83"/>
        <v>-1.742224989545194</v>
      </c>
      <c r="AH73" s="9" t="str">
        <f t="shared" si="47"/>
        <v/>
      </c>
      <c r="AI73" s="18">
        <f t="shared" si="22"/>
        <v>-1.1581197738005675</v>
      </c>
      <c r="AJ73" s="102">
        <f t="shared" si="67"/>
        <v>-1.1028084835646064</v>
      </c>
      <c r="AK73" s="18">
        <f t="shared" si="68"/>
        <v>-1.1073447020497025</v>
      </c>
      <c r="AL73" s="136">
        <f t="shared" si="48"/>
        <v>-0.40967131961440889</v>
      </c>
      <c r="AM73" s="6"/>
      <c r="AN73" s="243">
        <f>IF(AN72&gt;'goal seek'!$F$28,MAX($AL$7,AN72*(1+AP73)),MAX($AL$7,AN72+AO72))</f>
        <v>-4.3499999999999996</v>
      </c>
      <c r="AO73" s="14">
        <f t="shared" si="25"/>
        <v>0</v>
      </c>
      <c r="AP73" s="135">
        <f t="shared" si="49"/>
        <v>-0.18592162666188805</v>
      </c>
      <c r="AQ73" s="9" t="str">
        <f t="shared" si="50"/>
        <v/>
      </c>
      <c r="AR73" s="18">
        <f t="shared" si="26"/>
        <v>-1.1581197738005675</v>
      </c>
      <c r="AS73" s="102">
        <f t="shared" si="27"/>
        <v>-1.1028084835646064</v>
      </c>
      <c r="AT73" s="18">
        <f t="shared" si="28"/>
        <v>-1.1073447020497025</v>
      </c>
      <c r="AU73" s="136">
        <f t="shared" si="51"/>
        <v>-0.40967131961440889</v>
      </c>
      <c r="AV73" s="6"/>
      <c r="AW73" s="243">
        <f t="shared" si="52"/>
        <v>-4.3499999999999996</v>
      </c>
      <c r="AX73" s="730">
        <f t="shared" si="53"/>
        <v>0</v>
      </c>
      <c r="AY73" s="9">
        <f t="shared" si="54"/>
        <v>0</v>
      </c>
      <c r="AZ73" s="9">
        <f t="shared" si="55"/>
        <v>0</v>
      </c>
      <c r="BA73" s="18">
        <f t="shared" si="29"/>
        <v>-1.1581197738005675</v>
      </c>
      <c r="BB73" s="102">
        <f t="shared" si="30"/>
        <v>-1.1028084835646064</v>
      </c>
      <c r="BC73" s="18">
        <f t="shared" si="31"/>
        <v>-1.1073447020497025</v>
      </c>
      <c r="BD73" s="136">
        <f t="shared" si="56"/>
        <v>-0.40967131961440889</v>
      </c>
      <c r="BE73" s="6"/>
      <c r="BF73" s="243">
        <f t="shared" si="57"/>
        <v>3.7904840791133545E-4</v>
      </c>
      <c r="BG73" s="14">
        <f t="shared" si="32"/>
        <v>-9.9433976638711643E-5</v>
      </c>
      <c r="BH73" s="9"/>
      <c r="BI73" s="9">
        <f t="shared" si="58"/>
        <v>-0.20781115428568364</v>
      </c>
      <c r="BJ73" s="18">
        <f t="shared" si="33"/>
        <v>-0.99998622182792685</v>
      </c>
      <c r="BK73" s="102">
        <f t="shared" si="34"/>
        <v>-0.99999104151907692</v>
      </c>
      <c r="BL73" s="18">
        <f t="shared" si="35"/>
        <v>-0.99999064624404366</v>
      </c>
      <c r="BM73" s="136">
        <f t="shared" si="59"/>
        <v>3.5697761256730471E-5</v>
      </c>
      <c r="BP73" s="540">
        <f t="shared" si="84"/>
        <v>520.4810165886862</v>
      </c>
      <c r="BQ73" s="541">
        <f t="shared" si="85"/>
        <v>520.95216887574384</v>
      </c>
      <c r="BR73" s="541">
        <f t="shared" si="86"/>
        <v>520.29815702270832</v>
      </c>
      <c r="BS73" s="541">
        <f t="shared" si="87"/>
        <v>520.88960747884016</v>
      </c>
      <c r="BT73" s="541">
        <f t="shared" si="60"/>
        <v>520.77553407093399</v>
      </c>
      <c r="BU73" s="541">
        <f t="shared" si="61"/>
        <v>520.81474112288595</v>
      </c>
      <c r="BV73" s="540">
        <f t="shared" si="69"/>
        <v>100.4810165886862</v>
      </c>
      <c r="BW73" s="541">
        <f t="shared" si="70"/>
        <v>100.95216887574384</v>
      </c>
      <c r="BX73" s="541">
        <f t="shared" si="71"/>
        <v>100.29815702270832</v>
      </c>
      <c r="BY73" s="541">
        <f t="shared" si="72"/>
        <v>100.88960747884016</v>
      </c>
      <c r="BZ73" s="541">
        <f t="shared" si="73"/>
        <v>100.77553407093399</v>
      </c>
      <c r="CA73" s="542">
        <f t="shared" si="73"/>
        <v>100.81474112288595</v>
      </c>
    </row>
    <row r="74" spans="1:79" x14ac:dyDescent="0.2">
      <c r="A74" s="239">
        <f t="shared" si="40"/>
        <v>60</v>
      </c>
      <c r="B74" s="822">
        <v>10637573.903000001</v>
      </c>
      <c r="C74" s="239">
        <f t="shared" si="41"/>
        <v>2078</v>
      </c>
      <c r="E74" s="254">
        <f>IF(E73&gt;$K$10,MAX($K$7,E73*(1+$K$9)),MAX($K$7,scenarios!E73+scenarios!F73))</f>
        <v>-4.3499999999999996</v>
      </c>
      <c r="F74" s="14">
        <f t="shared" si="74"/>
        <v>0</v>
      </c>
      <c r="G74" s="9" t="str">
        <f t="shared" si="42"/>
        <v/>
      </c>
      <c r="H74" s="18">
        <f t="shared" si="64"/>
        <v>-1.1581197738005675</v>
      </c>
      <c r="I74" s="102">
        <f t="shared" si="75"/>
        <v>-1.1028084835646064</v>
      </c>
      <c r="J74" s="18">
        <f t="shared" si="76"/>
        <v>-1.1073447020497025</v>
      </c>
      <c r="K74" s="136">
        <f t="shared" si="65"/>
        <v>-0.4089278288137877</v>
      </c>
      <c r="L74" s="263"/>
      <c r="M74" s="243">
        <f>IF(M73&gt;'goal seek'!$F$28,MAX($T$7,M73*(1+O74)),MAX($T$7,M73+N73))</f>
        <v>-4.3499999999999996</v>
      </c>
      <c r="N74" s="14">
        <f t="shared" si="77"/>
        <v>0</v>
      </c>
      <c r="O74" s="135">
        <f t="shared" si="62"/>
        <v>-5</v>
      </c>
      <c r="P74" s="9" t="str">
        <f t="shared" si="43"/>
        <v/>
      </c>
      <c r="Q74" s="18">
        <f t="shared" si="13"/>
        <v>-1.1581197738005675</v>
      </c>
      <c r="R74" s="102">
        <f t="shared" si="78"/>
        <v>-1.1028084835646064</v>
      </c>
      <c r="S74" s="18">
        <f t="shared" si="79"/>
        <v>-1.1073447020497025</v>
      </c>
      <c r="T74" s="136">
        <f t="shared" si="44"/>
        <v>-0.4089278288137877</v>
      </c>
      <c r="U74" s="6"/>
      <c r="V74" s="243">
        <f>IF(V73&gt;'goal seek'!$F$28,MAX($AC$7,V73*(1+X74)),MAX($AC$7,V73+W73))</f>
        <v>-4.3499999999999996</v>
      </c>
      <c r="W74" s="14">
        <f t="shared" si="80"/>
        <v>0</v>
      </c>
      <c r="X74" s="135">
        <f t="shared" si="63"/>
        <v>-0.3915745597425665</v>
      </c>
      <c r="Y74" s="9" t="str">
        <f t="shared" si="45"/>
        <v/>
      </c>
      <c r="Z74" s="18">
        <f t="shared" si="17"/>
        <v>-1.1581197738005675</v>
      </c>
      <c r="AA74" s="102">
        <f t="shared" si="81"/>
        <v>-1.1028084835646064</v>
      </c>
      <c r="AB74" s="18">
        <f t="shared" si="82"/>
        <v>-1.1073447020497025</v>
      </c>
      <c r="AC74" s="136">
        <f t="shared" si="46"/>
        <v>-0.4089278288137877</v>
      </c>
      <c r="AD74" s="6"/>
      <c r="AE74" s="243">
        <f>IF(AE73&gt;'goal seek'!$F$28,MAX($AL$7,AE73*(1+AG74)),MAX($AL$7,AE73+AF73))</f>
        <v>-4.3499999999999996</v>
      </c>
      <c r="AF74" s="14">
        <f t="shared" si="66"/>
        <v>0</v>
      </c>
      <c r="AG74" s="135">
        <f t="shared" si="83"/>
        <v>-1.8033255970544884</v>
      </c>
      <c r="AH74" s="9" t="str">
        <f t="shared" si="47"/>
        <v/>
      </c>
      <c r="AI74" s="18">
        <f t="shared" si="22"/>
        <v>-1.1581197738005675</v>
      </c>
      <c r="AJ74" s="102">
        <f t="shared" si="67"/>
        <v>-1.1028084835646064</v>
      </c>
      <c r="AK74" s="18">
        <f t="shared" si="68"/>
        <v>-1.1073447020497025</v>
      </c>
      <c r="AL74" s="136">
        <f t="shared" si="48"/>
        <v>-0.4089278288137877</v>
      </c>
      <c r="AM74" s="6"/>
      <c r="AN74" s="243">
        <f>IF(AN73&gt;'goal seek'!$F$28,MAX($AL$7,AN73*(1+AP74)),MAX($AL$7,AN73+AO73))</f>
        <v>-4.3499999999999996</v>
      </c>
      <c r="AO74" s="14">
        <f t="shared" si="25"/>
        <v>0</v>
      </c>
      <c r="AP74" s="135">
        <f t="shared" si="49"/>
        <v>-0.18741876243208655</v>
      </c>
      <c r="AQ74" s="9" t="str">
        <f t="shared" si="50"/>
        <v/>
      </c>
      <c r="AR74" s="18">
        <f t="shared" si="26"/>
        <v>-1.1581197738005675</v>
      </c>
      <c r="AS74" s="102">
        <f t="shared" si="27"/>
        <v>-1.1028084835646064</v>
      </c>
      <c r="AT74" s="18">
        <f t="shared" si="28"/>
        <v>-1.1073447020497025</v>
      </c>
      <c r="AU74" s="136">
        <f t="shared" si="51"/>
        <v>-0.4089278288137877</v>
      </c>
      <c r="AV74" s="6"/>
      <c r="AW74" s="243">
        <f t="shared" si="52"/>
        <v>-4.3499999999999996</v>
      </c>
      <c r="AX74" s="730">
        <f t="shared" si="53"/>
        <v>0</v>
      </c>
      <c r="AY74" s="9">
        <f t="shared" si="54"/>
        <v>0</v>
      </c>
      <c r="AZ74" s="9">
        <f t="shared" si="55"/>
        <v>0</v>
      </c>
      <c r="BA74" s="18">
        <f t="shared" si="29"/>
        <v>-1.1581197738005675</v>
      </c>
      <c r="BB74" s="102">
        <f t="shared" si="30"/>
        <v>-1.1028084835646064</v>
      </c>
      <c r="BC74" s="18">
        <f t="shared" si="31"/>
        <v>-1.1073447020497025</v>
      </c>
      <c r="BD74" s="136">
        <f t="shared" si="56"/>
        <v>-0.4089278288137877</v>
      </c>
      <c r="BE74" s="6"/>
      <c r="BF74" s="243">
        <f t="shared" si="57"/>
        <v>3.0019871513347349E-4</v>
      </c>
      <c r="BG74" s="14">
        <f t="shared" si="32"/>
        <v>-7.8849692777861963E-5</v>
      </c>
      <c r="BH74" s="9"/>
      <c r="BI74" s="9">
        <f t="shared" si="58"/>
        <v>-0.20802011334738535</v>
      </c>
      <c r="BJ74" s="18">
        <f t="shared" si="33"/>
        <v>-0.9999890879648432</v>
      </c>
      <c r="BK74" s="102">
        <f t="shared" si="34"/>
        <v>-0.99999290506329408</v>
      </c>
      <c r="BL74" s="18">
        <f t="shared" si="35"/>
        <v>-0.99999259201341806</v>
      </c>
      <c r="BM74" s="136">
        <f t="shared" si="59"/>
        <v>2.8220599722349443E-5</v>
      </c>
      <c r="BP74" s="540">
        <f t="shared" si="84"/>
        <v>516.13101658868618</v>
      </c>
      <c r="BQ74" s="541">
        <f t="shared" si="85"/>
        <v>516.60216887574381</v>
      </c>
      <c r="BR74" s="541">
        <f t="shared" si="86"/>
        <v>515.9481570227083</v>
      </c>
      <c r="BS74" s="541">
        <f t="shared" si="87"/>
        <v>516.53960747884014</v>
      </c>
      <c r="BT74" s="541">
        <f t="shared" si="60"/>
        <v>516.42553407093396</v>
      </c>
      <c r="BU74" s="541">
        <f t="shared" si="61"/>
        <v>516.46474112288593</v>
      </c>
      <c r="BV74" s="540">
        <f t="shared" si="69"/>
        <v>96.13101658868618</v>
      </c>
      <c r="BW74" s="541">
        <f t="shared" si="70"/>
        <v>96.602168875743814</v>
      </c>
      <c r="BX74" s="541">
        <f t="shared" si="71"/>
        <v>95.948157022708301</v>
      </c>
      <c r="BY74" s="541">
        <f t="shared" si="72"/>
        <v>96.539607478840139</v>
      </c>
      <c r="BZ74" s="541">
        <f t="shared" si="73"/>
        <v>96.425534070933963</v>
      </c>
      <c r="CA74" s="542">
        <f t="shared" si="73"/>
        <v>96.464741122885926</v>
      </c>
    </row>
    <row r="75" spans="1:79" x14ac:dyDescent="0.2">
      <c r="A75" s="239">
        <f t="shared" si="40"/>
        <v>61</v>
      </c>
      <c r="B75" s="822">
        <v>10656054.443</v>
      </c>
      <c r="C75" s="239">
        <f t="shared" si="41"/>
        <v>2079</v>
      </c>
      <c r="E75" s="254">
        <f>IF(E74&gt;$K$10,MAX($K$7,E74*(1+$K$9)),MAX($K$7,scenarios!E74+scenarios!F74))</f>
        <v>-4.3499999999999996</v>
      </c>
      <c r="F75" s="14">
        <f t="shared" si="74"/>
        <v>0</v>
      </c>
      <c r="G75" s="9" t="str">
        <f t="shared" si="42"/>
        <v/>
      </c>
      <c r="H75" s="18">
        <f t="shared" si="64"/>
        <v>-1.1581197738005675</v>
      </c>
      <c r="I75" s="102">
        <f t="shared" si="75"/>
        <v>-1.1028084835646064</v>
      </c>
      <c r="J75" s="18">
        <f t="shared" si="76"/>
        <v>-1.1073447020497025</v>
      </c>
      <c r="K75" s="136">
        <f t="shared" si="65"/>
        <v>-0.40821863507440415</v>
      </c>
      <c r="L75" s="263"/>
      <c r="M75" s="243">
        <f>IF(M74&gt;'goal seek'!$F$28,MAX($T$7,M74*(1+O75)),MAX($T$7,M74+N74))</f>
        <v>-4.3499999999999996</v>
      </c>
      <c r="N75" s="14">
        <f t="shared" si="77"/>
        <v>0</v>
      </c>
      <c r="O75" s="135">
        <f t="shared" si="62"/>
        <v>-5</v>
      </c>
      <c r="P75" s="9" t="str">
        <f t="shared" si="43"/>
        <v/>
      </c>
      <c r="Q75" s="18">
        <f t="shared" si="13"/>
        <v>-1.1581197738005675</v>
      </c>
      <c r="R75" s="102">
        <f t="shared" si="78"/>
        <v>-1.1028084835646064</v>
      </c>
      <c r="S75" s="18">
        <f t="shared" si="79"/>
        <v>-1.1073447020497025</v>
      </c>
      <c r="T75" s="136">
        <f t="shared" si="44"/>
        <v>-0.40821863507440415</v>
      </c>
      <c r="U75" s="6"/>
      <c r="V75" s="243">
        <f>IF(V74&gt;'goal seek'!$F$28,MAX($AC$7,V74*(1+X75)),MAX($AC$7,V74+W74))</f>
        <v>-4.3499999999999996</v>
      </c>
      <c r="W75" s="14">
        <f t="shared" si="80"/>
        <v>0</v>
      </c>
      <c r="X75" s="135">
        <f t="shared" si="63"/>
        <v>-0.39804998318640383</v>
      </c>
      <c r="Y75" s="9" t="str">
        <f t="shared" si="45"/>
        <v/>
      </c>
      <c r="Z75" s="18">
        <f t="shared" si="17"/>
        <v>-1.1581197738005675</v>
      </c>
      <c r="AA75" s="102">
        <f t="shared" si="81"/>
        <v>-1.1028084835646064</v>
      </c>
      <c r="AB75" s="18">
        <f t="shared" si="82"/>
        <v>-1.1073447020497025</v>
      </c>
      <c r="AC75" s="136">
        <f t="shared" si="46"/>
        <v>-0.40821863507440415</v>
      </c>
      <c r="AD75" s="6"/>
      <c r="AE75" s="243">
        <f>IF(AE74&gt;'goal seek'!$F$28,MAX($AL$7,AE74*(1+AG75)),MAX($AL$7,AE74+AF74))</f>
        <v>-4.3499999999999996</v>
      </c>
      <c r="AF75" s="14">
        <f t="shared" si="66"/>
        <v>0</v>
      </c>
      <c r="AG75" s="135">
        <f t="shared" si="83"/>
        <v>-1.8654888238248137</v>
      </c>
      <c r="AH75" s="9" t="str">
        <f t="shared" si="47"/>
        <v/>
      </c>
      <c r="AI75" s="18">
        <f t="shared" si="22"/>
        <v>-1.1581197738005675</v>
      </c>
      <c r="AJ75" s="102">
        <f t="shared" si="67"/>
        <v>-1.1028084835646064</v>
      </c>
      <c r="AK75" s="18">
        <f t="shared" si="68"/>
        <v>-1.1073447020497025</v>
      </c>
      <c r="AL75" s="136">
        <f t="shared" si="48"/>
        <v>-0.40821863507440415</v>
      </c>
      <c r="AM75" s="6"/>
      <c r="AN75" s="243">
        <f>IF(AN74&gt;'goal seek'!$F$28,MAX($AL$7,AN74*(1+AP75)),MAX($AL$7,AN74+AO74))</f>
        <v>-4.3499999999999996</v>
      </c>
      <c r="AO75" s="14">
        <f t="shared" si="25"/>
        <v>0</v>
      </c>
      <c r="AP75" s="135">
        <f t="shared" si="49"/>
        <v>-0.18890293525580815</v>
      </c>
      <c r="AQ75" s="9" t="str">
        <f t="shared" si="50"/>
        <v/>
      </c>
      <c r="AR75" s="18">
        <f t="shared" si="26"/>
        <v>-1.1581197738005675</v>
      </c>
      <c r="AS75" s="102">
        <f t="shared" si="27"/>
        <v>-1.1028084835646064</v>
      </c>
      <c r="AT75" s="18">
        <f t="shared" si="28"/>
        <v>-1.1073447020497025</v>
      </c>
      <c r="AU75" s="136">
        <f t="shared" si="51"/>
        <v>-0.40821863507440415</v>
      </c>
      <c r="AV75" s="6"/>
      <c r="AW75" s="243">
        <f t="shared" si="52"/>
        <v>-4.3499999999999996</v>
      </c>
      <c r="AX75" s="730">
        <f t="shared" si="53"/>
        <v>0</v>
      </c>
      <c r="AY75" s="9">
        <f t="shared" si="54"/>
        <v>0</v>
      </c>
      <c r="AZ75" s="9">
        <f t="shared" si="55"/>
        <v>0</v>
      </c>
      <c r="BA75" s="18">
        <f t="shared" si="29"/>
        <v>-1.1581197738005675</v>
      </c>
      <c r="BB75" s="102">
        <f t="shared" si="30"/>
        <v>-1.1028084835646064</v>
      </c>
      <c r="BC75" s="18">
        <f t="shared" si="31"/>
        <v>-1.1073447020497025</v>
      </c>
      <c r="BD75" s="136">
        <f t="shared" si="56"/>
        <v>-0.40821863507440415</v>
      </c>
      <c r="BE75" s="6"/>
      <c r="BF75" s="243">
        <f t="shared" si="57"/>
        <v>2.3769062016652581E-4</v>
      </c>
      <c r="BG75" s="14">
        <f t="shared" si="32"/>
        <v>-6.2508094966947682E-5</v>
      </c>
      <c r="BH75" s="9"/>
      <c r="BI75" s="9">
        <f t="shared" si="58"/>
        <v>-0.20822239342082294</v>
      </c>
      <c r="BJ75" s="18">
        <f t="shared" si="33"/>
        <v>-0.99999136009492062</v>
      </c>
      <c r="BK75" s="102">
        <f t="shared" si="34"/>
        <v>-0.99999438238799609</v>
      </c>
      <c r="BL75" s="18">
        <f t="shared" si="35"/>
        <v>-0.9999941345221145</v>
      </c>
      <c r="BM75" s="136">
        <f t="shared" si="59"/>
        <v>2.2305687479165014E-5</v>
      </c>
      <c r="BP75" s="540">
        <f t="shared" si="84"/>
        <v>511.78101658868616</v>
      </c>
      <c r="BQ75" s="541">
        <f t="shared" si="85"/>
        <v>512.25216887574379</v>
      </c>
      <c r="BR75" s="541">
        <f t="shared" si="86"/>
        <v>511.59815702270828</v>
      </c>
      <c r="BS75" s="541">
        <f t="shared" si="87"/>
        <v>512.18960747884012</v>
      </c>
      <c r="BT75" s="541">
        <f t="shared" si="60"/>
        <v>512.07553407093394</v>
      </c>
      <c r="BU75" s="541">
        <f t="shared" si="61"/>
        <v>512.1147411228859</v>
      </c>
      <c r="BV75" s="540">
        <f t="shared" si="69"/>
        <v>91.781016588686157</v>
      </c>
      <c r="BW75" s="541">
        <f t="shared" si="70"/>
        <v>92.252168875743791</v>
      </c>
      <c r="BX75" s="541">
        <f t="shared" si="71"/>
        <v>91.598157022708278</v>
      </c>
      <c r="BY75" s="541">
        <f t="shared" si="72"/>
        <v>92.189607478840117</v>
      </c>
      <c r="BZ75" s="541">
        <f t="shared" si="73"/>
        <v>92.075534070933941</v>
      </c>
      <c r="CA75" s="542">
        <f t="shared" si="73"/>
        <v>92.114741122885903</v>
      </c>
    </row>
    <row r="76" spans="1:79" x14ac:dyDescent="0.2">
      <c r="A76" s="239">
        <f t="shared" si="40"/>
        <v>62</v>
      </c>
      <c r="B76" s="822">
        <v>10673719.473999999</v>
      </c>
      <c r="C76" s="239">
        <f t="shared" si="41"/>
        <v>2080</v>
      </c>
      <c r="E76" s="254">
        <f>IF(E75&gt;$K$10,MAX($K$7,E75*(1+$K$9)),MAX($K$7,scenarios!E75+scenarios!F75))</f>
        <v>-4.3499999999999996</v>
      </c>
      <c r="F76" s="14">
        <f t="shared" si="74"/>
        <v>0</v>
      </c>
      <c r="G76" s="9" t="str">
        <f t="shared" si="42"/>
        <v/>
      </c>
      <c r="H76" s="18">
        <f t="shared" si="64"/>
        <v>-1.1581197738005675</v>
      </c>
      <c r="I76" s="102">
        <f t="shared" si="75"/>
        <v>-1.1028084835646064</v>
      </c>
      <c r="J76" s="18">
        <f t="shared" si="76"/>
        <v>-1.1073447020497025</v>
      </c>
      <c r="K76" s="136">
        <f t="shared" si="65"/>
        <v>-0.40754303226687932</v>
      </c>
      <c r="L76" s="263"/>
      <c r="M76" s="243">
        <f>IF(M75&gt;'goal seek'!$F$28,MAX($T$7,M75*(1+O76)),MAX($T$7,M75+N75))</f>
        <v>-4.3499999999999996</v>
      </c>
      <c r="N76" s="14">
        <f t="shared" si="77"/>
        <v>0</v>
      </c>
      <c r="O76" s="135">
        <f t="shared" si="62"/>
        <v>-5</v>
      </c>
      <c r="P76" s="9" t="str">
        <f t="shared" si="43"/>
        <v/>
      </c>
      <c r="Q76" s="18">
        <f t="shared" si="13"/>
        <v>-1.1581197738005675</v>
      </c>
      <c r="R76" s="102">
        <f t="shared" si="78"/>
        <v>-1.1028084835646064</v>
      </c>
      <c r="S76" s="18">
        <f t="shared" si="79"/>
        <v>-1.1073447020497025</v>
      </c>
      <c r="T76" s="136">
        <f t="shared" si="44"/>
        <v>-0.40754303226687932</v>
      </c>
      <c r="U76" s="6"/>
      <c r="V76" s="243">
        <f>IF(V75&gt;'goal seek'!$F$28,MAX($AC$7,V75*(1+X76)),MAX($AC$7,V75+W75))</f>
        <v>-4.3499999999999996</v>
      </c>
      <c r="W76" s="14">
        <f t="shared" si="80"/>
        <v>0</v>
      </c>
      <c r="X76" s="135">
        <f t="shared" si="63"/>
        <v>-0.40452540663024117</v>
      </c>
      <c r="Y76" s="9" t="str">
        <f t="shared" si="45"/>
        <v/>
      </c>
      <c r="Z76" s="18">
        <f t="shared" si="17"/>
        <v>-1.1581197738005675</v>
      </c>
      <c r="AA76" s="102">
        <f t="shared" si="81"/>
        <v>-1.1028084835646064</v>
      </c>
      <c r="AB76" s="18">
        <f t="shared" si="82"/>
        <v>-1.1073447020497025</v>
      </c>
      <c r="AC76" s="136">
        <f t="shared" si="46"/>
        <v>-0.40754303226687932</v>
      </c>
      <c r="AD76" s="6"/>
      <c r="AE76" s="243">
        <f>IF(AE75&gt;'goal seek'!$F$28,MAX($AL$7,AE75*(1+AG76)),MAX($AL$7,AE75+AF75))</f>
        <v>-4.3499999999999996</v>
      </c>
      <c r="AF76" s="14">
        <f t="shared" si="66"/>
        <v>0</v>
      </c>
      <c r="AG76" s="135">
        <f t="shared" si="83"/>
        <v>-1.9287146698561706</v>
      </c>
      <c r="AH76" s="9" t="str">
        <f t="shared" si="47"/>
        <v/>
      </c>
      <c r="AI76" s="18">
        <f t="shared" si="22"/>
        <v>-1.1581197738005675</v>
      </c>
      <c r="AJ76" s="102">
        <f t="shared" si="67"/>
        <v>-1.1028084835646064</v>
      </c>
      <c r="AK76" s="18">
        <f t="shared" si="68"/>
        <v>-1.1073447020497025</v>
      </c>
      <c r="AL76" s="136">
        <f t="shared" si="48"/>
        <v>-0.40754303226687932</v>
      </c>
      <c r="AM76" s="6"/>
      <c r="AN76" s="243">
        <f>IF(AN75&gt;'goal seek'!$F$28,MAX($AL$7,AN75*(1+AP76)),MAX($AL$7,AN75+AO75))</f>
        <v>-4.3499999999999996</v>
      </c>
      <c r="AO76" s="14">
        <f t="shared" si="25"/>
        <v>0</v>
      </c>
      <c r="AP76" s="135">
        <f t="shared" si="49"/>
        <v>-0.19037447613226033</v>
      </c>
      <c r="AQ76" s="9" t="str">
        <f t="shared" si="50"/>
        <v/>
      </c>
      <c r="AR76" s="18">
        <f t="shared" si="26"/>
        <v>-1.1581197738005675</v>
      </c>
      <c r="AS76" s="102">
        <f t="shared" si="27"/>
        <v>-1.1028084835646064</v>
      </c>
      <c r="AT76" s="18">
        <f t="shared" si="28"/>
        <v>-1.1073447020497025</v>
      </c>
      <c r="AU76" s="136">
        <f t="shared" si="51"/>
        <v>-0.40754303226687932</v>
      </c>
      <c r="AV76" s="6"/>
      <c r="AW76" s="243">
        <f t="shared" si="52"/>
        <v>-4.3499999999999996</v>
      </c>
      <c r="AX76" s="730">
        <f t="shared" si="53"/>
        <v>0</v>
      </c>
      <c r="AY76" s="9">
        <f t="shared" si="54"/>
        <v>0</v>
      </c>
      <c r="AZ76" s="9">
        <f t="shared" si="55"/>
        <v>0</v>
      </c>
      <c r="BA76" s="18">
        <f t="shared" si="29"/>
        <v>-1.1581197738005675</v>
      </c>
      <c r="BB76" s="102">
        <f t="shared" si="30"/>
        <v>-1.1028084835646064</v>
      </c>
      <c r="BC76" s="18">
        <f t="shared" si="31"/>
        <v>-1.1073447020497025</v>
      </c>
      <c r="BD76" s="136">
        <f t="shared" si="56"/>
        <v>-0.40754303226687932</v>
      </c>
      <c r="BE76" s="6"/>
      <c r="BF76" s="243">
        <f t="shared" si="57"/>
        <v>1.8815154288200672E-4</v>
      </c>
      <c r="BG76" s="14">
        <f t="shared" si="32"/>
        <v>-4.9539077284519091E-5</v>
      </c>
      <c r="BH76" s="9"/>
      <c r="BI76" s="9">
        <f t="shared" si="58"/>
        <v>-0.20841830969102637</v>
      </c>
      <c r="BJ76" s="18">
        <f t="shared" si="33"/>
        <v>-0.99999316080933309</v>
      </c>
      <c r="BK76" s="102">
        <f t="shared" si="34"/>
        <v>-0.99999555320119449</v>
      </c>
      <c r="BL76" s="18">
        <f t="shared" si="35"/>
        <v>-0.999995356995101</v>
      </c>
      <c r="BM76" s="136">
        <f t="shared" si="59"/>
        <v>1.7627551795821789E-5</v>
      </c>
      <c r="BP76" s="540">
        <f t="shared" si="84"/>
        <v>507.43101658868613</v>
      </c>
      <c r="BQ76" s="541">
        <f t="shared" si="85"/>
        <v>507.90216887574377</v>
      </c>
      <c r="BR76" s="541">
        <f t="shared" si="86"/>
        <v>507.24815702270826</v>
      </c>
      <c r="BS76" s="541">
        <f t="shared" si="87"/>
        <v>507.83960747884009</v>
      </c>
      <c r="BT76" s="541">
        <f t="shared" si="60"/>
        <v>507.72553407093392</v>
      </c>
      <c r="BU76" s="541">
        <f t="shared" si="61"/>
        <v>507.76474112288588</v>
      </c>
      <c r="BV76" s="540">
        <f t="shared" si="69"/>
        <v>87.431016588686134</v>
      </c>
      <c r="BW76" s="541">
        <f t="shared" si="70"/>
        <v>87.902168875743769</v>
      </c>
      <c r="BX76" s="541">
        <f t="shared" si="71"/>
        <v>87.248157022708256</v>
      </c>
      <c r="BY76" s="541">
        <f t="shared" si="72"/>
        <v>87.839607478840094</v>
      </c>
      <c r="BZ76" s="541">
        <f t="shared" si="73"/>
        <v>87.725534070933918</v>
      </c>
      <c r="CA76" s="542">
        <f t="shared" si="73"/>
        <v>87.76474112288588</v>
      </c>
    </row>
    <row r="77" spans="1:79" x14ac:dyDescent="0.2">
      <c r="A77" s="239">
        <f t="shared" si="40"/>
        <v>63</v>
      </c>
      <c r="B77" s="822">
        <v>10690576.967</v>
      </c>
      <c r="C77" s="239">
        <f t="shared" si="41"/>
        <v>2081</v>
      </c>
      <c r="E77" s="254">
        <f>IF(E76&gt;$K$10,MAX($K$7,E76*(1+$K$9)),MAX($K$7,scenarios!E76+scenarios!F76))</f>
        <v>-4.3499999999999996</v>
      </c>
      <c r="F77" s="14">
        <f t="shared" si="74"/>
        <v>0</v>
      </c>
      <c r="G77" s="9" t="str">
        <f t="shared" si="42"/>
        <v/>
      </c>
      <c r="H77" s="18">
        <f t="shared" si="64"/>
        <v>-1.1581197738005675</v>
      </c>
      <c r="I77" s="102">
        <f t="shared" si="75"/>
        <v>-1.1028084835646064</v>
      </c>
      <c r="J77" s="18">
        <f t="shared" si="76"/>
        <v>-1.1073447020497025</v>
      </c>
      <c r="K77" s="136">
        <f t="shared" si="65"/>
        <v>-0.4069003958745831</v>
      </c>
      <c r="L77" s="263"/>
      <c r="M77" s="243">
        <f>IF(M76&gt;'goal seek'!$F$28,MAX($T$7,M76*(1+O77)),MAX($T$7,M76+N76))</f>
        <v>-4.3499999999999996</v>
      </c>
      <c r="N77" s="14">
        <f t="shared" si="77"/>
        <v>0</v>
      </c>
      <c r="O77" s="135">
        <f t="shared" si="62"/>
        <v>-5</v>
      </c>
      <c r="P77" s="9" t="str">
        <f t="shared" si="43"/>
        <v/>
      </c>
      <c r="Q77" s="18">
        <f t="shared" si="13"/>
        <v>-1.1581197738005675</v>
      </c>
      <c r="R77" s="102">
        <f t="shared" si="78"/>
        <v>-1.1028084835646064</v>
      </c>
      <c r="S77" s="18">
        <f t="shared" si="79"/>
        <v>-1.1073447020497025</v>
      </c>
      <c r="T77" s="136">
        <f t="shared" si="44"/>
        <v>-0.4069003958745831</v>
      </c>
      <c r="U77" s="6"/>
      <c r="V77" s="243">
        <f>IF(V76&gt;'goal seek'!$F$28,MAX($AC$7,V76*(1+X77)),MAX($AC$7,V76+W76))</f>
        <v>-4.3499999999999996</v>
      </c>
      <c r="W77" s="14">
        <f t="shared" si="80"/>
        <v>0</v>
      </c>
      <c r="X77" s="135">
        <f t="shared" si="63"/>
        <v>-0.4110008300740785</v>
      </c>
      <c r="Y77" s="9" t="str">
        <f t="shared" si="45"/>
        <v/>
      </c>
      <c r="Z77" s="18">
        <f t="shared" si="17"/>
        <v>-1.1581197738005675</v>
      </c>
      <c r="AA77" s="102">
        <f t="shared" si="81"/>
        <v>-1.1028084835646064</v>
      </c>
      <c r="AB77" s="18">
        <f t="shared" si="82"/>
        <v>-1.1073447020497025</v>
      </c>
      <c r="AC77" s="136">
        <f t="shared" si="46"/>
        <v>-0.4069003958745831</v>
      </c>
      <c r="AD77" s="6"/>
      <c r="AE77" s="243">
        <f>IF(AE76&gt;'goal seek'!$F$28,MAX($AL$7,AE76*(1+AG77)),MAX($AL$7,AE76+AF76))</f>
        <v>-4.3499999999999996</v>
      </c>
      <c r="AF77" s="14">
        <f t="shared" si="66"/>
        <v>0</v>
      </c>
      <c r="AG77" s="135">
        <f t="shared" si="83"/>
        <v>-1.9930031351485586</v>
      </c>
      <c r="AH77" s="9" t="str">
        <f t="shared" si="47"/>
        <v/>
      </c>
      <c r="AI77" s="18">
        <f t="shared" si="22"/>
        <v>-1.1581197738005675</v>
      </c>
      <c r="AJ77" s="102">
        <f t="shared" si="67"/>
        <v>-1.1028084835646064</v>
      </c>
      <c r="AK77" s="18">
        <f t="shared" si="68"/>
        <v>-1.1073447020497025</v>
      </c>
      <c r="AL77" s="136">
        <f t="shared" si="48"/>
        <v>-0.4069003958745831</v>
      </c>
      <c r="AM77" s="6"/>
      <c r="AN77" s="243">
        <f>IF(AN76&gt;'goal seek'!$F$28,MAX($AL$7,AN76*(1+AP77)),MAX($AL$7,AN76+AO76))</f>
        <v>-4.3499999999999996</v>
      </c>
      <c r="AO77" s="14">
        <f t="shared" si="25"/>
        <v>0</v>
      </c>
      <c r="AP77" s="135">
        <f t="shared" si="49"/>
        <v>-0.19183370220957724</v>
      </c>
      <c r="AQ77" s="9" t="str">
        <f t="shared" si="50"/>
        <v/>
      </c>
      <c r="AR77" s="18">
        <f t="shared" si="26"/>
        <v>-1.1581197738005675</v>
      </c>
      <c r="AS77" s="102">
        <f t="shared" si="27"/>
        <v>-1.1028084835646064</v>
      </c>
      <c r="AT77" s="18">
        <f t="shared" si="28"/>
        <v>-1.1073447020497025</v>
      </c>
      <c r="AU77" s="136">
        <f t="shared" si="51"/>
        <v>-0.4069003958745831</v>
      </c>
      <c r="AV77" s="6"/>
      <c r="AW77" s="243">
        <f t="shared" si="52"/>
        <v>-4.3499999999999996</v>
      </c>
      <c r="AX77" s="730">
        <f t="shared" si="53"/>
        <v>0</v>
      </c>
      <c r="AY77" s="9">
        <f t="shared" si="54"/>
        <v>0</v>
      </c>
      <c r="AZ77" s="9">
        <f t="shared" si="55"/>
        <v>0</v>
      </c>
      <c r="BA77" s="18">
        <f t="shared" si="29"/>
        <v>-1.1581197738005675</v>
      </c>
      <c r="BB77" s="102">
        <f t="shared" si="30"/>
        <v>-1.1028084835646064</v>
      </c>
      <c r="BC77" s="18">
        <f t="shared" si="31"/>
        <v>-1.1073447020497025</v>
      </c>
      <c r="BD77" s="136">
        <f t="shared" si="56"/>
        <v>-0.4069003958745831</v>
      </c>
      <c r="BE77" s="6"/>
      <c r="BF77" s="243">
        <f t="shared" si="57"/>
        <v>1.4890159613068659E-4</v>
      </c>
      <c r="BG77" s="14">
        <f t="shared" si="32"/>
        <v>-3.9249946751320126E-5</v>
      </c>
      <c r="BH77" s="9"/>
      <c r="BI77" s="9">
        <f t="shared" si="58"/>
        <v>-0.20860815781847974</v>
      </c>
      <c r="BJ77" s="18">
        <f t="shared" si="33"/>
        <v>-0.99999458752029913</v>
      </c>
      <c r="BK77" s="102">
        <f t="shared" si="34"/>
        <v>-0.99999648083970138</v>
      </c>
      <c r="BL77" s="18">
        <f t="shared" si="35"/>
        <v>-0.99999632556379958</v>
      </c>
      <c r="BM77" s="136">
        <f t="shared" si="59"/>
        <v>1.392830308320314E-5</v>
      </c>
      <c r="BP77" s="540">
        <f t="shared" si="84"/>
        <v>503.08101658868611</v>
      </c>
      <c r="BQ77" s="541">
        <f t="shared" si="85"/>
        <v>503.55216887574375</v>
      </c>
      <c r="BR77" s="541">
        <f t="shared" si="86"/>
        <v>502.89815702270823</v>
      </c>
      <c r="BS77" s="541">
        <f t="shared" si="87"/>
        <v>503.48960747884007</v>
      </c>
      <c r="BT77" s="541">
        <f t="shared" si="60"/>
        <v>503.3755340709339</v>
      </c>
      <c r="BU77" s="541">
        <f t="shared" si="61"/>
        <v>503.41474112288586</v>
      </c>
      <c r="BV77" s="540">
        <f t="shared" si="69"/>
        <v>83.081016588686111</v>
      </c>
      <c r="BW77" s="541">
        <f t="shared" si="70"/>
        <v>83.552168875743746</v>
      </c>
      <c r="BX77" s="541">
        <f t="shared" si="71"/>
        <v>82.898157022708233</v>
      </c>
      <c r="BY77" s="541">
        <f t="shared" si="72"/>
        <v>83.489607478840071</v>
      </c>
      <c r="BZ77" s="541">
        <f t="shared" si="73"/>
        <v>83.375534070933895</v>
      </c>
      <c r="CA77" s="542">
        <f t="shared" si="73"/>
        <v>83.414741122885857</v>
      </c>
    </row>
    <row r="78" spans="1:79" x14ac:dyDescent="0.2">
      <c r="A78" s="239">
        <f t="shared" si="40"/>
        <v>64</v>
      </c>
      <c r="B78" s="822">
        <v>10706644.425000001</v>
      </c>
      <c r="C78" s="239">
        <f t="shared" si="41"/>
        <v>2082</v>
      </c>
      <c r="E78" s="254">
        <f>IF(E77&gt;$K$10,MAX($K$7,E77*(1+$K$9)),MAX($K$7,scenarios!E77+scenarios!F77))</f>
        <v>-4.3499999999999996</v>
      </c>
      <c r="F78" s="14">
        <f t="shared" si="74"/>
        <v>0</v>
      </c>
      <c r="G78" s="9" t="str">
        <f t="shared" si="42"/>
        <v/>
      </c>
      <c r="H78" s="18">
        <f t="shared" si="64"/>
        <v>-1.1581197738005675</v>
      </c>
      <c r="I78" s="102">
        <f t="shared" si="75"/>
        <v>-1.1028084835646064</v>
      </c>
      <c r="J78" s="18">
        <f t="shared" si="76"/>
        <v>-1.1073447020497025</v>
      </c>
      <c r="K78" s="136">
        <f t="shared" si="65"/>
        <v>-0.4062897605754755</v>
      </c>
      <c r="L78" s="263"/>
      <c r="M78" s="243">
        <f>IF(M77&gt;'goal seek'!$F$28,MAX($T$7,M77*(1+O78)),MAX($T$7,M77+N77))</f>
        <v>-4.3499999999999996</v>
      </c>
      <c r="N78" s="14">
        <f t="shared" si="77"/>
        <v>0</v>
      </c>
      <c r="O78" s="135">
        <f t="shared" si="62"/>
        <v>-5</v>
      </c>
      <c r="P78" s="9" t="str">
        <f t="shared" si="43"/>
        <v/>
      </c>
      <c r="Q78" s="18">
        <f t="shared" si="13"/>
        <v>-1.1581197738005675</v>
      </c>
      <c r="R78" s="102">
        <f t="shared" si="78"/>
        <v>-1.1028084835646064</v>
      </c>
      <c r="S78" s="18">
        <f t="shared" si="79"/>
        <v>-1.1073447020497025</v>
      </c>
      <c r="T78" s="136">
        <f t="shared" si="44"/>
        <v>-0.4062897605754755</v>
      </c>
      <c r="U78" s="6"/>
      <c r="V78" s="243">
        <f>IF(V77&gt;'goal seek'!$F$28,MAX($AC$7,V77*(1+X78)),MAX($AC$7,V77+W77))</f>
        <v>-4.3499999999999996</v>
      </c>
      <c r="W78" s="14">
        <f t="shared" si="80"/>
        <v>0</v>
      </c>
      <c r="X78" s="135">
        <f t="shared" si="63"/>
        <v>-0.41747625351791584</v>
      </c>
      <c r="Y78" s="9" t="str">
        <f t="shared" si="45"/>
        <v/>
      </c>
      <c r="Z78" s="18">
        <f t="shared" si="17"/>
        <v>-1.1581197738005675</v>
      </c>
      <c r="AA78" s="102">
        <f t="shared" si="81"/>
        <v>-1.1028084835646064</v>
      </c>
      <c r="AB78" s="18">
        <f t="shared" si="82"/>
        <v>-1.1073447020497025</v>
      </c>
      <c r="AC78" s="136">
        <f t="shared" si="46"/>
        <v>-0.4062897605754755</v>
      </c>
      <c r="AD78" s="6"/>
      <c r="AE78" s="243">
        <f>IF(AE77&gt;'goal seek'!$F$28,MAX($AL$7,AE77*(1+AG78)),MAX($AL$7,AE77+AF77))</f>
        <v>-4.3499999999999996</v>
      </c>
      <c r="AF78" s="14">
        <f t="shared" si="66"/>
        <v>0</v>
      </c>
      <c r="AG78" s="135">
        <f t="shared" si="83"/>
        <v>-2.0583542197019775</v>
      </c>
      <c r="AH78" s="9" t="str">
        <f t="shared" si="47"/>
        <v/>
      </c>
      <c r="AI78" s="18">
        <f t="shared" si="22"/>
        <v>-1.1581197738005675</v>
      </c>
      <c r="AJ78" s="102">
        <f t="shared" si="67"/>
        <v>-1.1028084835646064</v>
      </c>
      <c r="AK78" s="18">
        <f t="shared" si="68"/>
        <v>-1.1073447020497025</v>
      </c>
      <c r="AL78" s="136">
        <f t="shared" si="48"/>
        <v>-0.4062897605754755</v>
      </c>
      <c r="AM78" s="6"/>
      <c r="AN78" s="243">
        <f>IF(AN77&gt;'goal seek'!$F$28,MAX($AL$7,AN77*(1+AP78)),MAX($AL$7,AN77+AO77))</f>
        <v>-4.3499999999999996</v>
      </c>
      <c r="AO78" s="14">
        <f t="shared" si="25"/>
        <v>0</v>
      </c>
      <c r="AP78" s="135">
        <f t="shared" si="49"/>
        <v>-0.19328091758294896</v>
      </c>
      <c r="AQ78" s="9" t="str">
        <f t="shared" si="50"/>
        <v/>
      </c>
      <c r="AR78" s="18">
        <f t="shared" si="26"/>
        <v>-1.1581197738005675</v>
      </c>
      <c r="AS78" s="102">
        <f t="shared" si="27"/>
        <v>-1.1028084835646064</v>
      </c>
      <c r="AT78" s="18">
        <f t="shared" si="28"/>
        <v>-1.1073447020497025</v>
      </c>
      <c r="AU78" s="136">
        <f t="shared" si="51"/>
        <v>-0.4062897605754755</v>
      </c>
      <c r="AV78" s="6"/>
      <c r="AW78" s="243">
        <f t="shared" si="52"/>
        <v>-4.3499999999999996</v>
      </c>
      <c r="AX78" s="730">
        <f t="shared" si="53"/>
        <v>0</v>
      </c>
      <c r="AY78" s="9">
        <f t="shared" si="54"/>
        <v>0</v>
      </c>
      <c r="AZ78" s="9">
        <f t="shared" si="55"/>
        <v>0</v>
      </c>
      <c r="BA78" s="18">
        <f t="shared" si="29"/>
        <v>-1.1581197738005675</v>
      </c>
      <c r="BB78" s="102">
        <f t="shared" si="30"/>
        <v>-1.1028084835646064</v>
      </c>
      <c r="BC78" s="18">
        <f t="shared" si="31"/>
        <v>-1.1073447020497025</v>
      </c>
      <c r="BD78" s="136">
        <f t="shared" si="56"/>
        <v>-0.4062897605754755</v>
      </c>
      <c r="BE78" s="6"/>
      <c r="BF78" s="243">
        <f t="shared" si="57"/>
        <v>1.1781210199380822E-4</v>
      </c>
      <c r="BG78" s="14">
        <f t="shared" si="32"/>
        <v>-3.1089494136878374E-5</v>
      </c>
      <c r="BH78" s="9"/>
      <c r="BI78" s="9">
        <f t="shared" si="58"/>
        <v>-0.20879221542791271</v>
      </c>
      <c r="BJ78" s="18">
        <f t="shared" si="33"/>
        <v>-0.9999957176039268</v>
      </c>
      <c r="BK78" s="102">
        <f t="shared" si="34"/>
        <v>-0.99999721561297672</v>
      </c>
      <c r="BL78" s="18">
        <f t="shared" si="35"/>
        <v>-0.9999970927574745</v>
      </c>
      <c r="BM78" s="136">
        <f t="shared" si="59"/>
        <v>1.1003643841829388E-5</v>
      </c>
      <c r="BP78" s="540">
        <f t="shared" si="84"/>
        <v>498.73101658868609</v>
      </c>
      <c r="BQ78" s="541">
        <f t="shared" si="85"/>
        <v>499.20216887574372</v>
      </c>
      <c r="BR78" s="541">
        <f t="shared" si="86"/>
        <v>498.54815702270821</v>
      </c>
      <c r="BS78" s="541">
        <f t="shared" si="87"/>
        <v>499.13960747884005</v>
      </c>
      <c r="BT78" s="541">
        <f t="shared" si="60"/>
        <v>499.02553407093387</v>
      </c>
      <c r="BU78" s="541">
        <f t="shared" si="61"/>
        <v>499.06474112288583</v>
      </c>
      <c r="BV78" s="540">
        <f t="shared" si="69"/>
        <v>78.731016588686089</v>
      </c>
      <c r="BW78" s="541">
        <f t="shared" si="70"/>
        <v>79.202168875743723</v>
      </c>
      <c r="BX78" s="541">
        <f t="shared" si="71"/>
        <v>78.54815702270821</v>
      </c>
      <c r="BY78" s="541">
        <f t="shared" si="72"/>
        <v>79.139607478840048</v>
      </c>
      <c r="BZ78" s="541">
        <f t="shared" si="73"/>
        <v>79.025534070933872</v>
      </c>
      <c r="CA78" s="542">
        <f t="shared" si="73"/>
        <v>79.064741122885835</v>
      </c>
    </row>
    <row r="79" spans="1:79" x14ac:dyDescent="0.2">
      <c r="A79" s="239">
        <f t="shared" si="40"/>
        <v>65</v>
      </c>
      <c r="B79" s="822">
        <v>10721951.208000001</v>
      </c>
      <c r="C79" s="239">
        <f t="shared" si="41"/>
        <v>2083</v>
      </c>
      <c r="E79" s="254">
        <f>IF(E78&gt;$K$10,MAX($K$7,E78*(1+$K$9)),MAX($K$7,scenarios!E78+scenarios!F78))</f>
        <v>-4.3499999999999996</v>
      </c>
      <c r="F79" s="14">
        <f t="shared" si="74"/>
        <v>0</v>
      </c>
      <c r="G79" s="9" t="str">
        <f t="shared" si="42"/>
        <v/>
      </c>
      <c r="H79" s="18">
        <f t="shared" ref="H79:H96" si="88">(E79-$H$14)/$H$14</f>
        <v>-1.1581197738005675</v>
      </c>
      <c r="I79" s="102">
        <f t="shared" si="75"/>
        <v>-1.1028084835646064</v>
      </c>
      <c r="J79" s="18">
        <f t="shared" si="76"/>
        <v>-1.1073447020497025</v>
      </c>
      <c r="K79" s="136">
        <f t="shared" ref="K79:K96" si="89">E79*1000000/B79</f>
        <v>-0.40570973655936077</v>
      </c>
      <c r="L79" s="263"/>
      <c r="M79" s="243">
        <f>IF(M78&gt;'goal seek'!$F$28,MAX($T$7,M78*(1+O79)),MAX($T$7,M78+N78))</f>
        <v>-4.3499999999999996</v>
      </c>
      <c r="N79" s="14">
        <f t="shared" si="77"/>
        <v>0</v>
      </c>
      <c r="O79" s="135">
        <f t="shared" si="62"/>
        <v>-5</v>
      </c>
      <c r="P79" s="9" t="str">
        <f t="shared" si="43"/>
        <v/>
      </c>
      <c r="Q79" s="18">
        <f t="shared" si="13"/>
        <v>-1.1581197738005675</v>
      </c>
      <c r="R79" s="102">
        <f t="shared" si="78"/>
        <v>-1.1028084835646064</v>
      </c>
      <c r="S79" s="18">
        <f t="shared" si="79"/>
        <v>-1.1073447020497025</v>
      </c>
      <c r="T79" s="136">
        <f t="shared" si="44"/>
        <v>-0.40570973655936077</v>
      </c>
      <c r="U79" s="6"/>
      <c r="V79" s="243">
        <f>IF(V78&gt;'goal seek'!$F$28,MAX($AC$7,V78*(1+X79)),MAX($AC$7,V78+W78))</f>
        <v>-4.3499999999999996</v>
      </c>
      <c r="W79" s="14">
        <f t="shared" si="80"/>
        <v>0</v>
      </c>
      <c r="X79" s="135">
        <f t="shared" si="63"/>
        <v>-0.42395167696175318</v>
      </c>
      <c r="Y79" s="9" t="str">
        <f t="shared" si="45"/>
        <v/>
      </c>
      <c r="Z79" s="18">
        <f t="shared" si="17"/>
        <v>-1.1581197738005675</v>
      </c>
      <c r="AA79" s="102">
        <f t="shared" si="81"/>
        <v>-1.1028084835646064</v>
      </c>
      <c r="AB79" s="18">
        <f t="shared" si="82"/>
        <v>-1.1073447020497025</v>
      </c>
      <c r="AC79" s="136">
        <f t="shared" si="46"/>
        <v>-0.40570973655936077</v>
      </c>
      <c r="AD79" s="6"/>
      <c r="AE79" s="243">
        <f>IF(AE78&gt;'goal seek'!$F$28,MAX($AL$7,AE78*(1+AG79)),MAX($AL$7,AE78+AF78))</f>
        <v>-4.3499999999999996</v>
      </c>
      <c r="AF79" s="14">
        <f t="shared" si="66"/>
        <v>0</v>
      </c>
      <c r="AG79" s="135">
        <f t="shared" si="83"/>
        <v>-2.1247679235164281</v>
      </c>
      <c r="AH79" s="9" t="str">
        <f t="shared" si="47"/>
        <v/>
      </c>
      <c r="AI79" s="18">
        <f t="shared" si="22"/>
        <v>-1.1581197738005675</v>
      </c>
      <c r="AJ79" s="102">
        <f t="shared" si="67"/>
        <v>-1.1028084835646064</v>
      </c>
      <c r="AK79" s="18">
        <f t="shared" si="68"/>
        <v>-1.1073447020497025</v>
      </c>
      <c r="AL79" s="136">
        <f t="shared" si="48"/>
        <v>-0.40570973655936077</v>
      </c>
      <c r="AM79" s="6"/>
      <c r="AN79" s="243">
        <f>IF(AN78&gt;'goal seek'!$F$28,MAX($AL$7,AN78*(1+AP79)),MAX($AL$7,AN78+AO78))</f>
        <v>-4.3499999999999996</v>
      </c>
      <c r="AO79" s="14">
        <f t="shared" si="25"/>
        <v>0</v>
      </c>
      <c r="AP79" s="135">
        <f t="shared" si="49"/>
        <v>-0.19471641403457712</v>
      </c>
      <c r="AQ79" s="9" t="str">
        <f t="shared" si="50"/>
        <v/>
      </c>
      <c r="AR79" s="18">
        <f t="shared" si="26"/>
        <v>-1.1581197738005675</v>
      </c>
      <c r="AS79" s="102">
        <f t="shared" si="27"/>
        <v>-1.1028084835646064</v>
      </c>
      <c r="AT79" s="18">
        <f t="shared" si="28"/>
        <v>-1.1073447020497025</v>
      </c>
      <c r="AU79" s="136">
        <f t="shared" si="51"/>
        <v>-0.40570973655936077</v>
      </c>
      <c r="AV79" s="6"/>
      <c r="AW79" s="243">
        <f t="shared" si="52"/>
        <v>-4.3499999999999996</v>
      </c>
      <c r="AX79" s="730">
        <f t="shared" si="53"/>
        <v>0</v>
      </c>
      <c r="AY79" s="9">
        <f t="shared" si="54"/>
        <v>0</v>
      </c>
      <c r="AZ79" s="9">
        <f t="shared" si="55"/>
        <v>0</v>
      </c>
      <c r="BA79" s="18">
        <f t="shared" si="29"/>
        <v>-1.1581197738005675</v>
      </c>
      <c r="BB79" s="102">
        <f t="shared" si="30"/>
        <v>-1.1028084835646064</v>
      </c>
      <c r="BC79" s="18">
        <f t="shared" si="31"/>
        <v>-1.1073447020497025</v>
      </c>
      <c r="BD79" s="136">
        <f t="shared" si="56"/>
        <v>-0.40570973655936077</v>
      </c>
      <c r="BE79" s="6"/>
      <c r="BF79" s="243">
        <f t="shared" si="57"/>
        <v>9.3192819451234812E-5</v>
      </c>
      <c r="BG79" s="14">
        <f t="shared" si="32"/>
        <v>-2.4619282542573406E-5</v>
      </c>
      <c r="BH79" s="9"/>
      <c r="BI79" s="9">
        <f t="shared" si="58"/>
        <v>-0.20897074346290256</v>
      </c>
      <c r="BJ79" s="18">
        <f t="shared" si="33"/>
        <v>-0.99999661249941796</v>
      </c>
      <c r="BK79" s="102">
        <f t="shared" si="34"/>
        <v>-0.99999779746840312</v>
      </c>
      <c r="BL79" s="18">
        <f t="shared" si="35"/>
        <v>-0.99999770028610646</v>
      </c>
      <c r="BM79" s="136">
        <f t="shared" si="59"/>
        <v>8.6917779836286304E-6</v>
      </c>
      <c r="BP79" s="540">
        <f t="shared" si="84"/>
        <v>494.38101658868607</v>
      </c>
      <c r="BQ79" s="541">
        <f t="shared" si="85"/>
        <v>494.8521688757437</v>
      </c>
      <c r="BR79" s="541">
        <f t="shared" si="86"/>
        <v>494.19815702270819</v>
      </c>
      <c r="BS79" s="541">
        <f t="shared" si="87"/>
        <v>494.78960747884003</v>
      </c>
      <c r="BT79" s="541">
        <f t="shared" si="60"/>
        <v>494.67553407093385</v>
      </c>
      <c r="BU79" s="541">
        <f t="shared" si="61"/>
        <v>494.71474112288581</v>
      </c>
      <c r="BV79" s="540">
        <f t="shared" ref="BV79:BV96" si="90">IF(BP79-$BP$7&gt;0,BP79-$BP$7,"")</f>
        <v>74.381016588686066</v>
      </c>
      <c r="BW79" s="541">
        <f t="shared" ref="BW79:BW96" si="91">IF(BQ79-$BP$7&gt;0,BQ79-$BP$7,"")</f>
        <v>74.8521688757437</v>
      </c>
      <c r="BX79" s="541">
        <f t="shared" ref="BX79:BX96" si="92">IF(BR79-$BP$7&gt;0,BR79-$BP$7,"")</f>
        <v>74.198157022708187</v>
      </c>
      <c r="BY79" s="541">
        <f t="shared" ref="BY79:BY96" si="93">IF(BS79-$BP$7&gt;0,BS79-$BP$7,"")</f>
        <v>74.789607478840026</v>
      </c>
      <c r="BZ79" s="541">
        <f t="shared" ref="BZ79:CA96" si="94">IF(BT79-$BP$7&gt;0,BT79-$BP$7,"")</f>
        <v>74.67553407093385</v>
      </c>
      <c r="CA79" s="542">
        <f t="shared" si="94"/>
        <v>74.714741122885812</v>
      </c>
    </row>
    <row r="80" spans="1:79" x14ac:dyDescent="0.2">
      <c r="A80" s="239">
        <f t="shared" si="40"/>
        <v>66</v>
      </c>
      <c r="B80" s="822">
        <v>10736532.842</v>
      </c>
      <c r="C80" s="239">
        <f t="shared" si="41"/>
        <v>2084</v>
      </c>
      <c r="E80" s="254">
        <f>IF(E79&gt;$K$10,MAX($K$7,E79*(1+$K$9)),MAX($K$7,scenarios!E79+scenarios!F79))</f>
        <v>-4.3499999999999996</v>
      </c>
      <c r="F80" s="14">
        <f t="shared" ref="F80:F96" si="95">E80-E79</f>
        <v>0</v>
      </c>
      <c r="G80" s="9" t="str">
        <f t="shared" si="42"/>
        <v/>
      </c>
      <c r="H80" s="18">
        <f t="shared" si="88"/>
        <v>-1.1581197738005675</v>
      </c>
      <c r="I80" s="102">
        <f t="shared" ref="I80:I96" si="96">(E80-$E$15)/$E$15</f>
        <v>-1.1028084835646064</v>
      </c>
      <c r="J80" s="18">
        <f t="shared" ref="J80:J96" si="97">(E80-$J$14)/$J$14</f>
        <v>-1.1073447020497025</v>
      </c>
      <c r="K80" s="136">
        <f t="shared" si="89"/>
        <v>-0.40515872898775418</v>
      </c>
      <c r="L80" s="263"/>
      <c r="M80" s="243">
        <f>IF(M79&gt;'goal seek'!$F$28,MAX($T$7,M79*(1+O80)),MAX($T$7,M79+N79))</f>
        <v>-4.3499999999999996</v>
      </c>
      <c r="N80" s="14">
        <f t="shared" ref="N80:N96" si="98">M80-M79</f>
        <v>0</v>
      </c>
      <c r="O80" s="135">
        <f t="shared" si="62"/>
        <v>-5</v>
      </c>
      <c r="P80" s="9" t="str">
        <f t="shared" si="43"/>
        <v/>
      </c>
      <c r="Q80" s="18">
        <f t="shared" ref="Q80:Q96" si="99">(M80-Q$14)/Q$14</f>
        <v>-1.1581197738005675</v>
      </c>
      <c r="R80" s="102">
        <f t="shared" ref="R80:R96" si="100">(M80-$M$15)/$M$15</f>
        <v>-1.1028084835646064</v>
      </c>
      <c r="S80" s="18">
        <f t="shared" ref="S80:S96" si="101">(M80-$S$14)/$S$14</f>
        <v>-1.1073447020497025</v>
      </c>
      <c r="T80" s="136">
        <f t="shared" si="44"/>
        <v>-0.40515872898775418</v>
      </c>
      <c r="U80" s="6"/>
      <c r="V80" s="243">
        <f>IF(V79&gt;'goal seek'!$F$28,MAX($AC$7,V79*(1+X80)),MAX($AC$7,V79+W79))</f>
        <v>-4.3499999999999996</v>
      </c>
      <c r="W80" s="14">
        <f t="shared" ref="W80:W86" si="102">V80-V79</f>
        <v>0</v>
      </c>
      <c r="X80" s="135">
        <f t="shared" si="63"/>
        <v>-0.43042710040559051</v>
      </c>
      <c r="Y80" s="9" t="str">
        <f t="shared" si="45"/>
        <v/>
      </c>
      <c r="Z80" s="18">
        <f t="shared" ref="Z80:Z96" si="103">(V80-Z$14)/Z$14</f>
        <v>-1.1581197738005675</v>
      </c>
      <c r="AA80" s="102">
        <f t="shared" ref="AA80:AA96" si="104">(V80-$V$15)/$V$15</f>
        <v>-1.1028084835646064</v>
      </c>
      <c r="AB80" s="18">
        <f t="shared" ref="AB80:AB86" si="105">(V80-$AB$14)/$AB$14</f>
        <v>-1.1073447020497025</v>
      </c>
      <c r="AC80" s="136">
        <f t="shared" si="46"/>
        <v>-0.40515872898775418</v>
      </c>
      <c r="AD80" s="6"/>
      <c r="AE80" s="243">
        <f>IF(AE79&gt;'goal seek'!$F$28,MAX($AL$7,AE79*(1+AG80)),MAX($AL$7,AE79+AF79))</f>
        <v>-4.3499999999999996</v>
      </c>
      <c r="AF80" s="14">
        <f t="shared" si="66"/>
        <v>0</v>
      </c>
      <c r="AG80" s="135">
        <f t="shared" ref="AG80:AG96" si="106">$AL$10*(C80-2020)^2+$AL$9</f>
        <v>-2.1922442465919096</v>
      </c>
      <c r="AH80" s="9" t="str">
        <f t="shared" si="47"/>
        <v/>
      </c>
      <c r="AI80" s="18">
        <f t="shared" ref="AI80:AI96" si="107">(AE80-AI$14)/AI$14</f>
        <v>-1.1581197738005675</v>
      </c>
      <c r="AJ80" s="102">
        <f t="shared" si="67"/>
        <v>-1.1028084835646064</v>
      </c>
      <c r="AK80" s="18">
        <f t="shared" si="68"/>
        <v>-1.1073447020497025</v>
      </c>
      <c r="AL80" s="136">
        <f t="shared" si="48"/>
        <v>-0.40515872898775418</v>
      </c>
      <c r="AM80" s="6"/>
      <c r="AN80" s="243">
        <f>IF(AN79&gt;'goal seek'!$F$28,MAX($AL$7,AN79*(1+AP80)),MAX($AL$7,AN79+AO79))</f>
        <v>-4.3499999999999996</v>
      </c>
      <c r="AO80" s="14">
        <f t="shared" ref="AO80:AO96" si="108">AN80-AN79</f>
        <v>0</v>
      </c>
      <c r="AP80" s="135">
        <f t="shared" si="49"/>
        <v>-0.19614047172055604</v>
      </c>
      <c r="AQ80" s="9" t="str">
        <f t="shared" si="50"/>
        <v/>
      </c>
      <c r="AR80" s="18">
        <f t="shared" ref="AR80:AR96" si="109">(AN80-AR$14)/AR$14</f>
        <v>-1.1581197738005675</v>
      </c>
      <c r="AS80" s="102">
        <f t="shared" ref="AS80:AS96" si="110">(AN80-$AE$15)/$AE$15</f>
        <v>-1.1028084835646064</v>
      </c>
      <c r="AT80" s="18">
        <f t="shared" ref="AT80:AT96" si="111">(AN80-$AK$14)/$AK$14</f>
        <v>-1.1073447020497025</v>
      </c>
      <c r="AU80" s="136">
        <f t="shared" si="51"/>
        <v>-0.40515872898775418</v>
      </c>
      <c r="AV80" s="6"/>
      <c r="AW80" s="243">
        <f t="shared" si="52"/>
        <v>-4.3499999999999996</v>
      </c>
      <c r="AX80" s="730">
        <f t="shared" si="53"/>
        <v>0</v>
      </c>
      <c r="AY80" s="9">
        <f t="shared" si="54"/>
        <v>0</v>
      </c>
      <c r="AZ80" s="9">
        <f t="shared" si="55"/>
        <v>0</v>
      </c>
      <c r="BA80" s="18">
        <f t="shared" ref="BA80:BA96" si="112">(AW80-BA$14)/BA$14</f>
        <v>-1.1581197738005675</v>
      </c>
      <c r="BB80" s="102">
        <f t="shared" ref="BB80:BB96" si="113">(AW80-$AE$15)/$AE$15</f>
        <v>-1.1028084835646064</v>
      </c>
      <c r="BC80" s="18">
        <f t="shared" ref="BC80:BC96" si="114">(AW80-$AK$14)/$AK$14</f>
        <v>-1.1073447020497025</v>
      </c>
      <c r="BD80" s="136">
        <f t="shared" si="56"/>
        <v>-0.40515872898775418</v>
      </c>
      <c r="BE80" s="6"/>
      <c r="BF80" s="243">
        <f t="shared" si="57"/>
        <v>7.3702101592273744E-5</v>
      </c>
      <c r="BG80" s="14">
        <f t="shared" ref="BG80:BG96" si="115">BF80-BF79</f>
        <v>-1.9490717858961068E-5</v>
      </c>
      <c r="BH80" s="9"/>
      <c r="BI80" s="9">
        <f t="shared" si="58"/>
        <v>-0.20914398742018969</v>
      </c>
      <c r="BJ80" s="18">
        <f t="shared" ref="BJ80:BJ96" si="116">(BF80-BJ$14)/BJ$14</f>
        <v>-0.99999732097479721</v>
      </c>
      <c r="BK80" s="102">
        <f t="shared" ref="BK80:BK96" si="117">(BF80-$AE$15)/$AE$15</f>
        <v>-0.9999982581146436</v>
      </c>
      <c r="BL80" s="18">
        <f t="shared" ref="BL80:BL96" si="118">(BF80-$AK$14)/$AK$14</f>
        <v>-0.99999818125744</v>
      </c>
      <c r="BM80" s="136">
        <f t="shared" si="59"/>
        <v>6.8646091505406813E-6</v>
      </c>
      <c r="BP80" s="540">
        <f t="shared" ref="BP80:BP96" si="119">BP79+E80</f>
        <v>490.03101658868604</v>
      </c>
      <c r="BQ80" s="541">
        <f t="shared" ref="BQ80:BQ96" si="120">BQ79+M80</f>
        <v>490.50216887574368</v>
      </c>
      <c r="BR80" s="541">
        <f t="shared" ref="BR80:BR96" si="121">BR79+V80</f>
        <v>489.84815702270816</v>
      </c>
      <c r="BS80" s="541">
        <f t="shared" ref="BS80:BS96" si="122">BS79+AE80</f>
        <v>490.43960747884</v>
      </c>
      <c r="BT80" s="541">
        <f t="shared" si="60"/>
        <v>490.32553407093383</v>
      </c>
      <c r="BU80" s="541">
        <f t="shared" si="61"/>
        <v>490.36474112288579</v>
      </c>
      <c r="BV80" s="540">
        <f t="shared" si="90"/>
        <v>70.031016588686043</v>
      </c>
      <c r="BW80" s="541">
        <f t="shared" si="91"/>
        <v>70.502168875743678</v>
      </c>
      <c r="BX80" s="541">
        <f t="shared" si="92"/>
        <v>69.848157022708165</v>
      </c>
      <c r="BY80" s="541">
        <f t="shared" si="93"/>
        <v>70.439607478840003</v>
      </c>
      <c r="BZ80" s="541">
        <f t="shared" si="94"/>
        <v>70.325534070933827</v>
      </c>
      <c r="CA80" s="542">
        <f t="shared" si="94"/>
        <v>70.364741122885789</v>
      </c>
    </row>
    <row r="81" spans="1:79" x14ac:dyDescent="0.2">
      <c r="A81" s="239">
        <f t="shared" ref="A81:A96" si="123">A80+1</f>
        <v>67</v>
      </c>
      <c r="B81" s="822">
        <v>10750416.739</v>
      </c>
      <c r="C81" s="239">
        <f t="shared" ref="C81:C96" si="124">C80+1</f>
        <v>2085</v>
      </c>
      <c r="E81" s="254">
        <f>IF(E80&gt;$K$10,MAX($K$7,E80*(1+$K$9)),MAX($K$7,scenarios!E80+scenarios!F80))</f>
        <v>-4.3499999999999996</v>
      </c>
      <c r="F81" s="14">
        <f t="shared" si="95"/>
        <v>0</v>
      </c>
      <c r="G81" s="9" t="str">
        <f t="shared" ref="G81:G96" si="125">IF(E81&gt;0,E81/E80-1,"")</f>
        <v/>
      </c>
      <c r="H81" s="18">
        <f t="shared" si="88"/>
        <v>-1.1581197738005675</v>
      </c>
      <c r="I81" s="102">
        <f t="shared" si="96"/>
        <v>-1.1028084835646064</v>
      </c>
      <c r="J81" s="18">
        <f t="shared" si="97"/>
        <v>-1.1073447020497025</v>
      </c>
      <c r="K81" s="136">
        <f t="shared" si="89"/>
        <v>-0.40463547652243254</v>
      </c>
      <c r="L81" s="263"/>
      <c r="M81" s="243">
        <f>IF(M80&gt;'goal seek'!$F$28,MAX($T$7,M80*(1+O81)),MAX($T$7,M80+N80))</f>
        <v>-4.3499999999999996</v>
      </c>
      <c r="N81" s="14">
        <f t="shared" si="98"/>
        <v>0</v>
      </c>
      <c r="O81" s="135">
        <f t="shared" si="62"/>
        <v>-5</v>
      </c>
      <c r="P81" s="9" t="str">
        <f t="shared" ref="P81:P96" si="126">IF(M81&gt;0,M81/M80-1,"")</f>
        <v/>
      </c>
      <c r="Q81" s="18">
        <f t="shared" si="99"/>
        <v>-1.1581197738005675</v>
      </c>
      <c r="R81" s="102">
        <f t="shared" si="100"/>
        <v>-1.1028084835646064</v>
      </c>
      <c r="S81" s="18">
        <f t="shared" si="101"/>
        <v>-1.1073447020497025</v>
      </c>
      <c r="T81" s="136">
        <f t="shared" ref="T81:T96" si="127">M81*1000000/$B81</f>
        <v>-0.40463547652243254</v>
      </c>
      <c r="U81" s="6"/>
      <c r="V81" s="243">
        <f>IF(V80&gt;'goal seek'!$F$28,MAX($AC$7,V80*(1+X81)),MAX($AC$7,V80+W80))</f>
        <v>-4.3499999999999996</v>
      </c>
      <c r="W81" s="14">
        <f t="shared" si="102"/>
        <v>0</v>
      </c>
      <c r="X81" s="135">
        <f t="shared" si="63"/>
        <v>-0.43690252384942785</v>
      </c>
      <c r="Y81" s="9" t="str">
        <f t="shared" ref="Y81:Y96" si="128">IF(V81&gt;0,V81/V80-1,"")</f>
        <v/>
      </c>
      <c r="Z81" s="18">
        <f t="shared" si="103"/>
        <v>-1.1581197738005675</v>
      </c>
      <c r="AA81" s="102">
        <f t="shared" si="104"/>
        <v>-1.1028084835646064</v>
      </c>
      <c r="AB81" s="18">
        <f t="shared" si="105"/>
        <v>-1.1073447020497025</v>
      </c>
      <c r="AC81" s="136">
        <f t="shared" ref="AC81:AC96" si="129">V81*1000000/$B81</f>
        <v>-0.40463547652243254</v>
      </c>
      <c r="AD81" s="6"/>
      <c r="AE81" s="243">
        <f>IF(AE80&gt;'goal seek'!$F$28,MAX($AL$7,AE80*(1+AG81)),MAX($AL$7,AE80+AF80))</f>
        <v>-4.3499999999999996</v>
      </c>
      <c r="AF81" s="14">
        <f t="shared" si="66"/>
        <v>0</v>
      </c>
      <c r="AG81" s="135">
        <f t="shared" si="106"/>
        <v>-2.2607831889284222</v>
      </c>
      <c r="AH81" s="9" t="str">
        <f t="shared" ref="AH81:AH96" si="130">IF(AE81&gt;0,AE81/AE80-1,"")</f>
        <v/>
      </c>
      <c r="AI81" s="18">
        <f t="shared" si="107"/>
        <v>-1.1581197738005675</v>
      </c>
      <c r="AJ81" s="102">
        <f t="shared" si="67"/>
        <v>-1.1028084835646064</v>
      </c>
      <c r="AK81" s="18">
        <f t="shared" si="68"/>
        <v>-1.1073447020497025</v>
      </c>
      <c r="AL81" s="136">
        <f t="shared" ref="AL81:AL96" si="131">AE81*1000000/$B81</f>
        <v>-0.40463547652243254</v>
      </c>
      <c r="AM81" s="6"/>
      <c r="AN81" s="243">
        <f>IF(AN80&gt;'goal seek'!$F$28,MAX($AL$7,AN80*(1+AP81)),MAX($AL$7,AN80+AO80))</f>
        <v>-4.3499999999999996</v>
      </c>
      <c r="AO81" s="14">
        <f t="shared" si="108"/>
        <v>0</v>
      </c>
      <c r="AP81" s="135">
        <f t="shared" ref="AP81:AP96" si="132">$AU$10*SQRT(C81-$AU$4-2020)+$AU$9</f>
        <v>-0.1975533598092597</v>
      </c>
      <c r="AQ81" s="9" t="str">
        <f t="shared" ref="AQ81:AQ96" si="133">IF(AN81&gt;0,AN81/AN80-1,"")</f>
        <v/>
      </c>
      <c r="AR81" s="18">
        <f t="shared" si="109"/>
        <v>-1.1581197738005675</v>
      </c>
      <c r="AS81" s="102">
        <f t="shared" si="110"/>
        <v>-1.1028084835646064</v>
      </c>
      <c r="AT81" s="18">
        <f t="shared" si="111"/>
        <v>-1.1073447020497025</v>
      </c>
      <c r="AU81" s="136">
        <f t="shared" ref="AU81:AU96" si="134">AN81*1000000/$B81</f>
        <v>-0.40463547652243254</v>
      </c>
      <c r="AV81" s="6"/>
      <c r="AW81" s="243">
        <f t="shared" ref="AW81:AW96" si="135">MAX(AW80+$BD$10,$BD$7)</f>
        <v>-4.3499999999999996</v>
      </c>
      <c r="AX81" s="730">
        <f t="shared" ref="AX81:AX96" si="136">AW81-AW80</f>
        <v>0</v>
      </c>
      <c r="AY81" s="9">
        <f t="shared" ref="AY81:AY96" si="137">AW81/AW80-1</f>
        <v>0</v>
      </c>
      <c r="AZ81" s="9">
        <f t="shared" ref="AZ81:AZ96" si="138">AW81/AW80-1</f>
        <v>0</v>
      </c>
      <c r="BA81" s="18">
        <f t="shared" si="112"/>
        <v>-1.1581197738005675</v>
      </c>
      <c r="BB81" s="102">
        <f t="shared" si="113"/>
        <v>-1.1028084835646064</v>
      </c>
      <c r="BC81" s="18">
        <f t="shared" si="114"/>
        <v>-1.1073447020497025</v>
      </c>
      <c r="BD81" s="136">
        <f t="shared" ref="BD81:BD96" si="139">AW81*1000000/$B81</f>
        <v>-0.40463547652243254</v>
      </c>
      <c r="BE81" s="6"/>
      <c r="BF81" s="243">
        <f t="shared" ref="BF81:BF96" si="140">-BF$15*EXP(-BM$11*($C81-$C$15))/BM$11^2*((BM$10*BM$11+BM$11^2)*($C81-$C$15)+2*BM$11+BM$10)
  +BF$15*EXP(-BM$11*($C80-$C$15))/BM$11^2*((BM$10*BM$11+BM$11^2)*($C80-$C$15)+2*BM$11+BM$10)</f>
        <v>5.8275354149733865E-5</v>
      </c>
      <c r="BG81" s="14">
        <f t="shared" si="115"/>
        <v>-1.5426747442539879E-5</v>
      </c>
      <c r="BH81" s="9"/>
      <c r="BI81" s="9">
        <f t="shared" ref="BI81:BI96" si="141">IF(BF81&gt;0,BF81/BF80-1,"")</f>
        <v>-0.20931217847602157</v>
      </c>
      <c r="BJ81" s="18">
        <f t="shared" si="116"/>
        <v>-0.99999788172739856</v>
      </c>
      <c r="BK81" s="102">
        <f t="shared" si="117"/>
        <v>-0.9999986227124622</v>
      </c>
      <c r="BL81" s="18">
        <f t="shared" si="118"/>
        <v>-0.99999856194240733</v>
      </c>
      <c r="BM81" s="136">
        <f t="shared" ref="BM81:BM96" si="142">BF81*1000000/$B81</f>
        <v>5.4207530335381785E-6</v>
      </c>
      <c r="BP81" s="540">
        <f t="shared" si="119"/>
        <v>485.68101658868602</v>
      </c>
      <c r="BQ81" s="541">
        <f t="shared" si="120"/>
        <v>486.15216887574366</v>
      </c>
      <c r="BR81" s="541">
        <f t="shared" si="121"/>
        <v>485.49815702270814</v>
      </c>
      <c r="BS81" s="541">
        <f t="shared" si="122"/>
        <v>486.08960747883998</v>
      </c>
      <c r="BT81" s="541">
        <f t="shared" ref="BT81:BT96" si="143">BT80+AN81</f>
        <v>485.9755340709338</v>
      </c>
      <c r="BU81" s="541">
        <f t="shared" ref="BU81:BU96" si="144">BU80+AW81</f>
        <v>486.01474112288577</v>
      </c>
      <c r="BV81" s="540">
        <f t="shared" si="90"/>
        <v>65.68101658868602</v>
      </c>
      <c r="BW81" s="541">
        <f t="shared" si="91"/>
        <v>66.152168875743655</v>
      </c>
      <c r="BX81" s="541">
        <f t="shared" si="92"/>
        <v>65.498157022708142</v>
      </c>
      <c r="BY81" s="541">
        <f t="shared" si="93"/>
        <v>66.08960747883998</v>
      </c>
      <c r="BZ81" s="541">
        <f t="shared" si="94"/>
        <v>65.975534070933804</v>
      </c>
      <c r="CA81" s="542">
        <f t="shared" si="94"/>
        <v>66.014741122885766</v>
      </c>
    </row>
    <row r="82" spans="1:79" x14ac:dyDescent="0.2">
      <c r="A82" s="239">
        <f t="shared" si="123"/>
        <v>68</v>
      </c>
      <c r="B82" s="822">
        <v>10763615.214</v>
      </c>
      <c r="C82" s="239">
        <f t="shared" si="124"/>
        <v>2086</v>
      </c>
      <c r="E82" s="254">
        <f>IF(E81&gt;$K$10,MAX($K$7,E81*(1+$K$9)),MAX($K$7,scenarios!E81+scenarios!F81))</f>
        <v>-4.3499999999999996</v>
      </c>
      <c r="F82" s="14">
        <f t="shared" si="95"/>
        <v>0</v>
      </c>
      <c r="G82" s="9" t="str">
        <f t="shared" si="125"/>
        <v/>
      </c>
      <c r="H82" s="18">
        <f t="shared" si="88"/>
        <v>-1.1581197738005675</v>
      </c>
      <c r="I82" s="102">
        <f t="shared" si="96"/>
        <v>-1.1028084835646064</v>
      </c>
      <c r="J82" s="18">
        <f t="shared" si="97"/>
        <v>-1.1073447020497025</v>
      </c>
      <c r="K82" s="136">
        <f t="shared" si="89"/>
        <v>-0.40413930761311961</v>
      </c>
      <c r="L82" s="263"/>
      <c r="M82" s="243">
        <f>IF(M81&gt;'goal seek'!$F$28,MAX($T$7,M81*(1+O82)),MAX($T$7,M81+N81))</f>
        <v>-4.3499999999999996</v>
      </c>
      <c r="N82" s="14">
        <f t="shared" si="98"/>
        <v>0</v>
      </c>
      <c r="O82" s="135">
        <f t="shared" ref="O82:O96" si="145">MAX(-5,O81*(1+$T$10))</f>
        <v>-5</v>
      </c>
      <c r="P82" s="9" t="str">
        <f t="shared" si="126"/>
        <v/>
      </c>
      <c r="Q82" s="18">
        <f t="shared" si="99"/>
        <v>-1.1581197738005675</v>
      </c>
      <c r="R82" s="102">
        <f t="shared" si="100"/>
        <v>-1.1028084835646064</v>
      </c>
      <c r="S82" s="18">
        <f t="shared" si="101"/>
        <v>-1.1073447020497025</v>
      </c>
      <c r="T82" s="136">
        <f t="shared" si="127"/>
        <v>-0.40413930761311961</v>
      </c>
      <c r="U82" s="6"/>
      <c r="V82" s="243">
        <f>IF(V81&gt;'goal seek'!$F$28,MAX($AC$7,V81*(1+X82)),MAX($AC$7,V81+W81))</f>
        <v>-4.3499999999999996</v>
      </c>
      <c r="W82" s="14">
        <f t="shared" si="102"/>
        <v>0</v>
      </c>
      <c r="X82" s="135">
        <f t="shared" ref="X82:X96" si="146">X81+$AC$10</f>
        <v>-0.44337794729326518</v>
      </c>
      <c r="Y82" s="9" t="str">
        <f t="shared" si="128"/>
        <v/>
      </c>
      <c r="Z82" s="18">
        <f t="shared" si="103"/>
        <v>-1.1581197738005675</v>
      </c>
      <c r="AA82" s="102">
        <f t="shared" si="104"/>
        <v>-1.1028084835646064</v>
      </c>
      <c r="AB82" s="18">
        <f t="shared" si="105"/>
        <v>-1.1073447020497025</v>
      </c>
      <c r="AC82" s="136">
        <f t="shared" si="129"/>
        <v>-0.40413930761311961</v>
      </c>
      <c r="AD82" s="6"/>
      <c r="AE82" s="243">
        <f>IF(AE81&gt;'goal seek'!$F$28,MAX($AL$7,AE81*(1+AG82)),MAX($AL$7,AE81+AF81))</f>
        <v>-4.3499999999999996</v>
      </c>
      <c r="AF82" s="14">
        <f t="shared" si="66"/>
        <v>0</v>
      </c>
      <c r="AG82" s="135">
        <f t="shared" si="106"/>
        <v>-2.3303847505259663</v>
      </c>
      <c r="AH82" s="9" t="str">
        <f t="shared" si="130"/>
        <v/>
      </c>
      <c r="AI82" s="18">
        <f t="shared" si="107"/>
        <v>-1.1581197738005675</v>
      </c>
      <c r="AJ82" s="102">
        <f t="shared" si="67"/>
        <v>-1.1028084835646064</v>
      </c>
      <c r="AK82" s="18">
        <f t="shared" si="68"/>
        <v>-1.1073447020497025</v>
      </c>
      <c r="AL82" s="136">
        <f t="shared" si="131"/>
        <v>-0.40413930761311961</v>
      </c>
      <c r="AM82" s="6"/>
      <c r="AN82" s="243">
        <f>IF(AN81&gt;'goal seek'!$F$28,MAX($AL$7,AN81*(1+AP82)),MAX($AL$7,AN81+AO81))</f>
        <v>-4.3499999999999996</v>
      </c>
      <c r="AO82" s="14">
        <f t="shared" si="108"/>
        <v>0</v>
      </c>
      <c r="AP82" s="135">
        <f t="shared" si="132"/>
        <v>-0.19895533707535445</v>
      </c>
      <c r="AQ82" s="9" t="str">
        <f t="shared" si="133"/>
        <v/>
      </c>
      <c r="AR82" s="18">
        <f t="shared" si="109"/>
        <v>-1.1581197738005675</v>
      </c>
      <c r="AS82" s="102">
        <f t="shared" si="110"/>
        <v>-1.1028084835646064</v>
      </c>
      <c r="AT82" s="18">
        <f t="shared" si="111"/>
        <v>-1.1073447020497025</v>
      </c>
      <c r="AU82" s="136">
        <f t="shared" si="134"/>
        <v>-0.40413930761311961</v>
      </c>
      <c r="AV82" s="6"/>
      <c r="AW82" s="243">
        <f t="shared" si="135"/>
        <v>-4.3499999999999996</v>
      </c>
      <c r="AX82" s="730">
        <f t="shared" si="136"/>
        <v>0</v>
      </c>
      <c r="AY82" s="9">
        <f t="shared" si="137"/>
        <v>0</v>
      </c>
      <c r="AZ82" s="9">
        <f t="shared" si="138"/>
        <v>0</v>
      </c>
      <c r="BA82" s="18">
        <f t="shared" si="112"/>
        <v>-1.1581197738005675</v>
      </c>
      <c r="BB82" s="102">
        <f t="shared" si="113"/>
        <v>-1.1028084835646064</v>
      </c>
      <c r="BC82" s="18">
        <f t="shared" si="114"/>
        <v>-1.1073447020497025</v>
      </c>
      <c r="BD82" s="136">
        <f t="shared" si="139"/>
        <v>-0.40413930761311961</v>
      </c>
      <c r="BE82" s="6"/>
      <c r="BF82" s="243">
        <f t="shared" si="140"/>
        <v>4.6068093190151281E-5</v>
      </c>
      <c r="BG82" s="14">
        <f t="shared" si="115"/>
        <v>-1.2207260959582584E-5</v>
      </c>
      <c r="BH82" s="9"/>
      <c r="BI82" s="9">
        <f t="shared" si="141"/>
        <v>-0.20947553451527734</v>
      </c>
      <c r="BJ82" s="18">
        <f t="shared" si="116"/>
        <v>-0.99999832545368394</v>
      </c>
      <c r="BK82" s="102">
        <f t="shared" si="117"/>
        <v>-0.99999891122050533</v>
      </c>
      <c r="BL82" s="18">
        <f t="shared" si="118"/>
        <v>-0.99999886318029019</v>
      </c>
      <c r="BM82" s="136">
        <f t="shared" si="142"/>
        <v>4.2799832838906688E-6</v>
      </c>
      <c r="BP82" s="540">
        <f t="shared" si="119"/>
        <v>481.331016588686</v>
      </c>
      <c r="BQ82" s="541">
        <f t="shared" si="120"/>
        <v>481.80216887574363</v>
      </c>
      <c r="BR82" s="541">
        <f t="shared" si="121"/>
        <v>481.14815702270812</v>
      </c>
      <c r="BS82" s="541">
        <f t="shared" si="122"/>
        <v>481.73960747883996</v>
      </c>
      <c r="BT82" s="541">
        <f t="shared" si="143"/>
        <v>481.62553407093378</v>
      </c>
      <c r="BU82" s="541">
        <f t="shared" si="144"/>
        <v>481.66474112288574</v>
      </c>
      <c r="BV82" s="540">
        <f t="shared" si="90"/>
        <v>61.331016588685998</v>
      </c>
      <c r="BW82" s="541">
        <f t="shared" si="91"/>
        <v>61.802168875743632</v>
      </c>
      <c r="BX82" s="541">
        <f t="shared" si="92"/>
        <v>61.148157022708119</v>
      </c>
      <c r="BY82" s="541">
        <f t="shared" si="93"/>
        <v>61.739607478839957</v>
      </c>
      <c r="BZ82" s="541">
        <f t="shared" si="94"/>
        <v>61.625534070933782</v>
      </c>
      <c r="CA82" s="542">
        <f t="shared" si="94"/>
        <v>61.664741122885744</v>
      </c>
    </row>
    <row r="83" spans="1:79" x14ac:dyDescent="0.2">
      <c r="A83" s="239">
        <f t="shared" si="123"/>
        <v>69</v>
      </c>
      <c r="B83" s="822">
        <v>10776129.373</v>
      </c>
      <c r="C83" s="239">
        <f t="shared" si="124"/>
        <v>2087</v>
      </c>
      <c r="E83" s="254">
        <f>IF(E82&gt;$K$10,MAX($K$7,E82*(1+$K$9)),MAX($K$7,scenarios!E82+scenarios!F82))</f>
        <v>-4.3499999999999996</v>
      </c>
      <c r="F83" s="14">
        <f t="shared" si="95"/>
        <v>0</v>
      </c>
      <c r="G83" s="9" t="str">
        <f t="shared" si="125"/>
        <v/>
      </c>
      <c r="H83" s="18">
        <f t="shared" si="88"/>
        <v>-1.1581197738005675</v>
      </c>
      <c r="I83" s="102">
        <f t="shared" si="96"/>
        <v>-1.1028084835646064</v>
      </c>
      <c r="J83" s="18">
        <f t="shared" si="97"/>
        <v>-1.1073447020497025</v>
      </c>
      <c r="K83" s="136">
        <f t="shared" si="89"/>
        <v>-0.40366998663723264</v>
      </c>
      <c r="L83" s="263"/>
      <c r="M83" s="243">
        <f>IF(M82&gt;'goal seek'!$F$28,MAX($T$7,M82*(1+O83)),MAX($T$7,M82+N82))</f>
        <v>-4.3499999999999996</v>
      </c>
      <c r="N83" s="14">
        <f t="shared" si="98"/>
        <v>0</v>
      </c>
      <c r="O83" s="135">
        <f t="shared" si="145"/>
        <v>-5</v>
      </c>
      <c r="P83" s="9" t="str">
        <f t="shared" si="126"/>
        <v/>
      </c>
      <c r="Q83" s="18">
        <f t="shared" si="99"/>
        <v>-1.1581197738005675</v>
      </c>
      <c r="R83" s="102">
        <f t="shared" si="100"/>
        <v>-1.1028084835646064</v>
      </c>
      <c r="S83" s="18">
        <f t="shared" si="101"/>
        <v>-1.1073447020497025</v>
      </c>
      <c r="T83" s="136">
        <f t="shared" si="127"/>
        <v>-0.40366998663723264</v>
      </c>
      <c r="U83" s="6"/>
      <c r="V83" s="243">
        <f>IF(V82&gt;'goal seek'!$F$28,MAX($AC$7,V82*(1+X83)),MAX($AC$7,V82+W82))</f>
        <v>-4.3499999999999996</v>
      </c>
      <c r="W83" s="14">
        <f t="shared" si="102"/>
        <v>0</v>
      </c>
      <c r="X83" s="135">
        <f t="shared" si="146"/>
        <v>-0.44985337073710252</v>
      </c>
      <c r="Y83" s="9" t="str">
        <f t="shared" si="128"/>
        <v/>
      </c>
      <c r="Z83" s="18">
        <f t="shared" si="103"/>
        <v>-1.1581197738005675</v>
      </c>
      <c r="AA83" s="102">
        <f t="shared" si="104"/>
        <v>-1.1028084835646064</v>
      </c>
      <c r="AB83" s="18">
        <f t="shared" si="105"/>
        <v>-1.1073447020497025</v>
      </c>
      <c r="AC83" s="136">
        <f t="shared" si="129"/>
        <v>-0.40366998663723264</v>
      </c>
      <c r="AD83" s="6"/>
      <c r="AE83" s="243">
        <f>IF(AE82&gt;'goal seek'!$F$28,MAX($AL$7,AE82*(1+AG83)),MAX($AL$7,AE82+AF82))</f>
        <v>-4.3499999999999996</v>
      </c>
      <c r="AF83" s="14">
        <f t="shared" si="66"/>
        <v>0</v>
      </c>
      <c r="AG83" s="135">
        <f t="shared" si="106"/>
        <v>-2.4010489313845418</v>
      </c>
      <c r="AH83" s="9" t="str">
        <f t="shared" si="130"/>
        <v/>
      </c>
      <c r="AI83" s="18">
        <f t="shared" si="107"/>
        <v>-1.1581197738005675</v>
      </c>
      <c r="AJ83" s="102">
        <f t="shared" si="67"/>
        <v>-1.1028084835646064</v>
      </c>
      <c r="AK83" s="18">
        <f t="shared" si="68"/>
        <v>-1.1073447020497025</v>
      </c>
      <c r="AL83" s="136">
        <f t="shared" si="131"/>
        <v>-0.40366998663723264</v>
      </c>
      <c r="AM83" s="6"/>
      <c r="AN83" s="243">
        <f>IF(AN82&gt;'goal seek'!$F$28,MAX($AL$7,AN82*(1+AP83)),MAX($AL$7,AN82+AO82))</f>
        <v>-4.3499999999999996</v>
      </c>
      <c r="AO83" s="14">
        <f t="shared" si="108"/>
        <v>0</v>
      </c>
      <c r="AP83" s="135">
        <f t="shared" si="132"/>
        <v>-0.20034665245315036</v>
      </c>
      <c r="AQ83" s="9" t="str">
        <f t="shared" si="133"/>
        <v/>
      </c>
      <c r="AR83" s="18">
        <f t="shared" si="109"/>
        <v>-1.1581197738005675</v>
      </c>
      <c r="AS83" s="102">
        <f t="shared" si="110"/>
        <v>-1.1028084835646064</v>
      </c>
      <c r="AT83" s="18">
        <f t="shared" si="111"/>
        <v>-1.1073447020497025</v>
      </c>
      <c r="AU83" s="136">
        <f t="shared" si="134"/>
        <v>-0.40366998663723264</v>
      </c>
      <c r="AV83" s="6"/>
      <c r="AW83" s="243">
        <f t="shared" si="135"/>
        <v>-4.3499999999999996</v>
      </c>
      <c r="AX83" s="730">
        <f t="shared" si="136"/>
        <v>0</v>
      </c>
      <c r="AY83" s="9">
        <f t="shared" si="137"/>
        <v>0</v>
      </c>
      <c r="AZ83" s="9">
        <f t="shared" si="138"/>
        <v>0</v>
      </c>
      <c r="BA83" s="18">
        <f t="shared" si="112"/>
        <v>-1.1581197738005675</v>
      </c>
      <c r="BB83" s="102">
        <f t="shared" si="113"/>
        <v>-1.1028084835646064</v>
      </c>
      <c r="BC83" s="18">
        <f t="shared" si="114"/>
        <v>-1.1073447020497025</v>
      </c>
      <c r="BD83" s="136">
        <f t="shared" si="139"/>
        <v>-0.40366998663723264</v>
      </c>
      <c r="BE83" s="6"/>
      <c r="BF83" s="243">
        <f t="shared" si="140"/>
        <v>3.6410642515178335E-5</v>
      </c>
      <c r="BG83" s="14">
        <f t="shared" si="115"/>
        <v>-9.657450674972946E-6</v>
      </c>
      <c r="BH83" s="9"/>
      <c r="BI83" s="9">
        <f t="shared" si="141"/>
        <v>-0.20963426107329264</v>
      </c>
      <c r="BJ83" s="18">
        <f t="shared" si="116"/>
        <v>-0.99999867649596352</v>
      </c>
      <c r="BK83" s="102">
        <f t="shared" si="117"/>
        <v>-0.99999913946599017</v>
      </c>
      <c r="BL83" s="18">
        <f t="shared" si="118"/>
        <v>-0.99999910149665006</v>
      </c>
      <c r="BM83" s="136">
        <f t="shared" si="142"/>
        <v>3.3788238109322054E-6</v>
      </c>
      <c r="BP83" s="540">
        <f t="shared" si="119"/>
        <v>476.98101658868597</v>
      </c>
      <c r="BQ83" s="541">
        <f t="shared" si="120"/>
        <v>477.45216887574361</v>
      </c>
      <c r="BR83" s="541">
        <f t="shared" si="121"/>
        <v>476.7981570227081</v>
      </c>
      <c r="BS83" s="541">
        <f t="shared" si="122"/>
        <v>477.38960747883993</v>
      </c>
      <c r="BT83" s="541">
        <f t="shared" si="143"/>
        <v>477.27553407093376</v>
      </c>
      <c r="BU83" s="541">
        <f t="shared" si="144"/>
        <v>477.31474112288572</v>
      </c>
      <c r="BV83" s="540">
        <f t="shared" si="90"/>
        <v>56.981016588685975</v>
      </c>
      <c r="BW83" s="541">
        <f t="shared" si="91"/>
        <v>57.45216887574361</v>
      </c>
      <c r="BX83" s="541">
        <f t="shared" si="92"/>
        <v>56.798157022708097</v>
      </c>
      <c r="BY83" s="541">
        <f t="shared" si="93"/>
        <v>57.389607478839935</v>
      </c>
      <c r="BZ83" s="541">
        <f t="shared" si="94"/>
        <v>57.275534070933759</v>
      </c>
      <c r="CA83" s="542">
        <f t="shared" si="94"/>
        <v>57.314741122885721</v>
      </c>
    </row>
    <row r="84" spans="1:79" x14ac:dyDescent="0.2">
      <c r="A84" s="239">
        <f t="shared" si="123"/>
        <v>70</v>
      </c>
      <c r="B84" s="822">
        <v>10787962.319</v>
      </c>
      <c r="C84" s="239">
        <f t="shared" si="124"/>
        <v>2088</v>
      </c>
      <c r="E84" s="254">
        <f>IF(E83&gt;$K$10,MAX($K$7,E83*(1+$K$9)),MAX($K$7,scenarios!E83+scenarios!F83))</f>
        <v>-4.3499999999999996</v>
      </c>
      <c r="F84" s="14">
        <f t="shared" si="95"/>
        <v>0</v>
      </c>
      <c r="G84" s="9" t="str">
        <f t="shared" si="125"/>
        <v/>
      </c>
      <c r="H84" s="18">
        <f t="shared" si="88"/>
        <v>-1.1581197738005675</v>
      </c>
      <c r="I84" s="102">
        <f t="shared" si="96"/>
        <v>-1.1028084835646064</v>
      </c>
      <c r="J84" s="18">
        <f t="shared" si="97"/>
        <v>-1.1073447020497025</v>
      </c>
      <c r="K84" s="136">
        <f t="shared" si="89"/>
        <v>-0.40322721486880642</v>
      </c>
      <c r="L84" s="263"/>
      <c r="M84" s="243">
        <f>IF(M83&gt;'goal seek'!$F$28,MAX($T$7,M83*(1+O84)),MAX($T$7,M83+N83))</f>
        <v>-4.3499999999999996</v>
      </c>
      <c r="N84" s="14">
        <f t="shared" si="98"/>
        <v>0</v>
      </c>
      <c r="O84" s="135">
        <f t="shared" si="145"/>
        <v>-5</v>
      </c>
      <c r="P84" s="9" t="str">
        <f t="shared" si="126"/>
        <v/>
      </c>
      <c r="Q84" s="18">
        <f t="shared" si="99"/>
        <v>-1.1581197738005675</v>
      </c>
      <c r="R84" s="102">
        <f t="shared" si="100"/>
        <v>-1.1028084835646064</v>
      </c>
      <c r="S84" s="18">
        <f t="shared" si="101"/>
        <v>-1.1073447020497025</v>
      </c>
      <c r="T84" s="136">
        <f t="shared" si="127"/>
        <v>-0.40322721486880642</v>
      </c>
      <c r="U84" s="6"/>
      <c r="V84" s="243">
        <f>IF(V83&gt;'goal seek'!$F$28,MAX($AC$7,V83*(1+X84)),MAX($AC$7,V83+W83))</f>
        <v>-4.3499999999999996</v>
      </c>
      <c r="W84" s="14">
        <f t="shared" si="102"/>
        <v>0</v>
      </c>
      <c r="X84" s="135">
        <f t="shared" si="146"/>
        <v>-0.45632879418093986</v>
      </c>
      <c r="Y84" s="9" t="str">
        <f t="shared" si="128"/>
        <v/>
      </c>
      <c r="Z84" s="18">
        <f t="shared" si="103"/>
        <v>-1.1581197738005675</v>
      </c>
      <c r="AA84" s="102">
        <f t="shared" si="104"/>
        <v>-1.1028084835646064</v>
      </c>
      <c r="AB84" s="18">
        <f t="shared" si="105"/>
        <v>-1.1073447020497025</v>
      </c>
      <c r="AC84" s="136">
        <f t="shared" si="129"/>
        <v>-0.40322721486880642</v>
      </c>
      <c r="AD84" s="6"/>
      <c r="AE84" s="243">
        <f>IF(AE83&gt;'goal seek'!$F$28,MAX($AL$7,AE83*(1+AG84)),MAX($AL$7,AE83+AF83))</f>
        <v>-4.3499999999999996</v>
      </c>
      <c r="AF84" s="14">
        <f t="shared" si="66"/>
        <v>0</v>
      </c>
      <c r="AG84" s="135">
        <f t="shared" si="106"/>
        <v>-2.4727757315041479</v>
      </c>
      <c r="AH84" s="9" t="str">
        <f t="shared" si="130"/>
        <v/>
      </c>
      <c r="AI84" s="18">
        <f t="shared" si="107"/>
        <v>-1.1581197738005675</v>
      </c>
      <c r="AJ84" s="102">
        <f t="shared" si="67"/>
        <v>-1.1028084835646064</v>
      </c>
      <c r="AK84" s="18">
        <f t="shared" si="68"/>
        <v>-1.1073447020497025</v>
      </c>
      <c r="AL84" s="136">
        <f t="shared" si="131"/>
        <v>-0.40322721486880642</v>
      </c>
      <c r="AM84" s="6"/>
      <c r="AN84" s="243">
        <f>IF(AN83&gt;'goal seek'!$F$28,MAX($AL$7,AN83*(1+AP84)),MAX($AL$7,AN83+AO83))</f>
        <v>-4.3499999999999996</v>
      </c>
      <c r="AO84" s="14">
        <f t="shared" si="108"/>
        <v>0</v>
      </c>
      <c r="AP84" s="135">
        <f t="shared" si="132"/>
        <v>-0.20172754555264188</v>
      </c>
      <c r="AQ84" s="9" t="str">
        <f t="shared" si="133"/>
        <v/>
      </c>
      <c r="AR84" s="18">
        <f t="shared" si="109"/>
        <v>-1.1581197738005675</v>
      </c>
      <c r="AS84" s="102">
        <f t="shared" si="110"/>
        <v>-1.1028084835646064</v>
      </c>
      <c r="AT84" s="18">
        <f t="shared" si="111"/>
        <v>-1.1073447020497025</v>
      </c>
      <c r="AU84" s="136">
        <f t="shared" si="134"/>
        <v>-0.40322721486880642</v>
      </c>
      <c r="AV84" s="6"/>
      <c r="AW84" s="243">
        <f t="shared" si="135"/>
        <v>-4.3499999999999996</v>
      </c>
      <c r="AX84" s="730">
        <f t="shared" si="136"/>
        <v>0</v>
      </c>
      <c r="AY84" s="9">
        <f t="shared" si="137"/>
        <v>0</v>
      </c>
      <c r="AZ84" s="9">
        <f t="shared" si="138"/>
        <v>0</v>
      </c>
      <c r="BA84" s="18">
        <f t="shared" si="112"/>
        <v>-1.1581197738005675</v>
      </c>
      <c r="BB84" s="102">
        <f t="shared" si="113"/>
        <v>-1.1028084835646064</v>
      </c>
      <c r="BC84" s="18">
        <f t="shared" si="114"/>
        <v>-1.1073447020497025</v>
      </c>
      <c r="BD84" s="136">
        <f t="shared" si="139"/>
        <v>-0.40322721486880642</v>
      </c>
      <c r="BE84" s="6"/>
      <c r="BF84" s="243">
        <f t="shared" si="140"/>
        <v>2.8772106537307176E-5</v>
      </c>
      <c r="BG84" s="14">
        <f t="shared" si="115"/>
        <v>-7.6385359778711592E-6</v>
      </c>
      <c r="BH84" s="9"/>
      <c r="BI84" s="9">
        <f t="shared" si="141"/>
        <v>-0.20978855219835568</v>
      </c>
      <c r="BJ84" s="18">
        <f t="shared" si="116"/>
        <v>-0.99999895415195916</v>
      </c>
      <c r="BK84" s="102">
        <f t="shared" si="117"/>
        <v>-0.9999993199961742</v>
      </c>
      <c r="BL84" s="18">
        <f t="shared" si="118"/>
        <v>-0.99999928999236698</v>
      </c>
      <c r="BM84" s="136">
        <f t="shared" si="142"/>
        <v>2.6670566402176897E-6</v>
      </c>
      <c r="BP84" s="540">
        <f t="shared" si="119"/>
        <v>472.63101658868595</v>
      </c>
      <c r="BQ84" s="541">
        <f t="shared" si="120"/>
        <v>473.10216887574359</v>
      </c>
      <c r="BR84" s="541">
        <f t="shared" si="121"/>
        <v>472.44815702270807</v>
      </c>
      <c r="BS84" s="541">
        <f t="shared" si="122"/>
        <v>473.03960747883991</v>
      </c>
      <c r="BT84" s="541">
        <f t="shared" si="143"/>
        <v>472.92553407093374</v>
      </c>
      <c r="BU84" s="541">
        <f t="shared" si="144"/>
        <v>472.9647411228857</v>
      </c>
      <c r="BV84" s="540">
        <f t="shared" si="90"/>
        <v>52.631016588685952</v>
      </c>
      <c r="BW84" s="541">
        <f t="shared" si="91"/>
        <v>53.102168875743587</v>
      </c>
      <c r="BX84" s="541">
        <f t="shared" si="92"/>
        <v>52.448157022708074</v>
      </c>
      <c r="BY84" s="541">
        <f t="shared" si="93"/>
        <v>53.039607478839912</v>
      </c>
      <c r="BZ84" s="541">
        <f t="shared" si="94"/>
        <v>52.925534070933736</v>
      </c>
      <c r="CA84" s="542">
        <f t="shared" si="94"/>
        <v>52.964741122885698</v>
      </c>
    </row>
    <row r="85" spans="1:79" x14ac:dyDescent="0.2">
      <c r="A85" s="239">
        <f t="shared" si="123"/>
        <v>71</v>
      </c>
      <c r="B85" s="822">
        <v>10799112.048</v>
      </c>
      <c r="C85" s="239">
        <f t="shared" si="124"/>
        <v>2089</v>
      </c>
      <c r="E85" s="254">
        <f>IF(E84&gt;$K$10,MAX($K$7,E84*(1+$K$9)),MAX($K$7,scenarios!E84+scenarios!F84))</f>
        <v>-4.3499999999999996</v>
      </c>
      <c r="F85" s="14">
        <f t="shared" si="95"/>
        <v>0</v>
      </c>
      <c r="G85" s="9" t="str">
        <f t="shared" si="125"/>
        <v/>
      </c>
      <c r="H85" s="18">
        <f t="shared" si="88"/>
        <v>-1.1581197738005675</v>
      </c>
      <c r="I85" s="102">
        <f t="shared" si="96"/>
        <v>-1.1028084835646064</v>
      </c>
      <c r="J85" s="18">
        <f t="shared" si="97"/>
        <v>-1.1073447020497025</v>
      </c>
      <c r="K85" s="136">
        <f t="shared" si="89"/>
        <v>-0.40281089599451109</v>
      </c>
      <c r="L85" s="263"/>
      <c r="M85" s="243">
        <f>IF(M84&gt;'goal seek'!$F$28,MAX($T$7,M84*(1+O85)),MAX($T$7,M84+N84))</f>
        <v>-4.3499999999999996</v>
      </c>
      <c r="N85" s="14">
        <f t="shared" si="98"/>
        <v>0</v>
      </c>
      <c r="O85" s="135">
        <f t="shared" si="145"/>
        <v>-5</v>
      </c>
      <c r="P85" s="9" t="str">
        <f t="shared" si="126"/>
        <v/>
      </c>
      <c r="Q85" s="18">
        <f t="shared" si="99"/>
        <v>-1.1581197738005675</v>
      </c>
      <c r="R85" s="102">
        <f t="shared" si="100"/>
        <v>-1.1028084835646064</v>
      </c>
      <c r="S85" s="18">
        <f t="shared" si="101"/>
        <v>-1.1073447020497025</v>
      </c>
      <c r="T85" s="136">
        <f t="shared" si="127"/>
        <v>-0.40281089599451109</v>
      </c>
      <c r="U85" s="6"/>
      <c r="V85" s="243">
        <f>IF(V84&gt;'goal seek'!$F$28,MAX($AC$7,V84*(1+X85)),MAX($AC$7,V84+W84))</f>
        <v>-4.3499999999999996</v>
      </c>
      <c r="W85" s="14">
        <f t="shared" si="102"/>
        <v>0</v>
      </c>
      <c r="X85" s="135">
        <f t="shared" si="146"/>
        <v>-0.46280421762477719</v>
      </c>
      <c r="Y85" s="9" t="str">
        <f t="shared" si="128"/>
        <v/>
      </c>
      <c r="Z85" s="18">
        <f t="shared" si="103"/>
        <v>-1.1581197738005675</v>
      </c>
      <c r="AA85" s="102">
        <f t="shared" si="104"/>
        <v>-1.1028084835646064</v>
      </c>
      <c r="AB85" s="18">
        <f t="shared" si="105"/>
        <v>-1.1073447020497025</v>
      </c>
      <c r="AC85" s="136">
        <f t="shared" si="129"/>
        <v>-0.40281089599451109</v>
      </c>
      <c r="AD85" s="6"/>
      <c r="AE85" s="243">
        <f>IF(AE84&gt;'goal seek'!$F$28,MAX($AL$7,AE84*(1+AG85)),MAX($AL$7,AE84+AF84))</f>
        <v>-4.3499999999999996</v>
      </c>
      <c r="AF85" s="14">
        <f t="shared" si="66"/>
        <v>0</v>
      </c>
      <c r="AG85" s="135">
        <f t="shared" si="106"/>
        <v>-2.5455651508847854</v>
      </c>
      <c r="AH85" s="9" t="str">
        <f t="shared" si="130"/>
        <v/>
      </c>
      <c r="AI85" s="18">
        <f t="shared" si="107"/>
        <v>-1.1581197738005675</v>
      </c>
      <c r="AJ85" s="102">
        <f t="shared" si="67"/>
        <v>-1.1028084835646064</v>
      </c>
      <c r="AK85" s="18">
        <f t="shared" si="68"/>
        <v>-1.1073447020497025</v>
      </c>
      <c r="AL85" s="136">
        <f t="shared" si="131"/>
        <v>-0.40281089599451109</v>
      </c>
      <c r="AM85" s="6"/>
      <c r="AN85" s="243">
        <f>IF(AN84&gt;'goal seek'!$F$28,MAX($AL$7,AN84*(1+AP85)),MAX($AL$7,AN84+AO84))</f>
        <v>-4.3499999999999996</v>
      </c>
      <c r="AO85" s="14">
        <f t="shared" si="108"/>
        <v>0</v>
      </c>
      <c r="AP85" s="135">
        <f t="shared" si="132"/>
        <v>-0.20309824714126729</v>
      </c>
      <c r="AQ85" s="9" t="str">
        <f t="shared" si="133"/>
        <v/>
      </c>
      <c r="AR85" s="18">
        <f t="shared" si="109"/>
        <v>-1.1581197738005675</v>
      </c>
      <c r="AS85" s="102">
        <f t="shared" si="110"/>
        <v>-1.1028084835646064</v>
      </c>
      <c r="AT85" s="18">
        <f t="shared" si="111"/>
        <v>-1.1073447020497025</v>
      </c>
      <c r="AU85" s="136">
        <f t="shared" si="134"/>
        <v>-0.40281089599451109</v>
      </c>
      <c r="AV85" s="6"/>
      <c r="AW85" s="243">
        <f t="shared" si="135"/>
        <v>-4.3499999999999996</v>
      </c>
      <c r="AX85" s="730">
        <f t="shared" si="136"/>
        <v>0</v>
      </c>
      <c r="AY85" s="9">
        <f t="shared" si="137"/>
        <v>0</v>
      </c>
      <c r="AZ85" s="9">
        <f t="shared" si="138"/>
        <v>0</v>
      </c>
      <c r="BA85" s="18">
        <f t="shared" si="112"/>
        <v>-1.1581197738005675</v>
      </c>
      <c r="BB85" s="102">
        <f t="shared" si="113"/>
        <v>-1.1028084835646064</v>
      </c>
      <c r="BC85" s="18">
        <f t="shared" si="114"/>
        <v>-1.1073447020497025</v>
      </c>
      <c r="BD85" s="136">
        <f t="shared" si="139"/>
        <v>-0.40281089599451109</v>
      </c>
      <c r="BE85" s="6"/>
      <c r="BF85" s="243">
        <f t="shared" si="140"/>
        <v>2.2731731023758545E-5</v>
      </c>
      <c r="BG85" s="14">
        <f t="shared" si="115"/>
        <v>-6.0403755135486311E-6</v>
      </c>
      <c r="BH85" s="9"/>
      <c r="BI85" s="9">
        <f t="shared" si="141"/>
        <v>-0.20993859124344671</v>
      </c>
      <c r="BJ85" s="18">
        <f t="shared" si="116"/>
        <v>-0.99999917371582348</v>
      </c>
      <c r="BK85" s="102">
        <f t="shared" si="117"/>
        <v>-0.99999946275521945</v>
      </c>
      <c r="BL85" s="18">
        <f t="shared" si="118"/>
        <v>-0.99999943905036925</v>
      </c>
      <c r="BM85" s="136">
        <f t="shared" si="142"/>
        <v>2.1049629749853804E-6</v>
      </c>
      <c r="BP85" s="540">
        <f t="shared" si="119"/>
        <v>468.28101658868593</v>
      </c>
      <c r="BQ85" s="541">
        <f t="shared" si="120"/>
        <v>468.75216887574356</v>
      </c>
      <c r="BR85" s="541">
        <f t="shared" si="121"/>
        <v>468.09815702270805</v>
      </c>
      <c r="BS85" s="541">
        <f t="shared" si="122"/>
        <v>468.68960747883989</v>
      </c>
      <c r="BT85" s="541">
        <f t="shared" si="143"/>
        <v>468.57553407093371</v>
      </c>
      <c r="BU85" s="541">
        <f t="shared" si="144"/>
        <v>468.61474112288568</v>
      </c>
      <c r="BV85" s="540">
        <f t="shared" si="90"/>
        <v>48.281016588685929</v>
      </c>
      <c r="BW85" s="541">
        <f t="shared" si="91"/>
        <v>48.752168875743564</v>
      </c>
      <c r="BX85" s="541">
        <f t="shared" si="92"/>
        <v>48.098157022708051</v>
      </c>
      <c r="BY85" s="541">
        <f t="shared" si="93"/>
        <v>48.689607478839889</v>
      </c>
      <c r="BZ85" s="541">
        <f t="shared" si="94"/>
        <v>48.575534070933713</v>
      </c>
      <c r="CA85" s="542">
        <f t="shared" si="94"/>
        <v>48.614741122885675</v>
      </c>
    </row>
    <row r="86" spans="1:79" x14ac:dyDescent="0.2">
      <c r="A86" s="239">
        <f t="shared" si="123"/>
        <v>72</v>
      </c>
      <c r="B86" s="822">
        <v>10809575.801999999</v>
      </c>
      <c r="C86" s="239">
        <f t="shared" si="124"/>
        <v>2090</v>
      </c>
      <c r="E86" s="254">
        <f>IF(E85&gt;$K$10,MAX($K$7,E85*(1+$K$9)),MAX($K$7,scenarios!E85+scenarios!F85))</f>
        <v>-4.3499999999999996</v>
      </c>
      <c r="F86" s="14">
        <f t="shared" si="95"/>
        <v>0</v>
      </c>
      <c r="G86" s="9" t="str">
        <f t="shared" si="125"/>
        <v/>
      </c>
      <c r="H86" s="18">
        <f t="shared" si="88"/>
        <v>-1.1581197738005675</v>
      </c>
      <c r="I86" s="102">
        <f t="shared" si="96"/>
        <v>-1.1028084835646064</v>
      </c>
      <c r="J86" s="18">
        <f t="shared" si="97"/>
        <v>-1.1073447020497025</v>
      </c>
      <c r="K86" s="136">
        <f t="shared" si="89"/>
        <v>-0.40242097189374981</v>
      </c>
      <c r="L86" s="263"/>
      <c r="M86" s="243">
        <f>IF(M85&gt;'goal seek'!$F$28,MAX($T$7,M85*(1+O86)),MAX($T$7,M85+N85))</f>
        <v>-4.3499999999999996</v>
      </c>
      <c r="N86" s="14">
        <f t="shared" si="98"/>
        <v>0</v>
      </c>
      <c r="O86" s="135">
        <f t="shared" si="145"/>
        <v>-5</v>
      </c>
      <c r="P86" s="9" t="str">
        <f t="shared" si="126"/>
        <v/>
      </c>
      <c r="Q86" s="18">
        <f t="shared" si="99"/>
        <v>-1.1581197738005675</v>
      </c>
      <c r="R86" s="102">
        <f t="shared" si="100"/>
        <v>-1.1028084835646064</v>
      </c>
      <c r="S86" s="18">
        <f t="shared" si="101"/>
        <v>-1.1073447020497025</v>
      </c>
      <c r="T86" s="136">
        <f t="shared" si="127"/>
        <v>-0.40242097189374981</v>
      </c>
      <c r="U86" s="6"/>
      <c r="V86" s="243">
        <f>IF(V85&gt;'goal seek'!$F$28,MAX($AC$7,V85*(1+X86)),MAX($AC$7,V85+W85))</f>
        <v>-4.3499999999999996</v>
      </c>
      <c r="W86" s="14">
        <f t="shared" si="102"/>
        <v>0</v>
      </c>
      <c r="X86" s="135">
        <f t="shared" si="146"/>
        <v>-0.46927964106861453</v>
      </c>
      <c r="Y86" s="9" t="str">
        <f t="shared" si="128"/>
        <v/>
      </c>
      <c r="Z86" s="18">
        <f t="shared" si="103"/>
        <v>-1.1581197738005675</v>
      </c>
      <c r="AA86" s="102">
        <f t="shared" si="104"/>
        <v>-1.1028084835646064</v>
      </c>
      <c r="AB86" s="18">
        <f t="shared" si="105"/>
        <v>-1.1073447020497025</v>
      </c>
      <c r="AC86" s="136">
        <f t="shared" si="129"/>
        <v>-0.40242097189374981</v>
      </c>
      <c r="AD86" s="6"/>
      <c r="AE86" s="243">
        <f>IF(AE85&gt;'goal seek'!$F$28,MAX($AL$7,AE85*(1+AG86)),MAX($AL$7,AE85+AF85))</f>
        <v>-4.3499999999999996</v>
      </c>
      <c r="AF86" s="14">
        <f t="shared" si="66"/>
        <v>0</v>
      </c>
      <c r="AG86" s="135">
        <f t="shared" si="106"/>
        <v>-2.6194171895264544</v>
      </c>
      <c r="AH86" s="9" t="str">
        <f t="shared" si="130"/>
        <v/>
      </c>
      <c r="AI86" s="18">
        <f t="shared" si="107"/>
        <v>-1.1581197738005675</v>
      </c>
      <c r="AJ86" s="102">
        <f t="shared" si="67"/>
        <v>-1.1028084835646064</v>
      </c>
      <c r="AK86" s="18">
        <f t="shared" si="68"/>
        <v>-1.1073447020497025</v>
      </c>
      <c r="AL86" s="136">
        <f t="shared" si="131"/>
        <v>-0.40242097189374981</v>
      </c>
      <c r="AM86" s="6"/>
      <c r="AN86" s="243">
        <f>IF(AN85&gt;'goal seek'!$F$28,MAX($AL$7,AN85*(1+AP86)),MAX($AL$7,AN85+AO85))</f>
        <v>-4.3499999999999996</v>
      </c>
      <c r="AO86" s="14">
        <f t="shared" si="108"/>
        <v>0</v>
      </c>
      <c r="AP86" s="135">
        <f t="shared" si="132"/>
        <v>-0.20445897959413017</v>
      </c>
      <c r="AQ86" s="9" t="str">
        <f t="shared" si="133"/>
        <v/>
      </c>
      <c r="AR86" s="18">
        <f t="shared" si="109"/>
        <v>-1.1581197738005675</v>
      </c>
      <c r="AS86" s="102">
        <f t="shared" si="110"/>
        <v>-1.1028084835646064</v>
      </c>
      <c r="AT86" s="18">
        <f t="shared" si="111"/>
        <v>-1.1073447020497025</v>
      </c>
      <c r="AU86" s="136">
        <f t="shared" si="134"/>
        <v>-0.40242097189374981</v>
      </c>
      <c r="AV86" s="6"/>
      <c r="AW86" s="243">
        <f t="shared" si="135"/>
        <v>-4.3499999999999996</v>
      </c>
      <c r="AX86" s="730">
        <f t="shared" si="136"/>
        <v>0</v>
      </c>
      <c r="AY86" s="9">
        <f t="shared" si="137"/>
        <v>0</v>
      </c>
      <c r="AZ86" s="9">
        <f t="shared" si="138"/>
        <v>0</v>
      </c>
      <c r="BA86" s="18">
        <f t="shared" si="112"/>
        <v>-1.1581197738005675</v>
      </c>
      <c r="BB86" s="102">
        <f t="shared" si="113"/>
        <v>-1.1028084835646064</v>
      </c>
      <c r="BC86" s="18">
        <f t="shared" si="114"/>
        <v>-1.1073447020497025</v>
      </c>
      <c r="BD86" s="136">
        <f t="shared" si="139"/>
        <v>-0.40242097189374981</v>
      </c>
      <c r="BE86" s="6"/>
      <c r="BF86" s="243">
        <f t="shared" si="140"/>
        <v>1.7956145504705306E-5</v>
      </c>
      <c r="BG86" s="14">
        <f t="shared" si="115"/>
        <v>-4.7755855190532396E-6</v>
      </c>
      <c r="BH86" s="9"/>
      <c r="BI86" s="9">
        <f t="shared" si="141"/>
        <v>-0.21008455159274653</v>
      </c>
      <c r="BJ86" s="18">
        <f t="shared" si="116"/>
        <v>-0.99999934730536422</v>
      </c>
      <c r="BK86" s="102">
        <f t="shared" si="117"/>
        <v>-0.99999957562204822</v>
      </c>
      <c r="BL86" s="18">
        <f t="shared" si="118"/>
        <v>-0.99999955689722086</v>
      </c>
      <c r="BM86" s="136">
        <f t="shared" si="142"/>
        <v>1.661133224245769E-6</v>
      </c>
      <c r="BP86" s="540">
        <f t="shared" si="119"/>
        <v>463.93101658868591</v>
      </c>
      <c r="BQ86" s="541">
        <f t="shared" si="120"/>
        <v>464.40216887574354</v>
      </c>
      <c r="BR86" s="541">
        <f t="shared" si="121"/>
        <v>463.74815702270803</v>
      </c>
      <c r="BS86" s="541">
        <f t="shared" si="122"/>
        <v>464.33960747883987</v>
      </c>
      <c r="BT86" s="541">
        <f t="shared" si="143"/>
        <v>464.22553407093369</v>
      </c>
      <c r="BU86" s="541">
        <f t="shared" si="144"/>
        <v>464.26474112288565</v>
      </c>
      <c r="BV86" s="540">
        <f t="shared" si="90"/>
        <v>43.931016588685907</v>
      </c>
      <c r="BW86" s="541">
        <f t="shared" si="91"/>
        <v>44.402168875743541</v>
      </c>
      <c r="BX86" s="541">
        <f t="shared" si="92"/>
        <v>43.748157022708028</v>
      </c>
      <c r="BY86" s="541">
        <f t="shared" si="93"/>
        <v>44.339607478839866</v>
      </c>
      <c r="BZ86" s="541">
        <f t="shared" si="94"/>
        <v>44.225534070933691</v>
      </c>
      <c r="CA86" s="542">
        <f t="shared" si="94"/>
        <v>44.264741122885653</v>
      </c>
    </row>
    <row r="87" spans="1:79" x14ac:dyDescent="0.2">
      <c r="A87" s="239">
        <f t="shared" si="123"/>
        <v>73</v>
      </c>
      <c r="B87" s="822">
        <v>10819350.483999999</v>
      </c>
      <c r="C87" s="239">
        <f t="shared" si="124"/>
        <v>2091</v>
      </c>
      <c r="E87" s="254">
        <f>IF(E86&gt;$K$10,MAX($K$7,E86*(1+$K$9)),MAX($K$7,scenarios!E86+scenarios!F86))</f>
        <v>-4.3499999999999996</v>
      </c>
      <c r="F87" s="14">
        <f t="shared" si="95"/>
        <v>0</v>
      </c>
      <c r="G87" s="9" t="str">
        <f t="shared" si="125"/>
        <v/>
      </c>
      <c r="H87" s="18">
        <f t="shared" si="88"/>
        <v>-1.1581197738005675</v>
      </c>
      <c r="I87" s="102">
        <f t="shared" si="96"/>
        <v>-1.1028084835646064</v>
      </c>
      <c r="J87" s="18">
        <f t="shared" si="97"/>
        <v>-1.1073447020497025</v>
      </c>
      <c r="K87" s="136">
        <f t="shared" si="89"/>
        <v>-0.40205740690561037</v>
      </c>
      <c r="L87" s="263"/>
      <c r="M87" s="243">
        <f>IF(M86&gt;'goal seek'!$F$28,MAX($T$7,M86*(1+O87)),MAX($T$7,M86+N86))</f>
        <v>-4.3499999999999996</v>
      </c>
      <c r="N87" s="14">
        <f t="shared" si="98"/>
        <v>0</v>
      </c>
      <c r="O87" s="135">
        <f t="shared" si="145"/>
        <v>-5</v>
      </c>
      <c r="P87" s="9" t="str">
        <f t="shared" si="126"/>
        <v/>
      </c>
      <c r="Q87" s="18">
        <f t="shared" si="99"/>
        <v>-1.1581197738005675</v>
      </c>
      <c r="R87" s="102">
        <f t="shared" si="100"/>
        <v>-1.1028084835646064</v>
      </c>
      <c r="S87" s="18">
        <f t="shared" si="101"/>
        <v>-1.1073447020497025</v>
      </c>
      <c r="T87" s="136">
        <f t="shared" si="127"/>
        <v>-0.40205740690561037</v>
      </c>
      <c r="U87" s="6"/>
      <c r="V87" s="243">
        <f>IF(V86&gt;'goal seek'!$F$28,MAX($AC$7,V86*(1+X87)),MAX($AC$7,V86+W86))</f>
        <v>-4.3499999999999996</v>
      </c>
      <c r="W87" s="14">
        <f t="shared" ref="W87:W96" si="147">V87-V86</f>
        <v>0</v>
      </c>
      <c r="X87" s="135">
        <f t="shared" si="146"/>
        <v>-0.47575506451245186</v>
      </c>
      <c r="Y87" s="9" t="str">
        <f t="shared" si="128"/>
        <v/>
      </c>
      <c r="Z87" s="18">
        <f t="shared" si="103"/>
        <v>-1.1581197738005675</v>
      </c>
      <c r="AA87" s="102">
        <f t="shared" si="104"/>
        <v>-1.1028084835646064</v>
      </c>
      <c r="AB87" s="18">
        <f t="shared" ref="AB87:AB96" si="148">(V87-$AB$14)/$AB$14</f>
        <v>-1.1073447020497025</v>
      </c>
      <c r="AC87" s="136">
        <f t="shared" si="129"/>
        <v>-0.40205740690561037</v>
      </c>
      <c r="AD87" s="6"/>
      <c r="AE87" s="243">
        <f>IF(AE86&gt;'goal seek'!$F$28,MAX($AL$7,AE86*(1+AG87)),MAX($AL$7,AE86+AF86))</f>
        <v>-4.3499999999999996</v>
      </c>
      <c r="AF87" s="14">
        <f t="shared" si="66"/>
        <v>0</v>
      </c>
      <c r="AG87" s="135">
        <f t="shared" si="106"/>
        <v>-2.6943318474291544</v>
      </c>
      <c r="AH87" s="9" t="str">
        <f t="shared" si="130"/>
        <v/>
      </c>
      <c r="AI87" s="18">
        <f t="shared" si="107"/>
        <v>-1.1581197738005675</v>
      </c>
      <c r="AJ87" s="102">
        <f t="shared" si="67"/>
        <v>-1.1028084835646064</v>
      </c>
      <c r="AK87" s="18">
        <f t="shared" si="68"/>
        <v>-1.1073447020497025</v>
      </c>
      <c r="AL87" s="136">
        <f t="shared" si="131"/>
        <v>-0.40205740690561037</v>
      </c>
      <c r="AM87" s="6"/>
      <c r="AN87" s="243">
        <f>IF(AN86&gt;'goal seek'!$F$28,MAX($AL$7,AN86*(1+AP87)),MAX($AL$7,AN86+AO86))</f>
        <v>-4.3499999999999996</v>
      </c>
      <c r="AO87" s="14">
        <f t="shared" si="108"/>
        <v>0</v>
      </c>
      <c r="AP87" s="135">
        <f t="shared" si="132"/>
        <v>-0.20580995731517043</v>
      </c>
      <c r="AQ87" s="9" t="str">
        <f t="shared" si="133"/>
        <v/>
      </c>
      <c r="AR87" s="18">
        <f t="shared" si="109"/>
        <v>-1.1581197738005675</v>
      </c>
      <c r="AS87" s="102">
        <f t="shared" si="110"/>
        <v>-1.1028084835646064</v>
      </c>
      <c r="AT87" s="18">
        <f t="shared" si="111"/>
        <v>-1.1073447020497025</v>
      </c>
      <c r="AU87" s="136">
        <f t="shared" si="134"/>
        <v>-0.40205740690561037</v>
      </c>
      <c r="AV87" s="6"/>
      <c r="AW87" s="243">
        <f t="shared" si="135"/>
        <v>-4.3499999999999996</v>
      </c>
      <c r="AX87" s="730">
        <f t="shared" si="136"/>
        <v>0</v>
      </c>
      <c r="AY87" s="9">
        <f t="shared" si="137"/>
        <v>0</v>
      </c>
      <c r="AZ87" s="9">
        <f t="shared" si="138"/>
        <v>0</v>
      </c>
      <c r="BA87" s="18">
        <f t="shared" si="112"/>
        <v>-1.1581197738005675</v>
      </c>
      <c r="BB87" s="102">
        <f t="shared" si="113"/>
        <v>-1.1028084835646064</v>
      </c>
      <c r="BC87" s="18">
        <f t="shared" si="114"/>
        <v>-1.1073447020497025</v>
      </c>
      <c r="BD87" s="136">
        <f t="shared" si="139"/>
        <v>-0.40205740690561037</v>
      </c>
      <c r="BE87" s="6"/>
      <c r="BF87" s="243">
        <f t="shared" si="140"/>
        <v>1.4181286134081569E-5</v>
      </c>
      <c r="BG87" s="14">
        <f t="shared" si="115"/>
        <v>-3.7748593706237363E-6</v>
      </c>
      <c r="BH87" s="9"/>
      <c r="BI87" s="9">
        <f t="shared" si="141"/>
        <v>-0.21022659733039895</v>
      </c>
      <c r="BJ87" s="18">
        <f t="shared" si="116"/>
        <v>-0.99999948451913667</v>
      </c>
      <c r="BK87" s="102">
        <f t="shared" si="117"/>
        <v>-0.99999966483758107</v>
      </c>
      <c r="BL87" s="18">
        <f t="shared" si="118"/>
        <v>-0.99999965004921043</v>
      </c>
      <c r="BM87" s="136">
        <f t="shared" si="142"/>
        <v>1.3107335930242122E-6</v>
      </c>
      <c r="BP87" s="540">
        <f t="shared" si="119"/>
        <v>459.58101658868588</v>
      </c>
      <c r="BQ87" s="541">
        <f t="shared" si="120"/>
        <v>460.05216887574352</v>
      </c>
      <c r="BR87" s="541">
        <f t="shared" si="121"/>
        <v>459.39815702270801</v>
      </c>
      <c r="BS87" s="541">
        <f t="shared" si="122"/>
        <v>459.98960747883984</v>
      </c>
      <c r="BT87" s="541">
        <f t="shared" si="143"/>
        <v>459.87553407093367</v>
      </c>
      <c r="BU87" s="541">
        <f t="shared" si="144"/>
        <v>459.91474112288563</v>
      </c>
      <c r="BV87" s="540">
        <f t="shared" si="90"/>
        <v>39.581016588685884</v>
      </c>
      <c r="BW87" s="541">
        <f t="shared" si="91"/>
        <v>40.052168875743519</v>
      </c>
      <c r="BX87" s="541">
        <f t="shared" si="92"/>
        <v>39.398157022708006</v>
      </c>
      <c r="BY87" s="541">
        <f t="shared" si="93"/>
        <v>39.989607478839844</v>
      </c>
      <c r="BZ87" s="541">
        <f t="shared" si="94"/>
        <v>39.875534070933668</v>
      </c>
      <c r="CA87" s="542">
        <f t="shared" si="94"/>
        <v>39.91474112288563</v>
      </c>
    </row>
    <row r="88" spans="1:79" x14ac:dyDescent="0.2">
      <c r="A88" s="239">
        <f t="shared" si="123"/>
        <v>74</v>
      </c>
      <c r="B88" s="822">
        <v>10828432.708000001</v>
      </c>
      <c r="C88" s="239">
        <f t="shared" si="124"/>
        <v>2092</v>
      </c>
      <c r="E88" s="254">
        <f>IF(E87&gt;$K$10,MAX($K$7,E87*(1+$K$9)),MAX($K$7,scenarios!E87+scenarios!F87))</f>
        <v>-4.3499999999999996</v>
      </c>
      <c r="F88" s="14">
        <f t="shared" si="95"/>
        <v>0</v>
      </c>
      <c r="G88" s="9" t="str">
        <f t="shared" si="125"/>
        <v/>
      </c>
      <c r="H88" s="18">
        <f t="shared" si="88"/>
        <v>-1.1581197738005675</v>
      </c>
      <c r="I88" s="102">
        <f t="shared" si="96"/>
        <v>-1.1028084835646064</v>
      </c>
      <c r="J88" s="18">
        <f t="shared" si="97"/>
        <v>-1.1073447020497025</v>
      </c>
      <c r="K88" s="136">
        <f t="shared" si="89"/>
        <v>-0.4017201858572052</v>
      </c>
      <c r="L88" s="263"/>
      <c r="M88" s="243">
        <f>IF(M87&gt;'goal seek'!$F$28,MAX($T$7,M87*(1+O88)),MAX($T$7,M87+N87))</f>
        <v>-4.3499999999999996</v>
      </c>
      <c r="N88" s="14">
        <f t="shared" si="98"/>
        <v>0</v>
      </c>
      <c r="O88" s="135">
        <f t="shared" si="145"/>
        <v>-5</v>
      </c>
      <c r="P88" s="9" t="str">
        <f t="shared" si="126"/>
        <v/>
      </c>
      <c r="Q88" s="18">
        <f t="shared" si="99"/>
        <v>-1.1581197738005675</v>
      </c>
      <c r="R88" s="102">
        <f t="shared" si="100"/>
        <v>-1.1028084835646064</v>
      </c>
      <c r="S88" s="18">
        <f t="shared" si="101"/>
        <v>-1.1073447020497025</v>
      </c>
      <c r="T88" s="136">
        <f t="shared" si="127"/>
        <v>-0.4017201858572052</v>
      </c>
      <c r="U88" s="6"/>
      <c r="V88" s="243">
        <f>IF(V87&gt;'goal seek'!$F$28,MAX($AC$7,V87*(1+X88)),MAX($AC$7,V87+W87))</f>
        <v>-4.3499999999999996</v>
      </c>
      <c r="W88" s="14">
        <f t="shared" si="147"/>
        <v>0</v>
      </c>
      <c r="X88" s="135">
        <f t="shared" si="146"/>
        <v>-0.4822304879562892</v>
      </c>
      <c r="Y88" s="9" t="str">
        <f t="shared" si="128"/>
        <v/>
      </c>
      <c r="Z88" s="18">
        <f t="shared" si="103"/>
        <v>-1.1581197738005675</v>
      </c>
      <c r="AA88" s="102">
        <f t="shared" si="104"/>
        <v>-1.1028084835646064</v>
      </c>
      <c r="AB88" s="18">
        <f t="shared" si="148"/>
        <v>-1.1073447020497025</v>
      </c>
      <c r="AC88" s="136">
        <f t="shared" si="129"/>
        <v>-0.4017201858572052</v>
      </c>
      <c r="AD88" s="6"/>
      <c r="AE88" s="243">
        <f>IF(AE87&gt;'goal seek'!$F$28,MAX($AL$7,AE87*(1+AG88)),MAX($AL$7,AE87+AF87))</f>
        <v>-4.3499999999999996</v>
      </c>
      <c r="AF88" s="14">
        <f t="shared" si="66"/>
        <v>0</v>
      </c>
      <c r="AG88" s="135">
        <f t="shared" si="106"/>
        <v>-2.7703091245928855</v>
      </c>
      <c r="AH88" s="9" t="str">
        <f t="shared" si="130"/>
        <v/>
      </c>
      <c r="AI88" s="18">
        <f t="shared" si="107"/>
        <v>-1.1581197738005675</v>
      </c>
      <c r="AJ88" s="102">
        <f t="shared" si="67"/>
        <v>-1.1028084835646064</v>
      </c>
      <c r="AK88" s="18">
        <f t="shared" si="68"/>
        <v>-1.1073447020497025</v>
      </c>
      <c r="AL88" s="136">
        <f t="shared" si="131"/>
        <v>-0.4017201858572052</v>
      </c>
      <c r="AM88" s="6"/>
      <c r="AN88" s="243">
        <f>IF(AN87&gt;'goal seek'!$F$28,MAX($AL$7,AN87*(1+AP88)),MAX($AL$7,AN87+AO87))</f>
        <v>-4.3499999999999996</v>
      </c>
      <c r="AO88" s="14">
        <f t="shared" si="108"/>
        <v>0</v>
      </c>
      <c r="AP88" s="135">
        <f t="shared" si="132"/>
        <v>-0.20715138713154263</v>
      </c>
      <c r="AQ88" s="9" t="str">
        <f t="shared" si="133"/>
        <v/>
      </c>
      <c r="AR88" s="18">
        <f t="shared" si="109"/>
        <v>-1.1581197738005675</v>
      </c>
      <c r="AS88" s="102">
        <f t="shared" si="110"/>
        <v>-1.1028084835646064</v>
      </c>
      <c r="AT88" s="18">
        <f t="shared" si="111"/>
        <v>-1.1073447020497025</v>
      </c>
      <c r="AU88" s="136">
        <f t="shared" si="134"/>
        <v>-0.4017201858572052</v>
      </c>
      <c r="AV88" s="6"/>
      <c r="AW88" s="243">
        <f t="shared" si="135"/>
        <v>-4.3499999999999996</v>
      </c>
      <c r="AX88" s="730">
        <f t="shared" si="136"/>
        <v>0</v>
      </c>
      <c r="AY88" s="9">
        <f t="shared" si="137"/>
        <v>0</v>
      </c>
      <c r="AZ88" s="9">
        <f t="shared" si="138"/>
        <v>0</v>
      </c>
      <c r="BA88" s="18">
        <f t="shared" si="112"/>
        <v>-1.1581197738005675</v>
      </c>
      <c r="BB88" s="102">
        <f t="shared" si="113"/>
        <v>-1.1028084835646064</v>
      </c>
      <c r="BC88" s="18">
        <f t="shared" si="114"/>
        <v>-1.1073447020497025</v>
      </c>
      <c r="BD88" s="136">
        <f t="shared" si="139"/>
        <v>-0.4017201858572052</v>
      </c>
      <c r="BE88" s="6"/>
      <c r="BF88" s="243">
        <f t="shared" si="140"/>
        <v>1.1198041523564572E-5</v>
      </c>
      <c r="BG88" s="14">
        <f t="shared" si="115"/>
        <v>-2.9832446105169971E-6</v>
      </c>
      <c r="BH88" s="9"/>
      <c r="BI88" s="9">
        <f t="shared" si="141"/>
        <v>-0.21036488385545171</v>
      </c>
      <c r="BJ88" s="18">
        <f t="shared" si="116"/>
        <v>-0.99999959295820862</v>
      </c>
      <c r="BK88" s="102">
        <f t="shared" si="117"/>
        <v>-0.99999973534398434</v>
      </c>
      <c r="BL88" s="18">
        <f t="shared" si="118"/>
        <v>-0.99999972366656753</v>
      </c>
      <c r="BM88" s="136">
        <f t="shared" si="142"/>
        <v>1.034133177490359E-6</v>
      </c>
      <c r="BP88" s="540">
        <f t="shared" si="119"/>
        <v>455.23101658868586</v>
      </c>
      <c r="BQ88" s="541">
        <f t="shared" si="120"/>
        <v>455.7021688757435</v>
      </c>
      <c r="BR88" s="541">
        <f t="shared" si="121"/>
        <v>455.04815702270798</v>
      </c>
      <c r="BS88" s="541">
        <f t="shared" si="122"/>
        <v>455.63960747883982</v>
      </c>
      <c r="BT88" s="541">
        <f t="shared" si="143"/>
        <v>455.52553407093365</v>
      </c>
      <c r="BU88" s="541">
        <f t="shared" si="144"/>
        <v>455.56474112288561</v>
      </c>
      <c r="BV88" s="540">
        <f t="shared" si="90"/>
        <v>35.231016588685861</v>
      </c>
      <c r="BW88" s="541">
        <f t="shared" si="91"/>
        <v>35.702168875743496</v>
      </c>
      <c r="BX88" s="541">
        <f t="shared" si="92"/>
        <v>35.048157022707983</v>
      </c>
      <c r="BY88" s="541">
        <f t="shared" si="93"/>
        <v>35.639607478839821</v>
      </c>
      <c r="BZ88" s="541">
        <f t="shared" si="94"/>
        <v>35.525534070933645</v>
      </c>
      <c r="CA88" s="542">
        <f t="shared" si="94"/>
        <v>35.564741122885607</v>
      </c>
    </row>
    <row r="89" spans="1:79" x14ac:dyDescent="0.2">
      <c r="A89" s="239">
        <f t="shared" si="123"/>
        <v>75</v>
      </c>
      <c r="B89" s="822">
        <v>10836817.175000001</v>
      </c>
      <c r="C89" s="239">
        <f t="shared" si="124"/>
        <v>2093</v>
      </c>
      <c r="E89" s="254">
        <f>IF(E88&gt;$K$10,MAX($K$7,E88*(1+$K$9)),MAX($K$7,scenarios!E88+scenarios!F88))</f>
        <v>-4.3499999999999996</v>
      </c>
      <c r="F89" s="14">
        <f t="shared" si="95"/>
        <v>0</v>
      </c>
      <c r="G89" s="9" t="str">
        <f t="shared" si="125"/>
        <v/>
      </c>
      <c r="H89" s="18">
        <f t="shared" si="88"/>
        <v>-1.1581197738005675</v>
      </c>
      <c r="I89" s="102">
        <f t="shared" si="96"/>
        <v>-1.1028084835646064</v>
      </c>
      <c r="J89" s="18">
        <f t="shared" si="97"/>
        <v>-1.1073447020497025</v>
      </c>
      <c r="K89" s="136">
        <f t="shared" si="89"/>
        <v>-0.40140937415048711</v>
      </c>
      <c r="L89" s="263"/>
      <c r="M89" s="243">
        <f>IF(M88&gt;'goal seek'!$F$28,MAX($T$7,M88*(1+O89)),MAX($T$7,M88+N88))</f>
        <v>-4.3499999999999996</v>
      </c>
      <c r="N89" s="14">
        <f t="shared" si="98"/>
        <v>0</v>
      </c>
      <c r="O89" s="135">
        <f t="shared" si="145"/>
        <v>-5</v>
      </c>
      <c r="P89" s="9" t="str">
        <f t="shared" si="126"/>
        <v/>
      </c>
      <c r="Q89" s="18">
        <f t="shared" si="99"/>
        <v>-1.1581197738005675</v>
      </c>
      <c r="R89" s="102">
        <f t="shared" si="100"/>
        <v>-1.1028084835646064</v>
      </c>
      <c r="S89" s="18">
        <f t="shared" si="101"/>
        <v>-1.1073447020497025</v>
      </c>
      <c r="T89" s="136">
        <f t="shared" si="127"/>
        <v>-0.40140937415048711</v>
      </c>
      <c r="U89" s="6"/>
      <c r="V89" s="243">
        <f>IF(V88&gt;'goal seek'!$F$28,MAX($AC$7,V88*(1+X89)),MAX($AC$7,V88+W88))</f>
        <v>-4.3499999999999996</v>
      </c>
      <c r="W89" s="14">
        <f t="shared" si="147"/>
        <v>0</v>
      </c>
      <c r="X89" s="135">
        <f t="shared" si="146"/>
        <v>-0.48870591140012654</v>
      </c>
      <c r="Y89" s="9" t="str">
        <f t="shared" si="128"/>
        <v/>
      </c>
      <c r="Z89" s="18">
        <f t="shared" si="103"/>
        <v>-1.1581197738005675</v>
      </c>
      <c r="AA89" s="102">
        <f t="shared" si="104"/>
        <v>-1.1028084835646064</v>
      </c>
      <c r="AB89" s="18">
        <f t="shared" si="148"/>
        <v>-1.1073447020497025</v>
      </c>
      <c r="AC89" s="136">
        <f t="shared" si="129"/>
        <v>-0.40140937415048711</v>
      </c>
      <c r="AD89" s="6"/>
      <c r="AE89" s="243">
        <f>IF(AE88&gt;'goal seek'!$F$28,MAX($AL$7,AE88*(1+AG89)),MAX($AL$7,AE88+AF88))</f>
        <v>-4.3499999999999996</v>
      </c>
      <c r="AF89" s="14">
        <f t="shared" si="66"/>
        <v>0</v>
      </c>
      <c r="AG89" s="135">
        <f t="shared" si="106"/>
        <v>-2.847349021017648</v>
      </c>
      <c r="AH89" s="9" t="str">
        <f t="shared" si="130"/>
        <v/>
      </c>
      <c r="AI89" s="18">
        <f t="shared" si="107"/>
        <v>-1.1581197738005675</v>
      </c>
      <c r="AJ89" s="102">
        <f t="shared" si="67"/>
        <v>-1.1028084835646064</v>
      </c>
      <c r="AK89" s="18">
        <f t="shared" si="68"/>
        <v>-1.1073447020497025</v>
      </c>
      <c r="AL89" s="136">
        <f t="shared" si="131"/>
        <v>-0.40140937415048711</v>
      </c>
      <c r="AM89" s="6"/>
      <c r="AN89" s="243">
        <f>IF(AN88&gt;'goal seek'!$F$28,MAX($AL$7,AN88*(1+AP89)),MAX($AL$7,AN88+AO88))</f>
        <v>-4.3499999999999996</v>
      </c>
      <c r="AO89" s="14">
        <f t="shared" si="108"/>
        <v>0</v>
      </c>
      <c r="AP89" s="135">
        <f t="shared" si="132"/>
        <v>-0.20848346866325679</v>
      </c>
      <c r="AQ89" s="9" t="str">
        <f t="shared" si="133"/>
        <v/>
      </c>
      <c r="AR89" s="18">
        <f t="shared" si="109"/>
        <v>-1.1581197738005675</v>
      </c>
      <c r="AS89" s="102">
        <f t="shared" si="110"/>
        <v>-1.1028084835646064</v>
      </c>
      <c r="AT89" s="18">
        <f t="shared" si="111"/>
        <v>-1.1073447020497025</v>
      </c>
      <c r="AU89" s="136">
        <f t="shared" si="134"/>
        <v>-0.40140937415048711</v>
      </c>
      <c r="AV89" s="6"/>
      <c r="AW89" s="243">
        <f t="shared" si="135"/>
        <v>-4.3499999999999996</v>
      </c>
      <c r="AX89" s="730">
        <f t="shared" si="136"/>
        <v>0</v>
      </c>
      <c r="AY89" s="9">
        <f t="shared" si="137"/>
        <v>0</v>
      </c>
      <c r="AZ89" s="9">
        <f t="shared" si="138"/>
        <v>0</v>
      </c>
      <c r="BA89" s="18">
        <f t="shared" si="112"/>
        <v>-1.1581197738005675</v>
      </c>
      <c r="BB89" s="102">
        <f t="shared" si="113"/>
        <v>-1.1028084835646064</v>
      </c>
      <c r="BC89" s="18">
        <f t="shared" si="114"/>
        <v>-1.1073447020497025</v>
      </c>
      <c r="BD89" s="136">
        <f t="shared" si="139"/>
        <v>-0.40140937415048711</v>
      </c>
      <c r="BE89" s="6"/>
      <c r="BF89" s="243">
        <f t="shared" si="140"/>
        <v>8.8408587273567027E-6</v>
      </c>
      <c r="BG89" s="14">
        <f t="shared" si="115"/>
        <v>-2.3571827962078694E-6</v>
      </c>
      <c r="BH89" s="9"/>
      <c r="BI89" s="9">
        <f t="shared" si="141"/>
        <v>-0.21049955844935364</v>
      </c>
      <c r="BJ89" s="18">
        <f t="shared" si="116"/>
        <v>-0.99999967864032602</v>
      </c>
      <c r="BK89" s="102">
        <f t="shared" si="117"/>
        <v>-0.99999979105395886</v>
      </c>
      <c r="BL89" s="18">
        <f t="shared" si="118"/>
        <v>-0.99999978183463312</v>
      </c>
      <c r="BM89" s="136">
        <f t="shared" si="142"/>
        <v>8.1581691234508634E-7</v>
      </c>
      <c r="BP89" s="540">
        <f t="shared" si="119"/>
        <v>450.88101658868584</v>
      </c>
      <c r="BQ89" s="541">
        <f t="shared" si="120"/>
        <v>451.35216887574347</v>
      </c>
      <c r="BR89" s="541">
        <f t="shared" si="121"/>
        <v>450.69815702270796</v>
      </c>
      <c r="BS89" s="541">
        <f t="shared" si="122"/>
        <v>451.2896074788398</v>
      </c>
      <c r="BT89" s="541">
        <f t="shared" si="143"/>
        <v>451.17553407093362</v>
      </c>
      <c r="BU89" s="541">
        <f t="shared" si="144"/>
        <v>451.21474112288558</v>
      </c>
      <c r="BV89" s="540">
        <f t="shared" si="90"/>
        <v>30.881016588685839</v>
      </c>
      <c r="BW89" s="541">
        <f t="shared" si="91"/>
        <v>31.352168875743473</v>
      </c>
      <c r="BX89" s="541">
        <f t="shared" si="92"/>
        <v>30.69815702270796</v>
      </c>
      <c r="BY89" s="541">
        <f t="shared" si="93"/>
        <v>31.289607478839798</v>
      </c>
      <c r="BZ89" s="541">
        <f t="shared" si="94"/>
        <v>31.175534070933622</v>
      </c>
      <c r="CA89" s="542">
        <f t="shared" si="94"/>
        <v>31.214741122885584</v>
      </c>
    </row>
    <row r="90" spans="1:79" x14ac:dyDescent="0.2">
      <c r="A90" s="239">
        <f t="shared" si="123"/>
        <v>76</v>
      </c>
      <c r="B90" s="822">
        <v>10844496.726</v>
      </c>
      <c r="C90" s="239">
        <f t="shared" si="124"/>
        <v>2094</v>
      </c>
      <c r="E90" s="254">
        <f>IF(E89&gt;$K$10,MAX($K$7,E89*(1+$K$9)),MAX($K$7,scenarios!E89+scenarios!F89))</f>
        <v>-4.3499999999999996</v>
      </c>
      <c r="F90" s="14">
        <f t="shared" si="95"/>
        <v>0</v>
      </c>
      <c r="G90" s="9" t="str">
        <f t="shared" si="125"/>
        <v/>
      </c>
      <c r="H90" s="18">
        <f t="shared" si="88"/>
        <v>-1.1581197738005675</v>
      </c>
      <c r="I90" s="102">
        <f t="shared" si="96"/>
        <v>-1.1028084835646064</v>
      </c>
      <c r="J90" s="18">
        <f t="shared" si="97"/>
        <v>-1.1073447020497025</v>
      </c>
      <c r="K90" s="136">
        <f t="shared" si="89"/>
        <v>-0.40112511533806333</v>
      </c>
      <c r="L90" s="263"/>
      <c r="M90" s="243">
        <f>IF(M89&gt;'goal seek'!$F$28,MAX($T$7,M89*(1+O90)),MAX($T$7,M89+N89))</f>
        <v>-4.3499999999999996</v>
      </c>
      <c r="N90" s="14">
        <f t="shared" si="98"/>
        <v>0</v>
      </c>
      <c r="O90" s="135">
        <f t="shared" si="145"/>
        <v>-5</v>
      </c>
      <c r="P90" s="9" t="str">
        <f t="shared" si="126"/>
        <v/>
      </c>
      <c r="Q90" s="18">
        <f t="shared" si="99"/>
        <v>-1.1581197738005675</v>
      </c>
      <c r="R90" s="102">
        <f t="shared" si="100"/>
        <v>-1.1028084835646064</v>
      </c>
      <c r="S90" s="18">
        <f t="shared" si="101"/>
        <v>-1.1073447020497025</v>
      </c>
      <c r="T90" s="136">
        <f t="shared" si="127"/>
        <v>-0.40112511533806333</v>
      </c>
      <c r="U90" s="6"/>
      <c r="V90" s="243">
        <f>IF(V89&gt;'goal seek'!$F$28,MAX($AC$7,V89*(1+X90)),MAX($AC$7,V89+W89))</f>
        <v>-4.3499999999999996</v>
      </c>
      <c r="W90" s="14">
        <f t="shared" si="147"/>
        <v>0</v>
      </c>
      <c r="X90" s="135">
        <f t="shared" si="146"/>
        <v>-0.49518133484396387</v>
      </c>
      <c r="Y90" s="9" t="str">
        <f t="shared" si="128"/>
        <v/>
      </c>
      <c r="Z90" s="18">
        <f t="shared" si="103"/>
        <v>-1.1581197738005675</v>
      </c>
      <c r="AA90" s="102">
        <f t="shared" si="104"/>
        <v>-1.1028084835646064</v>
      </c>
      <c r="AB90" s="18">
        <f t="shared" si="148"/>
        <v>-1.1073447020497025</v>
      </c>
      <c r="AC90" s="136">
        <f t="shared" si="129"/>
        <v>-0.40112511533806333</v>
      </c>
      <c r="AD90" s="6"/>
      <c r="AE90" s="243">
        <f>IF(AE89&gt;'goal seek'!$F$28,MAX($AL$7,AE89*(1+AG90)),MAX($AL$7,AE89+AF89))</f>
        <v>-4.3499999999999996</v>
      </c>
      <c r="AF90" s="14">
        <f t="shared" si="66"/>
        <v>0</v>
      </c>
      <c r="AG90" s="135">
        <f t="shared" si="106"/>
        <v>-2.9254515367034415</v>
      </c>
      <c r="AH90" s="9" t="str">
        <f t="shared" si="130"/>
        <v/>
      </c>
      <c r="AI90" s="18">
        <f t="shared" si="107"/>
        <v>-1.1581197738005675</v>
      </c>
      <c r="AJ90" s="102">
        <f t="shared" si="67"/>
        <v>-1.1028084835646064</v>
      </c>
      <c r="AK90" s="18">
        <f t="shared" si="68"/>
        <v>-1.1073447020497025</v>
      </c>
      <c r="AL90" s="136">
        <f t="shared" si="131"/>
        <v>-0.40112511533806333</v>
      </c>
      <c r="AM90" s="6"/>
      <c r="AN90" s="243">
        <f>IF(AN89&gt;'goal seek'!$F$28,MAX($AL$7,AN89*(1+AP90)),MAX($AL$7,AN89+AO89))</f>
        <v>-4.3499999999999996</v>
      </c>
      <c r="AO90" s="14">
        <f t="shared" si="108"/>
        <v>0</v>
      </c>
      <c r="AP90" s="135">
        <f t="shared" si="132"/>
        <v>-0.20980639466995149</v>
      </c>
      <c r="AQ90" s="9" t="str">
        <f t="shared" si="133"/>
        <v/>
      </c>
      <c r="AR90" s="18">
        <f t="shared" si="109"/>
        <v>-1.1581197738005675</v>
      </c>
      <c r="AS90" s="102">
        <f t="shared" si="110"/>
        <v>-1.1028084835646064</v>
      </c>
      <c r="AT90" s="18">
        <f t="shared" si="111"/>
        <v>-1.1073447020497025</v>
      </c>
      <c r="AU90" s="136">
        <f t="shared" si="134"/>
        <v>-0.40112511533806333</v>
      </c>
      <c r="AV90" s="6"/>
      <c r="AW90" s="243">
        <f t="shared" si="135"/>
        <v>-4.3499999999999996</v>
      </c>
      <c r="AX90" s="730">
        <f t="shared" si="136"/>
        <v>0</v>
      </c>
      <c r="AY90" s="9">
        <f t="shared" si="137"/>
        <v>0</v>
      </c>
      <c r="AZ90" s="9">
        <f t="shared" si="138"/>
        <v>0</v>
      </c>
      <c r="BA90" s="18">
        <f t="shared" si="112"/>
        <v>-1.1581197738005675</v>
      </c>
      <c r="BB90" s="102">
        <f t="shared" si="113"/>
        <v>-1.1028084835646064</v>
      </c>
      <c r="BC90" s="18">
        <f t="shared" si="114"/>
        <v>-1.1073447020497025</v>
      </c>
      <c r="BD90" s="136">
        <f t="shared" si="139"/>
        <v>-0.40112511533806333</v>
      </c>
      <c r="BE90" s="6"/>
      <c r="BF90" s="243">
        <f t="shared" si="140"/>
        <v>6.9787019274989334E-6</v>
      </c>
      <c r="BG90" s="14">
        <f t="shared" si="115"/>
        <v>-1.8621567998577693E-6</v>
      </c>
      <c r="BH90" s="9"/>
      <c r="BI90" s="9">
        <f t="shared" si="141"/>
        <v>-0.21063076079879051</v>
      </c>
      <c r="BJ90" s="18">
        <f t="shared" si="116"/>
        <v>-0.99999974632855848</v>
      </c>
      <c r="BK90" s="102">
        <f t="shared" si="117"/>
        <v>-0.99999983506442247</v>
      </c>
      <c r="BL90" s="18">
        <f t="shared" si="118"/>
        <v>-0.99999982778697039</v>
      </c>
      <c r="BM90" s="136">
        <f t="shared" si="142"/>
        <v>6.4352473921332749E-7</v>
      </c>
      <c r="BP90" s="540">
        <f t="shared" si="119"/>
        <v>446.53101658868582</v>
      </c>
      <c r="BQ90" s="541">
        <f t="shared" si="120"/>
        <v>447.00216887574345</v>
      </c>
      <c r="BR90" s="541">
        <f t="shared" si="121"/>
        <v>446.34815702270794</v>
      </c>
      <c r="BS90" s="541">
        <f t="shared" si="122"/>
        <v>446.93960747883978</v>
      </c>
      <c r="BT90" s="541">
        <f t="shared" si="143"/>
        <v>446.8255340709336</v>
      </c>
      <c r="BU90" s="541">
        <f t="shared" si="144"/>
        <v>446.86474112288556</v>
      </c>
      <c r="BV90" s="540">
        <f t="shared" si="90"/>
        <v>26.531016588685816</v>
      </c>
      <c r="BW90" s="541">
        <f t="shared" si="91"/>
        <v>27.00216887574345</v>
      </c>
      <c r="BX90" s="541">
        <f t="shared" si="92"/>
        <v>26.348157022707937</v>
      </c>
      <c r="BY90" s="541">
        <f t="shared" si="93"/>
        <v>26.939607478839775</v>
      </c>
      <c r="BZ90" s="541">
        <f t="shared" si="94"/>
        <v>26.8255340709336</v>
      </c>
      <c r="CA90" s="542">
        <f t="shared" si="94"/>
        <v>26.864741122885562</v>
      </c>
    </row>
    <row r="91" spans="1:79" x14ac:dyDescent="0.2">
      <c r="A91" s="239">
        <f t="shared" si="123"/>
        <v>77</v>
      </c>
      <c r="B91" s="822">
        <v>10851460.596999999</v>
      </c>
      <c r="C91" s="239">
        <f t="shared" si="124"/>
        <v>2095</v>
      </c>
      <c r="E91" s="254">
        <f>IF(E90&gt;$K$10,MAX($K$7,E90*(1+$K$9)),MAX($K$7,scenarios!E90+scenarios!F90))</f>
        <v>-4.3499999999999996</v>
      </c>
      <c r="F91" s="14">
        <f t="shared" si="95"/>
        <v>0</v>
      </c>
      <c r="G91" s="9" t="str">
        <f t="shared" si="125"/>
        <v/>
      </c>
      <c r="H91" s="18">
        <f t="shared" si="88"/>
        <v>-1.1581197738005675</v>
      </c>
      <c r="I91" s="102">
        <f t="shared" si="96"/>
        <v>-1.1028084835646064</v>
      </c>
      <c r="J91" s="18">
        <f t="shared" si="97"/>
        <v>-1.1073447020497025</v>
      </c>
      <c r="K91" s="136">
        <f t="shared" si="89"/>
        <v>-0.40086769528542576</v>
      </c>
      <c r="L91" s="263"/>
      <c r="M91" s="243">
        <f>IF(M90&gt;'goal seek'!$F$28,MAX($T$7,M90*(1+O91)),MAX($T$7,M90+N90))</f>
        <v>-4.3499999999999996</v>
      </c>
      <c r="N91" s="14">
        <f t="shared" si="98"/>
        <v>0</v>
      </c>
      <c r="O91" s="135">
        <f t="shared" si="145"/>
        <v>-5</v>
      </c>
      <c r="P91" s="9" t="str">
        <f t="shared" si="126"/>
        <v/>
      </c>
      <c r="Q91" s="18">
        <f t="shared" si="99"/>
        <v>-1.1581197738005675</v>
      </c>
      <c r="R91" s="102">
        <f t="shared" si="100"/>
        <v>-1.1028084835646064</v>
      </c>
      <c r="S91" s="18">
        <f t="shared" si="101"/>
        <v>-1.1073447020497025</v>
      </c>
      <c r="T91" s="136">
        <f t="shared" si="127"/>
        <v>-0.40086769528542576</v>
      </c>
      <c r="U91" s="6"/>
      <c r="V91" s="243">
        <f>IF(V90&gt;'goal seek'!$F$28,MAX($AC$7,V90*(1+X91)),MAX($AC$7,V90+W90))</f>
        <v>-4.3499999999999996</v>
      </c>
      <c r="W91" s="14">
        <f t="shared" si="147"/>
        <v>0</v>
      </c>
      <c r="X91" s="135">
        <f t="shared" si="146"/>
        <v>-0.50165675828780121</v>
      </c>
      <c r="Y91" s="9" t="str">
        <f t="shared" si="128"/>
        <v/>
      </c>
      <c r="Z91" s="18">
        <f t="shared" si="103"/>
        <v>-1.1581197738005675</v>
      </c>
      <c r="AA91" s="102">
        <f t="shared" si="104"/>
        <v>-1.1028084835646064</v>
      </c>
      <c r="AB91" s="18">
        <f t="shared" si="148"/>
        <v>-1.1073447020497025</v>
      </c>
      <c r="AC91" s="136">
        <f t="shared" si="129"/>
        <v>-0.40086769528542576</v>
      </c>
      <c r="AD91" s="6"/>
      <c r="AE91" s="243">
        <f>IF(AE90&gt;'goal seek'!$F$28,MAX($AL$7,AE90*(1+AG91)),MAX($AL$7,AE90+AF90))</f>
        <v>-4.3499999999999996</v>
      </c>
      <c r="AF91" s="14">
        <f t="shared" si="66"/>
        <v>0</v>
      </c>
      <c r="AG91" s="135">
        <f t="shared" si="106"/>
        <v>-3.0046166716502665</v>
      </c>
      <c r="AH91" s="9" t="str">
        <f t="shared" si="130"/>
        <v/>
      </c>
      <c r="AI91" s="18">
        <f t="shared" si="107"/>
        <v>-1.1581197738005675</v>
      </c>
      <c r="AJ91" s="102">
        <f t="shared" si="67"/>
        <v>-1.1028084835646064</v>
      </c>
      <c r="AK91" s="18">
        <f t="shared" si="68"/>
        <v>-1.1073447020497025</v>
      </c>
      <c r="AL91" s="136">
        <f t="shared" si="131"/>
        <v>-0.40086769528542576</v>
      </c>
      <c r="AM91" s="6"/>
      <c r="AN91" s="243">
        <f>IF(AN90&gt;'goal seek'!$F$28,MAX($AL$7,AN90*(1+AP91)),MAX($AL$7,AN90+AO90))</f>
        <v>-4.3499999999999996</v>
      </c>
      <c r="AO91" s="14">
        <f t="shared" si="108"/>
        <v>0</v>
      </c>
      <c r="AP91" s="135">
        <f t="shared" si="132"/>
        <v>-0.2111203513765057</v>
      </c>
      <c r="AQ91" s="9" t="str">
        <f t="shared" si="133"/>
        <v/>
      </c>
      <c r="AR91" s="18">
        <f t="shared" si="109"/>
        <v>-1.1581197738005675</v>
      </c>
      <c r="AS91" s="102">
        <f t="shared" si="110"/>
        <v>-1.1028084835646064</v>
      </c>
      <c r="AT91" s="18">
        <f t="shared" si="111"/>
        <v>-1.1073447020497025</v>
      </c>
      <c r="AU91" s="136">
        <f t="shared" si="134"/>
        <v>-0.40086769528542576</v>
      </c>
      <c r="AV91" s="6"/>
      <c r="AW91" s="243">
        <f t="shared" si="135"/>
        <v>-4.3499999999999996</v>
      </c>
      <c r="AX91" s="730">
        <f t="shared" si="136"/>
        <v>0</v>
      </c>
      <c r="AY91" s="9">
        <f t="shared" si="137"/>
        <v>0</v>
      </c>
      <c r="AZ91" s="9">
        <f t="shared" si="138"/>
        <v>0</v>
      </c>
      <c r="BA91" s="18">
        <f t="shared" si="112"/>
        <v>-1.1581197738005675</v>
      </c>
      <c r="BB91" s="102">
        <f t="shared" si="113"/>
        <v>-1.1028084835646064</v>
      </c>
      <c r="BC91" s="18">
        <f t="shared" si="114"/>
        <v>-1.1073447020497025</v>
      </c>
      <c r="BD91" s="136">
        <f t="shared" si="139"/>
        <v>-0.40086769528542576</v>
      </c>
      <c r="BE91" s="6"/>
      <c r="BF91" s="243">
        <f t="shared" si="140"/>
        <v>5.5078803155863027E-6</v>
      </c>
      <c r="BG91" s="14">
        <f t="shared" si="115"/>
        <v>-1.4708216119126307E-6</v>
      </c>
      <c r="BH91" s="9"/>
      <c r="BI91" s="9">
        <f t="shared" si="141"/>
        <v>-0.21075862347938856</v>
      </c>
      <c r="BJ91" s="18">
        <f t="shared" si="116"/>
        <v>-0.99999979979200238</v>
      </c>
      <c r="BK91" s="102">
        <f t="shared" si="117"/>
        <v>-0.99999986982601774</v>
      </c>
      <c r="BL91" s="18">
        <f t="shared" si="118"/>
        <v>-0.99999986408235131</v>
      </c>
      <c r="BM91" s="136">
        <f t="shared" si="142"/>
        <v>5.0757041103840113E-7</v>
      </c>
      <c r="BP91" s="540">
        <f t="shared" si="119"/>
        <v>442.18101658868579</v>
      </c>
      <c r="BQ91" s="541">
        <f t="shared" si="120"/>
        <v>442.65216887574343</v>
      </c>
      <c r="BR91" s="541">
        <f t="shared" si="121"/>
        <v>441.99815702270791</v>
      </c>
      <c r="BS91" s="541">
        <f t="shared" si="122"/>
        <v>442.58960747883975</v>
      </c>
      <c r="BT91" s="541">
        <f t="shared" si="143"/>
        <v>442.47553407093358</v>
      </c>
      <c r="BU91" s="541">
        <f t="shared" si="144"/>
        <v>442.51474112288554</v>
      </c>
      <c r="BV91" s="540">
        <f t="shared" si="90"/>
        <v>22.181016588685793</v>
      </c>
      <c r="BW91" s="541">
        <f t="shared" si="91"/>
        <v>22.652168875743428</v>
      </c>
      <c r="BX91" s="541">
        <f t="shared" si="92"/>
        <v>21.998157022707915</v>
      </c>
      <c r="BY91" s="541">
        <f t="shared" si="93"/>
        <v>22.589607478839753</v>
      </c>
      <c r="BZ91" s="541">
        <f t="shared" si="94"/>
        <v>22.475534070933577</v>
      </c>
      <c r="CA91" s="542">
        <f t="shared" si="94"/>
        <v>22.514741122885539</v>
      </c>
    </row>
    <row r="92" spans="1:79" x14ac:dyDescent="0.2">
      <c r="A92" s="239">
        <f t="shared" si="123"/>
        <v>78</v>
      </c>
      <c r="B92" s="822">
        <v>10857694.249</v>
      </c>
      <c r="C92" s="239">
        <f t="shared" si="124"/>
        <v>2096</v>
      </c>
      <c r="E92" s="254">
        <f>IF(E91&gt;$K$10,MAX($K$7,E91*(1+$K$9)),MAX($K$7,scenarios!E91+scenarios!F91))</f>
        <v>-4.3499999999999996</v>
      </c>
      <c r="F92" s="14">
        <f t="shared" si="95"/>
        <v>0</v>
      </c>
      <c r="G92" s="9" t="str">
        <f t="shared" si="125"/>
        <v/>
      </c>
      <c r="H92" s="18">
        <f t="shared" si="88"/>
        <v>-1.1581197738005675</v>
      </c>
      <c r="I92" s="102">
        <f t="shared" si="96"/>
        <v>-1.1028084835646064</v>
      </c>
      <c r="J92" s="18">
        <f t="shared" si="97"/>
        <v>-1.1073447020497025</v>
      </c>
      <c r="K92" s="136">
        <f t="shared" si="89"/>
        <v>-0.40063754792143252</v>
      </c>
      <c r="L92" s="263"/>
      <c r="M92" s="243">
        <f>IF(M91&gt;'goal seek'!$F$28,MAX($T$7,M91*(1+O92)),MAX($T$7,M91+N91))</f>
        <v>-4.3499999999999996</v>
      </c>
      <c r="N92" s="14">
        <f t="shared" si="98"/>
        <v>0</v>
      </c>
      <c r="O92" s="135">
        <f t="shared" si="145"/>
        <v>-5</v>
      </c>
      <c r="P92" s="9" t="str">
        <f t="shared" si="126"/>
        <v/>
      </c>
      <c r="Q92" s="18">
        <f t="shared" si="99"/>
        <v>-1.1581197738005675</v>
      </c>
      <c r="R92" s="102">
        <f t="shared" si="100"/>
        <v>-1.1028084835646064</v>
      </c>
      <c r="S92" s="18">
        <f t="shared" si="101"/>
        <v>-1.1073447020497025</v>
      </c>
      <c r="T92" s="136">
        <f t="shared" si="127"/>
        <v>-0.40063754792143252</v>
      </c>
      <c r="U92" s="6"/>
      <c r="V92" s="243">
        <f>IF(V91&gt;'goal seek'!$F$28,MAX($AC$7,V91*(1+X92)),MAX($AC$7,V91+W91))</f>
        <v>-4.3499999999999996</v>
      </c>
      <c r="W92" s="14">
        <f t="shared" si="147"/>
        <v>0</v>
      </c>
      <c r="X92" s="135">
        <f t="shared" si="146"/>
        <v>-0.50813218173163854</v>
      </c>
      <c r="Y92" s="9" t="str">
        <f t="shared" si="128"/>
        <v/>
      </c>
      <c r="Z92" s="18">
        <f t="shared" si="103"/>
        <v>-1.1581197738005675</v>
      </c>
      <c r="AA92" s="102">
        <f t="shared" si="104"/>
        <v>-1.1028084835646064</v>
      </c>
      <c r="AB92" s="18">
        <f t="shared" si="148"/>
        <v>-1.1073447020497025</v>
      </c>
      <c r="AC92" s="136">
        <f t="shared" si="129"/>
        <v>-0.40063754792143252</v>
      </c>
      <c r="AD92" s="6"/>
      <c r="AE92" s="243">
        <f>IF(AE91&gt;'goal seek'!$F$28,MAX($AL$7,AE91*(1+AG92)),MAX($AL$7,AE91+AF91))</f>
        <v>-4.3499999999999996</v>
      </c>
      <c r="AF92" s="14">
        <f t="shared" si="66"/>
        <v>0</v>
      </c>
      <c r="AG92" s="135">
        <f t="shared" si="106"/>
        <v>-3.0848444258581225</v>
      </c>
      <c r="AH92" s="9" t="str">
        <f t="shared" si="130"/>
        <v/>
      </c>
      <c r="AI92" s="18">
        <f t="shared" si="107"/>
        <v>-1.1581197738005675</v>
      </c>
      <c r="AJ92" s="102">
        <f t="shared" si="67"/>
        <v>-1.1028084835646064</v>
      </c>
      <c r="AK92" s="18">
        <f t="shared" si="68"/>
        <v>-1.1073447020497025</v>
      </c>
      <c r="AL92" s="136">
        <f t="shared" si="131"/>
        <v>-0.40063754792143252</v>
      </c>
      <c r="AM92" s="6"/>
      <c r="AN92" s="243">
        <f>IF(AN91&gt;'goal seek'!$F$28,MAX($AL$7,AN91*(1+AP92)),MAX($AL$7,AN91+AO91))</f>
        <v>-4.3499999999999996</v>
      </c>
      <c r="AO92" s="14">
        <f t="shared" si="108"/>
        <v>0</v>
      </c>
      <c r="AP92" s="135">
        <f t="shared" si="132"/>
        <v>-0.21242551877904536</v>
      </c>
      <c r="AQ92" s="9" t="str">
        <f t="shared" si="133"/>
        <v/>
      </c>
      <c r="AR92" s="18">
        <f t="shared" si="109"/>
        <v>-1.1581197738005675</v>
      </c>
      <c r="AS92" s="102">
        <f t="shared" si="110"/>
        <v>-1.1028084835646064</v>
      </c>
      <c r="AT92" s="18">
        <f t="shared" si="111"/>
        <v>-1.1073447020497025</v>
      </c>
      <c r="AU92" s="136">
        <f t="shared" si="134"/>
        <v>-0.40063754792143252</v>
      </c>
      <c r="AV92" s="6"/>
      <c r="AW92" s="243">
        <f t="shared" si="135"/>
        <v>-4.3499999999999996</v>
      </c>
      <c r="AX92" s="730">
        <f t="shared" si="136"/>
        <v>0</v>
      </c>
      <c r="AY92" s="9">
        <f t="shared" si="137"/>
        <v>0</v>
      </c>
      <c r="AZ92" s="9">
        <f t="shared" si="138"/>
        <v>0</v>
      </c>
      <c r="BA92" s="18">
        <f t="shared" si="112"/>
        <v>-1.1581197738005675</v>
      </c>
      <c r="BB92" s="102">
        <f t="shared" si="113"/>
        <v>-1.1028084835646064</v>
      </c>
      <c r="BC92" s="18">
        <f t="shared" si="114"/>
        <v>-1.1073447020497025</v>
      </c>
      <c r="BD92" s="136">
        <f t="shared" si="139"/>
        <v>-0.40063754792143252</v>
      </c>
      <c r="BE92" s="6"/>
      <c r="BF92" s="243">
        <f t="shared" si="140"/>
        <v>4.3463604906361032E-6</v>
      </c>
      <c r="BG92" s="14">
        <f t="shared" si="115"/>
        <v>-1.1615198249501996E-6</v>
      </c>
      <c r="BH92" s="9"/>
      <c r="BI92" s="9">
        <f t="shared" si="141"/>
        <v>-0.21088327240214522</v>
      </c>
      <c r="BJ92" s="18">
        <f t="shared" si="116"/>
        <v>-0.99999984201252001</v>
      </c>
      <c r="BK92" s="102">
        <f t="shared" si="117"/>
        <v>-0.99999989727753302</v>
      </c>
      <c r="BL92" s="18">
        <f t="shared" si="118"/>
        <v>-0.99999989274510992</v>
      </c>
      <c r="BM92" s="136">
        <f t="shared" si="142"/>
        <v>4.0030234697725123E-7</v>
      </c>
      <c r="BP92" s="540">
        <f t="shared" si="119"/>
        <v>437.83101658868577</v>
      </c>
      <c r="BQ92" s="541">
        <f t="shared" si="120"/>
        <v>438.3021688757434</v>
      </c>
      <c r="BR92" s="541">
        <f t="shared" si="121"/>
        <v>437.64815702270789</v>
      </c>
      <c r="BS92" s="541">
        <f t="shared" si="122"/>
        <v>438.23960747883973</v>
      </c>
      <c r="BT92" s="541">
        <f t="shared" si="143"/>
        <v>438.12553407093355</v>
      </c>
      <c r="BU92" s="541">
        <f t="shared" si="144"/>
        <v>438.16474112288552</v>
      </c>
      <c r="BV92" s="540">
        <f t="shared" si="90"/>
        <v>17.83101658868577</v>
      </c>
      <c r="BW92" s="541">
        <f t="shared" si="91"/>
        <v>18.302168875743405</v>
      </c>
      <c r="BX92" s="541">
        <f t="shared" si="92"/>
        <v>17.648157022707892</v>
      </c>
      <c r="BY92" s="541">
        <f t="shared" si="93"/>
        <v>18.23960747883973</v>
      </c>
      <c r="BZ92" s="541">
        <f t="shared" si="94"/>
        <v>18.125534070933554</v>
      </c>
      <c r="CA92" s="542">
        <f t="shared" si="94"/>
        <v>18.164741122885516</v>
      </c>
    </row>
    <row r="93" spans="1:79" x14ac:dyDescent="0.2">
      <c r="A93" s="239">
        <f t="shared" si="123"/>
        <v>79</v>
      </c>
      <c r="B93" s="822">
        <v>10863179.437999999</v>
      </c>
      <c r="C93" s="239">
        <f t="shared" si="124"/>
        <v>2097</v>
      </c>
      <c r="E93" s="254">
        <f>IF(E92&gt;$K$10,MAX($K$7,E92*(1+$K$9)),MAX($K$7,scenarios!E92+scenarios!F92))</f>
        <v>-4.3499999999999996</v>
      </c>
      <c r="F93" s="14">
        <f t="shared" si="95"/>
        <v>0</v>
      </c>
      <c r="G93" s="9" t="str">
        <f t="shared" si="125"/>
        <v/>
      </c>
      <c r="H93" s="18">
        <f t="shared" si="88"/>
        <v>-1.1581197738005675</v>
      </c>
      <c r="I93" s="102">
        <f t="shared" si="96"/>
        <v>-1.1028084835646064</v>
      </c>
      <c r="J93" s="18">
        <f t="shared" si="97"/>
        <v>-1.1073447020497025</v>
      </c>
      <c r="K93" s="136">
        <f t="shared" si="89"/>
        <v>-0.40043525238876759</v>
      </c>
      <c r="L93" s="263"/>
      <c r="M93" s="243">
        <f>IF(M92&gt;'goal seek'!$F$28,MAX($T$7,M92*(1+O93)),MAX($T$7,M92+N92))</f>
        <v>-4.3499999999999996</v>
      </c>
      <c r="N93" s="14">
        <f t="shared" si="98"/>
        <v>0</v>
      </c>
      <c r="O93" s="135">
        <f t="shared" si="145"/>
        <v>-5</v>
      </c>
      <c r="P93" s="9" t="str">
        <f t="shared" si="126"/>
        <v/>
      </c>
      <c r="Q93" s="18">
        <f t="shared" si="99"/>
        <v>-1.1581197738005675</v>
      </c>
      <c r="R93" s="102">
        <f t="shared" si="100"/>
        <v>-1.1028084835646064</v>
      </c>
      <c r="S93" s="18">
        <f t="shared" si="101"/>
        <v>-1.1073447020497025</v>
      </c>
      <c r="T93" s="136">
        <f t="shared" si="127"/>
        <v>-0.40043525238876759</v>
      </c>
      <c r="U93" s="6"/>
      <c r="V93" s="243">
        <f>IF(V92&gt;'goal seek'!$F$28,MAX($AC$7,V92*(1+X93)),MAX($AC$7,V92+W92))</f>
        <v>-4.3499999999999996</v>
      </c>
      <c r="W93" s="14">
        <f t="shared" si="147"/>
        <v>0</v>
      </c>
      <c r="X93" s="135">
        <f t="shared" si="146"/>
        <v>-0.51460760517547588</v>
      </c>
      <c r="Y93" s="9" t="str">
        <f t="shared" si="128"/>
        <v/>
      </c>
      <c r="Z93" s="18">
        <f t="shared" si="103"/>
        <v>-1.1581197738005675</v>
      </c>
      <c r="AA93" s="102">
        <f t="shared" si="104"/>
        <v>-1.1028084835646064</v>
      </c>
      <c r="AB93" s="18">
        <f t="shared" si="148"/>
        <v>-1.1073447020497025</v>
      </c>
      <c r="AC93" s="136">
        <f t="shared" si="129"/>
        <v>-0.40043525238876759</v>
      </c>
      <c r="AD93" s="6"/>
      <c r="AE93" s="243">
        <f>IF(AE92&gt;'goal seek'!$F$28,MAX($AL$7,AE92*(1+AG93)),MAX($AL$7,AE92+AF92))</f>
        <v>-4.3499999999999996</v>
      </c>
      <c r="AF93" s="14">
        <f t="shared" si="66"/>
        <v>0</v>
      </c>
      <c r="AG93" s="135">
        <f t="shared" si="106"/>
        <v>-3.1661347993270099</v>
      </c>
      <c r="AH93" s="9" t="str">
        <f t="shared" si="130"/>
        <v/>
      </c>
      <c r="AI93" s="18">
        <f t="shared" si="107"/>
        <v>-1.1581197738005675</v>
      </c>
      <c r="AJ93" s="102">
        <f t="shared" si="67"/>
        <v>-1.1028084835646064</v>
      </c>
      <c r="AK93" s="18">
        <f t="shared" si="68"/>
        <v>-1.1073447020497025</v>
      </c>
      <c r="AL93" s="136">
        <f t="shared" si="131"/>
        <v>-0.40043525238876759</v>
      </c>
      <c r="AM93" s="6"/>
      <c r="AN93" s="243">
        <f>IF(AN92&gt;'goal seek'!$F$28,MAX($AL$7,AN92*(1+AP93)),MAX($AL$7,AN92+AO92))</f>
        <v>-4.3499999999999996</v>
      </c>
      <c r="AO93" s="14">
        <f t="shared" si="108"/>
        <v>0</v>
      </c>
      <c r="AP93" s="135">
        <f t="shared" si="132"/>
        <v>-0.21372207093276957</v>
      </c>
      <c r="AQ93" s="9" t="str">
        <f t="shared" si="133"/>
        <v/>
      </c>
      <c r="AR93" s="18">
        <f t="shared" si="109"/>
        <v>-1.1581197738005675</v>
      </c>
      <c r="AS93" s="102">
        <f t="shared" si="110"/>
        <v>-1.1028084835646064</v>
      </c>
      <c r="AT93" s="18">
        <f t="shared" si="111"/>
        <v>-1.1073447020497025</v>
      </c>
      <c r="AU93" s="136">
        <f t="shared" si="134"/>
        <v>-0.40043525238876759</v>
      </c>
      <c r="AV93" s="6"/>
      <c r="AW93" s="243">
        <f t="shared" si="135"/>
        <v>-4.3499999999999996</v>
      </c>
      <c r="AX93" s="730">
        <f t="shared" si="136"/>
        <v>0</v>
      </c>
      <c r="AY93" s="9">
        <f t="shared" si="137"/>
        <v>0</v>
      </c>
      <c r="AZ93" s="9">
        <f t="shared" si="138"/>
        <v>0</v>
      </c>
      <c r="BA93" s="18">
        <f t="shared" si="112"/>
        <v>-1.1581197738005675</v>
      </c>
      <c r="BB93" s="102">
        <f t="shared" si="113"/>
        <v>-1.1028084835646064</v>
      </c>
      <c r="BC93" s="18">
        <f t="shared" si="114"/>
        <v>-1.1073447020497025</v>
      </c>
      <c r="BD93" s="136">
        <f t="shared" si="139"/>
        <v>-0.40043525238876759</v>
      </c>
      <c r="BE93" s="6"/>
      <c r="BF93" s="243">
        <f t="shared" si="140"/>
        <v>3.4292574462414513E-6</v>
      </c>
      <c r="BG93" s="14">
        <f t="shared" si="115"/>
        <v>-9.1710304439465182E-7</v>
      </c>
      <c r="BH93" s="9"/>
      <c r="BI93" s="9">
        <f t="shared" si="141"/>
        <v>-0.21100482722739622</v>
      </c>
      <c r="BJ93" s="18">
        <f t="shared" si="116"/>
        <v>-0.99999987534864099</v>
      </c>
      <c r="BK93" s="102">
        <f t="shared" si="117"/>
        <v>-0.99999991895246942</v>
      </c>
      <c r="BL93" s="18">
        <f t="shared" si="118"/>
        <v>-0.99999991537640942</v>
      </c>
      <c r="BM93" s="136">
        <f t="shared" si="142"/>
        <v>3.1567714275672551E-7</v>
      </c>
      <c r="BP93" s="540">
        <f t="shared" si="119"/>
        <v>433.48101658868575</v>
      </c>
      <c r="BQ93" s="541">
        <f t="shared" si="120"/>
        <v>433.95216887574338</v>
      </c>
      <c r="BR93" s="541">
        <f t="shared" si="121"/>
        <v>433.29815702270787</v>
      </c>
      <c r="BS93" s="541">
        <f t="shared" si="122"/>
        <v>433.88960747883971</v>
      </c>
      <c r="BT93" s="541">
        <f t="shared" si="143"/>
        <v>433.77553407093353</v>
      </c>
      <c r="BU93" s="541">
        <f t="shared" si="144"/>
        <v>433.81474112288549</v>
      </c>
      <c r="BV93" s="540">
        <f t="shared" si="90"/>
        <v>13.481016588685748</v>
      </c>
      <c r="BW93" s="541">
        <f t="shared" si="91"/>
        <v>13.952168875743382</v>
      </c>
      <c r="BX93" s="541">
        <f t="shared" si="92"/>
        <v>13.298157022707869</v>
      </c>
      <c r="BY93" s="541">
        <f t="shared" si="93"/>
        <v>13.889607478839707</v>
      </c>
      <c r="BZ93" s="541">
        <f t="shared" si="94"/>
        <v>13.775534070933531</v>
      </c>
      <c r="CA93" s="542">
        <f t="shared" si="94"/>
        <v>13.814741122885493</v>
      </c>
    </row>
    <row r="94" spans="1:79" x14ac:dyDescent="0.2">
      <c r="A94" s="239">
        <f t="shared" si="123"/>
        <v>80</v>
      </c>
      <c r="B94" s="822">
        <v>10867893.847999999</v>
      </c>
      <c r="C94" s="239">
        <f t="shared" si="124"/>
        <v>2098</v>
      </c>
      <c r="E94" s="254">
        <f>IF(E93&gt;$K$10,MAX($K$7,E93*(1+$K$9)),MAX($K$7,scenarios!E93+scenarios!F93))</f>
        <v>-4.3499999999999996</v>
      </c>
      <c r="F94" s="14">
        <f t="shared" si="95"/>
        <v>0</v>
      </c>
      <c r="G94" s="9" t="str">
        <f t="shared" si="125"/>
        <v/>
      </c>
      <c r="H94" s="18">
        <f t="shared" si="88"/>
        <v>-1.1581197738005675</v>
      </c>
      <c r="I94" s="102">
        <f t="shared" si="96"/>
        <v>-1.1028084835646064</v>
      </c>
      <c r="J94" s="18">
        <f t="shared" si="97"/>
        <v>-1.1073447020497025</v>
      </c>
      <c r="K94" s="136">
        <f t="shared" si="89"/>
        <v>-0.40026154661057195</v>
      </c>
      <c r="L94" s="263"/>
      <c r="M94" s="243">
        <f>IF(M93&gt;'goal seek'!$F$28,MAX($T$7,M93*(1+O94)),MAX($T$7,M93+N93))</f>
        <v>-4.3499999999999996</v>
      </c>
      <c r="N94" s="14">
        <f t="shared" si="98"/>
        <v>0</v>
      </c>
      <c r="O94" s="135">
        <f t="shared" si="145"/>
        <v>-5</v>
      </c>
      <c r="P94" s="9" t="str">
        <f t="shared" si="126"/>
        <v/>
      </c>
      <c r="Q94" s="18">
        <f t="shared" si="99"/>
        <v>-1.1581197738005675</v>
      </c>
      <c r="R94" s="102">
        <f t="shared" si="100"/>
        <v>-1.1028084835646064</v>
      </c>
      <c r="S94" s="18">
        <f t="shared" si="101"/>
        <v>-1.1073447020497025</v>
      </c>
      <c r="T94" s="136">
        <f t="shared" si="127"/>
        <v>-0.40026154661057195</v>
      </c>
      <c r="U94" s="6"/>
      <c r="V94" s="243">
        <f>IF(V93&gt;'goal seek'!$F$28,MAX($AC$7,V93*(1+X94)),MAX($AC$7,V93+W93))</f>
        <v>-4.3499999999999996</v>
      </c>
      <c r="W94" s="14">
        <f t="shared" si="147"/>
        <v>0</v>
      </c>
      <c r="X94" s="135">
        <f t="shared" si="146"/>
        <v>-0.52108302861931322</v>
      </c>
      <c r="Y94" s="9" t="str">
        <f t="shared" si="128"/>
        <v/>
      </c>
      <c r="Z94" s="18">
        <f t="shared" si="103"/>
        <v>-1.1581197738005675</v>
      </c>
      <c r="AA94" s="102">
        <f t="shared" si="104"/>
        <v>-1.1028084835646064</v>
      </c>
      <c r="AB94" s="18">
        <f t="shared" si="148"/>
        <v>-1.1073447020497025</v>
      </c>
      <c r="AC94" s="136">
        <f t="shared" si="129"/>
        <v>-0.40026154661057195</v>
      </c>
      <c r="AD94" s="6"/>
      <c r="AE94" s="243">
        <f>IF(AE93&gt;'goal seek'!$F$28,MAX($AL$7,AE93*(1+AG94)),MAX($AL$7,AE93+AF93))</f>
        <v>-4.3499999999999996</v>
      </c>
      <c r="AF94" s="14">
        <f t="shared" si="66"/>
        <v>0</v>
      </c>
      <c r="AG94" s="135">
        <f t="shared" si="106"/>
        <v>-3.2484877920569284</v>
      </c>
      <c r="AH94" s="9" t="str">
        <f t="shared" si="130"/>
        <v/>
      </c>
      <c r="AI94" s="18">
        <f t="shared" si="107"/>
        <v>-1.1581197738005675</v>
      </c>
      <c r="AJ94" s="102">
        <f t="shared" si="67"/>
        <v>-1.1028084835646064</v>
      </c>
      <c r="AK94" s="18">
        <f t="shared" si="68"/>
        <v>-1.1073447020497025</v>
      </c>
      <c r="AL94" s="136">
        <f t="shared" si="131"/>
        <v>-0.40026154661057195</v>
      </c>
      <c r="AM94" s="6"/>
      <c r="AN94" s="243">
        <f>IF(AN93&gt;'goal seek'!$F$28,MAX($AL$7,AN93*(1+AP94)),MAX($AL$7,AN93+AO93))</f>
        <v>-4.3499999999999996</v>
      </c>
      <c r="AO94" s="14">
        <f t="shared" si="108"/>
        <v>0</v>
      </c>
      <c r="AP94" s="135">
        <f t="shared" si="132"/>
        <v>-0.21501017622289875</v>
      </c>
      <c r="AQ94" s="9" t="str">
        <f t="shared" si="133"/>
        <v/>
      </c>
      <c r="AR94" s="18">
        <f t="shared" si="109"/>
        <v>-1.1581197738005675</v>
      </c>
      <c r="AS94" s="102">
        <f t="shared" si="110"/>
        <v>-1.1028084835646064</v>
      </c>
      <c r="AT94" s="18">
        <f t="shared" si="111"/>
        <v>-1.1073447020497025</v>
      </c>
      <c r="AU94" s="136">
        <f t="shared" si="134"/>
        <v>-0.40026154661057195</v>
      </c>
      <c r="AV94" s="6"/>
      <c r="AW94" s="243">
        <f t="shared" si="135"/>
        <v>-4.3499999999999996</v>
      </c>
      <c r="AX94" s="730">
        <f t="shared" si="136"/>
        <v>0</v>
      </c>
      <c r="AY94" s="9">
        <f t="shared" si="137"/>
        <v>0</v>
      </c>
      <c r="AZ94" s="9">
        <f t="shared" si="138"/>
        <v>0</v>
      </c>
      <c r="BA94" s="18">
        <f t="shared" si="112"/>
        <v>-1.1581197738005675</v>
      </c>
      <c r="BB94" s="102">
        <f t="shared" si="113"/>
        <v>-1.1028084835646064</v>
      </c>
      <c r="BC94" s="18">
        <f t="shared" si="114"/>
        <v>-1.1073447020497025</v>
      </c>
      <c r="BD94" s="136">
        <f t="shared" si="139"/>
        <v>-0.40026154661057195</v>
      </c>
      <c r="BE94" s="6"/>
      <c r="BF94" s="243">
        <f t="shared" si="140"/>
        <v>2.7052609487227185E-6</v>
      </c>
      <c r="BG94" s="14">
        <f t="shared" si="115"/>
        <v>-7.2399649751873279E-7</v>
      </c>
      <c r="BH94" s="9"/>
      <c r="BI94" s="9">
        <f t="shared" si="141"/>
        <v>-0.21112340174758548</v>
      </c>
      <c r="BJ94" s="18">
        <f t="shared" si="116"/>
        <v>-0.99999990166545982</v>
      </c>
      <c r="BK94" s="102">
        <f t="shared" si="117"/>
        <v>-0.99999993606349991</v>
      </c>
      <c r="BL94" s="18">
        <f t="shared" si="118"/>
        <v>-0.99999993324242986</v>
      </c>
      <c r="BM94" s="136">
        <f t="shared" si="142"/>
        <v>2.4892228306228472E-7</v>
      </c>
      <c r="BP94" s="540">
        <f t="shared" si="119"/>
        <v>429.13101658868572</v>
      </c>
      <c r="BQ94" s="541">
        <f t="shared" si="120"/>
        <v>429.60216887574336</v>
      </c>
      <c r="BR94" s="541">
        <f t="shared" si="121"/>
        <v>428.94815702270785</v>
      </c>
      <c r="BS94" s="541">
        <f t="shared" si="122"/>
        <v>429.53960747883968</v>
      </c>
      <c r="BT94" s="541">
        <f t="shared" si="143"/>
        <v>429.42553407093351</v>
      </c>
      <c r="BU94" s="541">
        <f t="shared" si="144"/>
        <v>429.46474112288547</v>
      </c>
      <c r="BV94" s="540">
        <f t="shared" si="90"/>
        <v>9.1310165886857249</v>
      </c>
      <c r="BW94" s="541">
        <f t="shared" si="91"/>
        <v>9.6021688757433594</v>
      </c>
      <c r="BX94" s="541">
        <f t="shared" si="92"/>
        <v>8.9481570227078464</v>
      </c>
      <c r="BY94" s="541">
        <f t="shared" si="93"/>
        <v>9.5396074788396845</v>
      </c>
      <c r="BZ94" s="541">
        <f t="shared" si="94"/>
        <v>9.4255340709335087</v>
      </c>
      <c r="CA94" s="542">
        <f t="shared" si="94"/>
        <v>9.4647411228854708</v>
      </c>
    </row>
    <row r="95" spans="1:79" x14ac:dyDescent="0.2">
      <c r="A95" s="239">
        <f t="shared" si="123"/>
        <v>81</v>
      </c>
      <c r="B95" s="822">
        <v>10871811.478</v>
      </c>
      <c r="C95" s="239">
        <f t="shared" si="124"/>
        <v>2099</v>
      </c>
      <c r="E95" s="254">
        <f>IF(E94&gt;$K$10,MAX($K$7,E94*(1+$K$9)),MAX($K$7,scenarios!E94+scenarios!F94))</f>
        <v>-4.3499999999999996</v>
      </c>
      <c r="F95" s="14">
        <f t="shared" si="95"/>
        <v>0</v>
      </c>
      <c r="G95" s="9" t="str">
        <f t="shared" si="125"/>
        <v/>
      </c>
      <c r="H95" s="18">
        <f t="shared" si="88"/>
        <v>-1.1581197738005675</v>
      </c>
      <c r="I95" s="102">
        <f t="shared" si="96"/>
        <v>-1.1028084835646064</v>
      </c>
      <c r="J95" s="18">
        <f t="shared" si="97"/>
        <v>-1.1073447020497025</v>
      </c>
      <c r="K95" s="136">
        <f t="shared" si="89"/>
        <v>-0.40011731336609185</v>
      </c>
      <c r="L95" s="263"/>
      <c r="M95" s="243">
        <f>IF(M94&gt;'goal seek'!$F$28,MAX($T$7,M94*(1+O95)),MAX($T$7,M94+N94))</f>
        <v>-4.3499999999999996</v>
      </c>
      <c r="N95" s="14">
        <f t="shared" si="98"/>
        <v>0</v>
      </c>
      <c r="O95" s="135">
        <f t="shared" si="145"/>
        <v>-5</v>
      </c>
      <c r="P95" s="9" t="str">
        <f t="shared" si="126"/>
        <v/>
      </c>
      <c r="Q95" s="18">
        <f t="shared" si="99"/>
        <v>-1.1581197738005675</v>
      </c>
      <c r="R95" s="102">
        <f t="shared" si="100"/>
        <v>-1.1028084835646064</v>
      </c>
      <c r="S95" s="18">
        <f t="shared" si="101"/>
        <v>-1.1073447020497025</v>
      </c>
      <c r="T95" s="136">
        <f t="shared" si="127"/>
        <v>-0.40011731336609185</v>
      </c>
      <c r="U95" s="6"/>
      <c r="V95" s="243">
        <f>IF(V94&gt;'goal seek'!$F$28,MAX($AC$7,V94*(1+X95)),MAX($AC$7,V94+W94))</f>
        <v>-4.3499999999999996</v>
      </c>
      <c r="W95" s="14">
        <f t="shared" si="147"/>
        <v>0</v>
      </c>
      <c r="X95" s="135">
        <f t="shared" si="146"/>
        <v>-0.52755845206315055</v>
      </c>
      <c r="Y95" s="9" t="str">
        <f t="shared" si="128"/>
        <v/>
      </c>
      <c r="Z95" s="18">
        <f t="shared" si="103"/>
        <v>-1.1581197738005675</v>
      </c>
      <c r="AA95" s="102">
        <f t="shared" si="104"/>
        <v>-1.1028084835646064</v>
      </c>
      <c r="AB95" s="18">
        <f t="shared" si="148"/>
        <v>-1.1073447020497025</v>
      </c>
      <c r="AC95" s="136">
        <f t="shared" si="129"/>
        <v>-0.40011731336609185</v>
      </c>
      <c r="AD95" s="6"/>
      <c r="AE95" s="243">
        <f>IF(AE94&gt;'goal seek'!$F$28,MAX($AL$7,AE94*(1+AG95)),MAX($AL$7,AE94+AF94))</f>
        <v>-4.3499999999999996</v>
      </c>
      <c r="AF95" s="14">
        <f t="shared" si="66"/>
        <v>0</v>
      </c>
      <c r="AG95" s="135">
        <f t="shared" si="106"/>
        <v>-3.3319034040478779</v>
      </c>
      <c r="AH95" s="9" t="str">
        <f t="shared" si="130"/>
        <v/>
      </c>
      <c r="AI95" s="18">
        <f t="shared" si="107"/>
        <v>-1.1581197738005675</v>
      </c>
      <c r="AJ95" s="102">
        <f t="shared" si="67"/>
        <v>-1.1028084835646064</v>
      </c>
      <c r="AK95" s="18">
        <f t="shared" si="68"/>
        <v>-1.1073447020497025</v>
      </c>
      <c r="AL95" s="136">
        <f t="shared" si="131"/>
        <v>-0.40011731336609185</v>
      </c>
      <c r="AM95" s="6"/>
      <c r="AN95" s="243">
        <f>IF(AN94&gt;'goal seek'!$F$28,MAX($AL$7,AN94*(1+AP95)),MAX($AL$7,AN94+AO94))</f>
        <v>-4.3499999999999996</v>
      </c>
      <c r="AO95" s="14">
        <f t="shared" si="108"/>
        <v>0</v>
      </c>
      <c r="AP95" s="135">
        <f t="shared" si="132"/>
        <v>-0.21628999761993922</v>
      </c>
      <c r="AQ95" s="9" t="str">
        <f t="shared" si="133"/>
        <v/>
      </c>
      <c r="AR95" s="18">
        <f t="shared" si="109"/>
        <v>-1.1581197738005675</v>
      </c>
      <c r="AS95" s="102">
        <f t="shared" si="110"/>
        <v>-1.1028084835646064</v>
      </c>
      <c r="AT95" s="18">
        <f t="shared" si="111"/>
        <v>-1.1073447020497025</v>
      </c>
      <c r="AU95" s="136">
        <f t="shared" si="134"/>
        <v>-0.40011731336609185</v>
      </c>
      <c r="AV95" s="6"/>
      <c r="AW95" s="243">
        <f t="shared" si="135"/>
        <v>-4.3499999999999996</v>
      </c>
      <c r="AX95" s="730">
        <f t="shared" si="136"/>
        <v>0</v>
      </c>
      <c r="AY95" s="9">
        <f t="shared" si="137"/>
        <v>0</v>
      </c>
      <c r="AZ95" s="9">
        <f t="shared" si="138"/>
        <v>0</v>
      </c>
      <c r="BA95" s="18">
        <f t="shared" si="112"/>
        <v>-1.1581197738005675</v>
      </c>
      <c r="BB95" s="102">
        <f t="shared" si="113"/>
        <v>-1.1028084835646064</v>
      </c>
      <c r="BC95" s="18">
        <f t="shared" si="114"/>
        <v>-1.1073447020497025</v>
      </c>
      <c r="BD95" s="136">
        <f t="shared" si="139"/>
        <v>-0.40011731336609185</v>
      </c>
      <c r="BE95" s="6"/>
      <c r="BF95" s="243">
        <f t="shared" si="140"/>
        <v>2.1338040491711256E-6</v>
      </c>
      <c r="BG95" s="14">
        <f t="shared" si="115"/>
        <v>-5.7145689955159292E-7</v>
      </c>
      <c r="BH95" s="9"/>
      <c r="BI95" s="9">
        <f t="shared" si="141"/>
        <v>-0.2112391042429399</v>
      </c>
      <c r="BJ95" s="18">
        <f t="shared" si="116"/>
        <v>-0.99999992243756008</v>
      </c>
      <c r="BK95" s="102">
        <f t="shared" si="117"/>
        <v>-0.99999994956938876</v>
      </c>
      <c r="BL95" s="18">
        <f t="shared" si="118"/>
        <v>-0.99999994734423903</v>
      </c>
      <c r="BM95" s="136">
        <f t="shared" si="142"/>
        <v>1.9626941227679052E-7</v>
      </c>
      <c r="BP95" s="540">
        <f t="shared" si="119"/>
        <v>424.7810165886857</v>
      </c>
      <c r="BQ95" s="541">
        <f t="shared" si="120"/>
        <v>425.25216887574334</v>
      </c>
      <c r="BR95" s="541">
        <f t="shared" si="121"/>
        <v>424.59815702270782</v>
      </c>
      <c r="BS95" s="541">
        <f t="shared" si="122"/>
        <v>425.18960747883966</v>
      </c>
      <c r="BT95" s="541">
        <f t="shared" si="143"/>
        <v>425.07553407093349</v>
      </c>
      <c r="BU95" s="541">
        <f t="shared" si="144"/>
        <v>425.11474112288545</v>
      </c>
      <c r="BV95" s="540">
        <f t="shared" si="90"/>
        <v>4.7810165886857021</v>
      </c>
      <c r="BW95" s="541">
        <f t="shared" si="91"/>
        <v>5.2521688757433367</v>
      </c>
      <c r="BX95" s="541">
        <f t="shared" si="92"/>
        <v>4.5981570227078237</v>
      </c>
      <c r="BY95" s="541">
        <f t="shared" si="93"/>
        <v>5.1896074788396618</v>
      </c>
      <c r="BZ95" s="541">
        <f t="shared" si="94"/>
        <v>5.075534070933486</v>
      </c>
      <c r="CA95" s="542">
        <f t="shared" si="94"/>
        <v>5.114741122885448</v>
      </c>
    </row>
    <row r="96" spans="1:79" ht="13.5" thickBot="1" x14ac:dyDescent="0.25">
      <c r="A96" s="240">
        <f t="shared" si="123"/>
        <v>82</v>
      </c>
      <c r="B96" s="824">
        <v>10874902.318</v>
      </c>
      <c r="C96" s="240">
        <f t="shared" si="124"/>
        <v>2100</v>
      </c>
      <c r="E96" s="254">
        <f>IF(E95&gt;$K$10,MAX($K$7,E95*(1+$K$9)),MAX($K$7,scenarios!E95+scenarios!F95))</f>
        <v>-4.3499999999999996</v>
      </c>
      <c r="F96" s="14">
        <f t="shared" si="95"/>
        <v>0</v>
      </c>
      <c r="G96" s="9" t="str">
        <f t="shared" si="125"/>
        <v/>
      </c>
      <c r="H96" s="71">
        <f t="shared" si="88"/>
        <v>-1.1581197738005675</v>
      </c>
      <c r="I96" s="102">
        <f t="shared" si="96"/>
        <v>-1.1028084835646064</v>
      </c>
      <c r="J96" s="18">
        <f t="shared" si="97"/>
        <v>-1.1073447020497025</v>
      </c>
      <c r="K96" s="136">
        <f t="shared" si="89"/>
        <v>-0.40000359293342208</v>
      </c>
      <c r="L96" s="263"/>
      <c r="M96" s="243">
        <f>IF(M95&gt;'goal seek'!$F$28,MAX($T$7,M95*(1+O96)),MAX($T$7,M95+N95))</f>
        <v>-4.3499999999999996</v>
      </c>
      <c r="N96" s="14">
        <f t="shared" si="98"/>
        <v>0</v>
      </c>
      <c r="O96" s="135">
        <f t="shared" si="145"/>
        <v>-5</v>
      </c>
      <c r="P96" s="9" t="str">
        <f t="shared" si="126"/>
        <v/>
      </c>
      <c r="Q96" s="71">
        <f t="shared" si="99"/>
        <v>-1.1581197738005675</v>
      </c>
      <c r="R96" s="102">
        <f t="shared" si="100"/>
        <v>-1.1028084835646064</v>
      </c>
      <c r="S96" s="18">
        <f t="shared" si="101"/>
        <v>-1.1073447020497025</v>
      </c>
      <c r="T96" s="136">
        <f t="shared" si="127"/>
        <v>-0.40000359293342208</v>
      </c>
      <c r="U96" s="6"/>
      <c r="V96" s="243">
        <f>IF(V95&gt;'goal seek'!$F$28,MAX($AC$7,V95*(1+X96)),MAX($AC$7,V95+W95))</f>
        <v>-4.3499999999999996</v>
      </c>
      <c r="W96" s="14">
        <f t="shared" si="147"/>
        <v>0</v>
      </c>
      <c r="X96" s="135">
        <f t="shared" si="146"/>
        <v>-0.53403387550698789</v>
      </c>
      <c r="Y96" s="9" t="str">
        <f t="shared" si="128"/>
        <v/>
      </c>
      <c r="Z96" s="71">
        <f t="shared" si="103"/>
        <v>-1.1581197738005675</v>
      </c>
      <c r="AA96" s="102">
        <f t="shared" si="104"/>
        <v>-1.1028084835646064</v>
      </c>
      <c r="AB96" s="18">
        <f t="shared" si="148"/>
        <v>-1.1073447020497025</v>
      </c>
      <c r="AC96" s="136">
        <f t="shared" si="129"/>
        <v>-0.40000359293342208</v>
      </c>
      <c r="AD96" s="6"/>
      <c r="AE96" s="243">
        <f>IF(AE95&gt;'goal seek'!$F$28,MAX($AL$7,AE95*(1+AG96)),MAX($AL$7,AE95+AF95))</f>
        <v>-4.3499999999999996</v>
      </c>
      <c r="AF96" s="14">
        <f t="shared" si="66"/>
        <v>0</v>
      </c>
      <c r="AG96" s="135">
        <f t="shared" si="106"/>
        <v>-3.4163816352998588</v>
      </c>
      <c r="AH96" s="9" t="str">
        <f t="shared" si="130"/>
        <v/>
      </c>
      <c r="AI96" s="71">
        <f t="shared" si="107"/>
        <v>-1.1581197738005675</v>
      </c>
      <c r="AJ96" s="102">
        <f t="shared" si="67"/>
        <v>-1.1028084835646064</v>
      </c>
      <c r="AK96" s="18">
        <f t="shared" si="68"/>
        <v>-1.1073447020497025</v>
      </c>
      <c r="AL96" s="136">
        <f t="shared" si="131"/>
        <v>-0.40000359293342208</v>
      </c>
      <c r="AM96" s="6"/>
      <c r="AN96" s="243">
        <f>IF(AN95&gt;'goal seek'!$F$28,MAX($AL$7,AN95*(1+AP96)),MAX($AL$7,AN95+AO95))</f>
        <v>-4.3499999999999996</v>
      </c>
      <c r="AO96" s="14">
        <f t="shared" si="108"/>
        <v>0</v>
      </c>
      <c r="AP96" s="135">
        <f t="shared" si="132"/>
        <v>-0.21756169292035954</v>
      </c>
      <c r="AQ96" s="9" t="str">
        <f t="shared" si="133"/>
        <v/>
      </c>
      <c r="AR96" s="71">
        <f t="shared" si="109"/>
        <v>-1.1581197738005675</v>
      </c>
      <c r="AS96" s="102">
        <f t="shared" si="110"/>
        <v>-1.1028084835646064</v>
      </c>
      <c r="AT96" s="18">
        <f t="shared" si="111"/>
        <v>-1.1073447020497025</v>
      </c>
      <c r="AU96" s="136">
        <f t="shared" si="134"/>
        <v>-0.40000359293342208</v>
      </c>
      <c r="AV96" s="6"/>
      <c r="AW96" s="243">
        <f t="shared" si="135"/>
        <v>-4.3499999999999996</v>
      </c>
      <c r="AX96" s="730">
        <f t="shared" si="136"/>
        <v>0</v>
      </c>
      <c r="AY96" s="9">
        <f t="shared" si="137"/>
        <v>0</v>
      </c>
      <c r="AZ96" s="9">
        <f t="shared" si="138"/>
        <v>0</v>
      </c>
      <c r="BA96" s="71">
        <f t="shared" si="112"/>
        <v>-1.1581197738005675</v>
      </c>
      <c r="BB96" s="102">
        <f t="shared" si="113"/>
        <v>-1.1028084835646064</v>
      </c>
      <c r="BC96" s="18">
        <f t="shared" si="114"/>
        <v>-1.1073447020497025</v>
      </c>
      <c r="BD96" s="136">
        <f t="shared" si="139"/>
        <v>-0.40000359293342208</v>
      </c>
      <c r="BE96" s="6"/>
      <c r="BF96" s="438">
        <f t="shared" si="140"/>
        <v>1.6828202150896504E-6</v>
      </c>
      <c r="BG96" s="439">
        <f t="shared" si="115"/>
        <v>-4.5098383408147527E-7</v>
      </c>
      <c r="BH96" s="440"/>
      <c r="BI96" s="440">
        <f t="shared" si="141"/>
        <v>-0.21135203781090373</v>
      </c>
      <c r="BJ96" s="71">
        <f t="shared" si="116"/>
        <v>-0.99999993883053984</v>
      </c>
      <c r="BK96" s="441">
        <f t="shared" si="117"/>
        <v>-0.99999996022800131</v>
      </c>
      <c r="BL96" s="71">
        <f t="shared" si="118"/>
        <v>-0.99999995847314149</v>
      </c>
      <c r="BM96" s="442">
        <f t="shared" si="142"/>
        <v>1.5474347868893201E-7</v>
      </c>
      <c r="BP96" s="543">
        <f t="shared" si="119"/>
        <v>420.43101658868568</v>
      </c>
      <c r="BQ96" s="544">
        <f t="shared" si="120"/>
        <v>420.90216887574331</v>
      </c>
      <c r="BR96" s="541">
        <f t="shared" si="121"/>
        <v>420.2481570227078</v>
      </c>
      <c r="BS96" s="541">
        <f t="shared" si="122"/>
        <v>420.83960747883964</v>
      </c>
      <c r="BT96" s="541">
        <f t="shared" si="143"/>
        <v>420.72553407093346</v>
      </c>
      <c r="BU96" s="541">
        <f t="shared" si="144"/>
        <v>420.76474112288543</v>
      </c>
      <c r="BV96" s="543">
        <f t="shared" si="90"/>
        <v>0.43101658868567938</v>
      </c>
      <c r="BW96" s="544">
        <f t="shared" si="91"/>
        <v>0.90216887574331395</v>
      </c>
      <c r="BX96" s="544">
        <f t="shared" si="92"/>
        <v>0.24815702270780093</v>
      </c>
      <c r="BY96" s="544">
        <f t="shared" si="93"/>
        <v>0.83960747883963904</v>
      </c>
      <c r="BZ96" s="544">
        <f t="shared" si="94"/>
        <v>0.72553407093346323</v>
      </c>
      <c r="CA96" s="545">
        <f t="shared" si="94"/>
        <v>0.76474112288542528</v>
      </c>
    </row>
    <row r="97" spans="3:79" ht="13.5" customHeight="1" thickBot="1" x14ac:dyDescent="0.25">
      <c r="C97" s="223"/>
      <c r="E97" s="244">
        <f>SUM(E16:E96)</f>
        <v>336.01815582022948</v>
      </c>
      <c r="F97" s="132"/>
      <c r="G97" s="27"/>
      <c r="H97" s="27"/>
      <c r="I97" s="27"/>
      <c r="J97" s="27"/>
      <c r="K97" s="233"/>
      <c r="L97" s="13"/>
      <c r="M97" s="244">
        <f>SUM(M16:M96)</f>
        <v>336.489308107287</v>
      </c>
      <c r="N97" s="132"/>
      <c r="O97" s="27"/>
      <c r="P97" s="27"/>
      <c r="Q97" s="27"/>
      <c r="R97" s="27"/>
      <c r="S97" s="27"/>
      <c r="T97" s="232"/>
      <c r="U97" s="6"/>
      <c r="V97" s="244">
        <f>SUM(V16:V96)</f>
        <v>335.83529625425172</v>
      </c>
      <c r="W97" s="132"/>
      <c r="X97" s="27"/>
      <c r="Y97" s="27"/>
      <c r="Z97" s="27"/>
      <c r="AA97" s="27"/>
      <c r="AB97" s="202"/>
      <c r="AC97" s="200"/>
      <c r="AD97" s="6"/>
      <c r="AE97" s="244">
        <f>SUM(AE16:AE96)</f>
        <v>336.42674671038333</v>
      </c>
      <c r="AF97" s="132"/>
      <c r="AG97" s="27"/>
      <c r="AH97" s="27"/>
      <c r="AI97" s="27"/>
      <c r="AJ97" s="27"/>
      <c r="AK97" s="27"/>
      <c r="AL97" s="233"/>
      <c r="AM97" s="6"/>
      <c r="AN97" s="244">
        <f>SUM(AN16:AN96)</f>
        <v>336.31267330247732</v>
      </c>
      <c r="AO97" s="132"/>
      <c r="AP97" s="27"/>
      <c r="AQ97" s="27"/>
      <c r="AR97" s="27"/>
      <c r="AS97" s="27"/>
      <c r="AT97" s="27"/>
      <c r="AU97" s="233"/>
      <c r="AV97" s="6"/>
      <c r="AW97" s="244">
        <f>SUM(AW16:AW96)</f>
        <v>336.35188035442923</v>
      </c>
      <c r="AX97" s="132"/>
      <c r="AY97" s="27"/>
      <c r="AZ97" s="27"/>
      <c r="BA97" s="27"/>
      <c r="BB97" s="27"/>
      <c r="BC97" s="27"/>
      <c r="BD97" s="233"/>
      <c r="BE97" s="6"/>
      <c r="BF97" s="444">
        <f>SUM(BF16:BF96)</f>
        <v>335.99999373868127</v>
      </c>
      <c r="BG97" s="418"/>
      <c r="BH97" s="418"/>
      <c r="BI97" s="418"/>
      <c r="BJ97" s="418"/>
      <c r="BK97" s="418"/>
      <c r="BL97" s="445"/>
      <c r="BM97" s="446"/>
      <c r="BP97" s="546"/>
      <c r="BQ97" s="546"/>
      <c r="BR97" s="964" t="s">
        <v>167</v>
      </c>
      <c r="BS97" s="965"/>
      <c r="BT97" s="965"/>
      <c r="BU97" s="966"/>
      <c r="BV97" s="554">
        <f t="shared" ref="BV97:CA97" si="149">MAX(BV15:BV96)</f>
        <v>142.75575901885998</v>
      </c>
      <c r="BW97" s="555">
        <f t="shared" si="149"/>
        <v>234.77034012312299</v>
      </c>
      <c r="BX97" s="555">
        <f t="shared" si="149"/>
        <v>206.36126585877378</v>
      </c>
      <c r="BY97" s="555">
        <f t="shared" si="149"/>
        <v>230.46271593687152</v>
      </c>
      <c r="BZ97" s="712">
        <f t="shared" si="149"/>
        <v>183.03514003758721</v>
      </c>
      <c r="CA97" s="713">
        <f t="shared" si="149"/>
        <v>228.73330381638675</v>
      </c>
    </row>
    <row r="98" spans="3:79" ht="15.75" customHeight="1" thickBot="1" x14ac:dyDescent="0.35">
      <c r="E98" s="290">
        <f>SUMIF(E16:E96,"&lt;0")</f>
        <v>-142.32474243017356</v>
      </c>
      <c r="F98" s="27" t="s">
        <v>59</v>
      </c>
      <c r="G98" s="27"/>
      <c r="H98" s="200"/>
      <c r="M98" s="290">
        <f>SUMIF(M16:M96,"&lt;0")</f>
        <v>-233.86817124737831</v>
      </c>
      <c r="N98" s="27" t="str">
        <f>F98</f>
        <v>global negative emissions in Gt</v>
      </c>
      <c r="O98" s="27"/>
      <c r="P98" s="200"/>
      <c r="V98" s="290">
        <f>SUMIF(V16:V96,"&lt;0")</f>
        <v>-206.11310883606481</v>
      </c>
      <c r="W98" s="27" t="str">
        <f>N98</f>
        <v>global negative emissions in Gt</v>
      </c>
      <c r="X98" s="27"/>
      <c r="Y98" s="200"/>
      <c r="AD98" s="15"/>
      <c r="AE98" s="290">
        <f>SUMIF(AE16:AE96,"&lt;0")</f>
        <v>-229.62310845803054</v>
      </c>
      <c r="AF98" s="27" t="str">
        <f>W98</f>
        <v>global negative emissions in Gt</v>
      </c>
      <c r="AG98" s="27"/>
      <c r="AH98" s="200"/>
      <c r="AK98" s="306"/>
      <c r="AL98" s="306"/>
      <c r="AM98" s="455" t="s">
        <v>114</v>
      </c>
      <c r="AN98" s="290">
        <f>SUMIF(AN16:AN96,"&lt;0")</f>
        <v>-182.3096059666527</v>
      </c>
      <c r="AO98" s="27" t="str">
        <f>AF98</f>
        <v>global negative emissions in Gt</v>
      </c>
      <c r="AP98" s="27"/>
      <c r="AQ98" s="200"/>
      <c r="AT98" s="306"/>
      <c r="AU98" s="306"/>
      <c r="AV98" s="455" t="s">
        <v>114</v>
      </c>
      <c r="AW98" s="290">
        <f>SUMIF(AW16:AW96,"&lt;0")</f>
        <v>-227.96856269349993</v>
      </c>
      <c r="AX98" s="27" t="str">
        <f>AO98</f>
        <v>global negative emissions in Gt</v>
      </c>
      <c r="AY98" s="27"/>
      <c r="AZ98" s="200"/>
      <c r="BC98" s="306"/>
      <c r="BD98" s="306"/>
      <c r="BE98" s="455" t="s">
        <v>114</v>
      </c>
      <c r="BF98" s="438">
        <f>BF$15*EXP(-BM$11*($C96-$C$15))/BM$11^2*((BM$10*BM$11+BM$11^2)*($C96-$C$15)+2*BM$11+BM$10)</f>
        <v>6.2613188375274001E-6</v>
      </c>
      <c r="BH98" s="23"/>
      <c r="BI98" s="23"/>
      <c r="BJ98" s="23"/>
      <c r="BK98" s="23"/>
      <c r="BL98" s="266"/>
      <c r="BM98" s="240"/>
      <c r="BP98" s="546"/>
      <c r="BQ98" s="546"/>
      <c r="BR98" s="964" t="s">
        <v>168</v>
      </c>
      <c r="BS98" s="965"/>
      <c r="BT98" s="965"/>
      <c r="BU98" s="966"/>
      <c r="BV98" s="547">
        <f t="shared" ref="BV98:CA98" si="150">IF(ISERROR(AVERAGE(BV15:BV96)),0,AVERAGE(BV15:BV96))</f>
        <v>89.079452995909534</v>
      </c>
      <c r="BW98" s="548">
        <f t="shared" si="150"/>
        <v>129.76634647378521</v>
      </c>
      <c r="BX98" s="548">
        <f t="shared" si="150"/>
        <v>120.51545129149001</v>
      </c>
      <c r="BY98" s="548">
        <f t="shared" si="150"/>
        <v>129.23276924257672</v>
      </c>
      <c r="BZ98" s="709">
        <f t="shared" si="150"/>
        <v>111.32045698691307</v>
      </c>
      <c r="CA98" s="710">
        <f t="shared" si="150"/>
        <v>124.66092576611547</v>
      </c>
    </row>
    <row r="99" spans="3:79" ht="15" x14ac:dyDescent="0.3">
      <c r="AK99" s="287"/>
      <c r="AL99" s="286"/>
      <c r="AM99" s="456" t="s">
        <v>118</v>
      </c>
      <c r="AT99" s="287"/>
      <c r="AU99" s="286"/>
      <c r="AV99" s="456" t="s">
        <v>118</v>
      </c>
      <c r="BC99" s="287"/>
      <c r="BD99" s="286"/>
      <c r="BE99" s="456" t="s">
        <v>118</v>
      </c>
      <c r="BF99" s="443">
        <f>SUM(BF97:BF98)</f>
        <v>336.00000000000011</v>
      </c>
      <c r="BG99" s="132"/>
      <c r="BH99" s="27"/>
      <c r="BI99" s="27"/>
      <c r="BJ99" s="27"/>
      <c r="BK99" s="27"/>
      <c r="BL99" s="27"/>
      <c r="BM99" s="233"/>
      <c r="BP99" s="546"/>
      <c r="BQ99" s="546"/>
      <c r="BR99" s="546"/>
      <c r="BS99" s="546"/>
      <c r="BT99" s="546"/>
      <c r="BU99" s="546"/>
      <c r="BV99" s="546"/>
      <c r="BW99" s="546"/>
      <c r="BX99" s="546"/>
      <c r="BY99" s="546"/>
      <c r="BZ99" s="546"/>
    </row>
    <row r="100" spans="3:79" x14ac:dyDescent="0.2">
      <c r="E100" s="291" t="s">
        <v>93</v>
      </c>
      <c r="F100" s="34"/>
      <c r="G100" s="27"/>
      <c r="H100" s="27"/>
      <c r="I100" s="34"/>
      <c r="J100" s="292">
        <f>'goal seek'!F31</f>
        <v>4</v>
      </c>
      <c r="K100" s="200"/>
      <c r="T100" s="12"/>
      <c r="U100" s="307"/>
      <c r="V100" s="291" t="s">
        <v>69</v>
      </c>
      <c r="W100" s="34"/>
      <c r="X100" s="27"/>
      <c r="Y100" s="27"/>
      <c r="Z100" s="34"/>
      <c r="AA100" s="292">
        <f>'goal seek'!F28</f>
        <v>3</v>
      </c>
      <c r="AB100" s="200" t="s">
        <v>11</v>
      </c>
      <c r="AC100" s="307"/>
      <c r="AD100" s="307"/>
      <c r="AM100" s="307"/>
      <c r="AV100" s="307"/>
      <c r="BE100" s="307"/>
      <c r="BF100" s="290">
        <f>SUMIF(BF16:BF96,"&lt;0")</f>
        <v>0</v>
      </c>
      <c r="BG100" s="27" t="str">
        <f>AF98</f>
        <v>global negative emissions in Gt</v>
      </c>
      <c r="BH100" s="27"/>
      <c r="BI100" s="200"/>
      <c r="BL100" s="306"/>
      <c r="BM100" s="306"/>
      <c r="BP100" s="546"/>
      <c r="BQ100" s="546"/>
      <c r="BR100" s="546"/>
      <c r="BS100" s="546"/>
      <c r="BT100" s="546"/>
      <c r="BU100" s="546"/>
      <c r="BV100" s="546"/>
      <c r="BW100" s="546"/>
      <c r="BX100" s="546"/>
      <c r="BY100" s="546"/>
      <c r="BZ100" s="546"/>
    </row>
    <row r="101" spans="3:79" x14ac:dyDescent="0.2">
      <c r="F101" s="10"/>
      <c r="I101" s="10"/>
      <c r="T101" s="268"/>
      <c r="U101" s="15"/>
      <c r="V101" s="12"/>
      <c r="W101" s="30"/>
      <c r="X101" s="30"/>
      <c r="Y101" s="12"/>
      <c r="Z101" s="30"/>
      <c r="AA101" s="30"/>
      <c r="AB101" s="15"/>
      <c r="AC101" s="15"/>
      <c r="AD101" s="15"/>
      <c r="AM101" s="15"/>
      <c r="AV101" s="15"/>
      <c r="BE101" s="15"/>
    </row>
    <row r="102" spans="3:79" ht="13.5" thickBot="1" x14ac:dyDescent="0.25">
      <c r="F102" s="10"/>
      <c r="I102" s="10"/>
      <c r="T102" s="268"/>
      <c r="U102" s="15"/>
      <c r="V102" s="12"/>
      <c r="W102" s="30"/>
      <c r="X102" s="30"/>
      <c r="Y102" s="12"/>
      <c r="Z102" s="30"/>
      <c r="AA102" s="30"/>
      <c r="AB102" s="15"/>
      <c r="AC102" s="15"/>
      <c r="AD102" s="15"/>
      <c r="AI102" s="7"/>
      <c r="AJ102" s="7"/>
      <c r="AM102" s="15"/>
      <c r="AR102" s="7"/>
      <c r="AS102" s="7"/>
      <c r="AV102" s="15"/>
      <c r="BA102" s="7"/>
      <c r="BB102" s="7"/>
      <c r="BE102" s="15"/>
      <c r="BJ102" s="7"/>
      <c r="BK102" s="7"/>
    </row>
    <row r="103" spans="3:79" ht="13.5" thickBot="1" x14ac:dyDescent="0.25">
      <c r="F103" s="10"/>
      <c r="I103" s="10"/>
      <c r="T103" s="268"/>
      <c r="U103" s="15"/>
      <c r="V103" s="969" t="s">
        <v>346</v>
      </c>
      <c r="W103" s="970"/>
      <c r="X103" s="970"/>
      <c r="Y103" s="970"/>
      <c r="Z103" s="970"/>
      <c r="AA103" s="970"/>
      <c r="AB103" s="971"/>
      <c r="AC103" s="15"/>
      <c r="AD103" s="15"/>
      <c r="AM103" s="15"/>
      <c r="AV103" s="15"/>
      <c r="BE103" s="15"/>
    </row>
    <row r="104" spans="3:79" x14ac:dyDescent="0.2">
      <c r="F104" s="10"/>
      <c r="I104" s="10"/>
      <c r="T104" s="30"/>
      <c r="U104" s="15"/>
      <c r="V104" s="12"/>
      <c r="W104" s="30"/>
      <c r="X104" s="30"/>
      <c r="Y104" s="12"/>
      <c r="Z104" s="30"/>
      <c r="AA104" s="30"/>
      <c r="AB104" s="15"/>
      <c r="AC104" s="15"/>
      <c r="AD104" s="15"/>
      <c r="AM104" s="15"/>
      <c r="AV104" s="15"/>
      <c r="BE104" s="15"/>
    </row>
    <row r="105" spans="3:79" x14ac:dyDescent="0.2">
      <c r="F105" s="10"/>
      <c r="I105" s="10"/>
      <c r="M105" s="10"/>
      <c r="P105" s="10"/>
      <c r="W105" s="10"/>
      <c r="Z105" s="10"/>
    </row>
    <row r="106" spans="3:79" x14ac:dyDescent="0.2">
      <c r="F106" s="10"/>
      <c r="I106" s="10"/>
      <c r="M106" s="10"/>
      <c r="P106" s="10"/>
    </row>
    <row r="107" spans="3:79" x14ac:dyDescent="0.2">
      <c r="F107" s="10"/>
      <c r="I107" s="10"/>
      <c r="M107" s="10"/>
      <c r="P107" s="10"/>
      <c r="W107" s="10"/>
      <c r="Z107" s="10"/>
    </row>
    <row r="108" spans="3:79" x14ac:dyDescent="0.2">
      <c r="F108" s="10"/>
      <c r="I108" s="10"/>
      <c r="M108" s="10"/>
      <c r="P108" s="10"/>
      <c r="W108" s="10"/>
      <c r="Z108" s="10"/>
    </row>
    <row r="109" spans="3:79" x14ac:dyDescent="0.2">
      <c r="F109" s="10"/>
      <c r="I109" s="10"/>
      <c r="M109" s="10"/>
      <c r="P109" s="10"/>
      <c r="W109" s="10"/>
      <c r="Z109" s="10"/>
    </row>
    <row r="110" spans="3:79" x14ac:dyDescent="0.2">
      <c r="F110" s="10"/>
      <c r="I110" s="10"/>
      <c r="M110" s="10"/>
      <c r="P110" s="10"/>
      <c r="W110" s="10"/>
      <c r="Z110" s="10"/>
    </row>
    <row r="111" spans="3:79" x14ac:dyDescent="0.2">
      <c r="F111" s="10"/>
      <c r="I111" s="10"/>
      <c r="M111" s="10"/>
      <c r="P111" s="10"/>
      <c r="W111" s="10"/>
      <c r="Z111" s="10"/>
    </row>
    <row r="112" spans="3:79" x14ac:dyDescent="0.2">
      <c r="F112" s="10"/>
      <c r="I112" s="10"/>
      <c r="M112" s="10"/>
      <c r="P112" s="10"/>
      <c r="W112" s="10"/>
      <c r="Z112" s="10"/>
    </row>
    <row r="113" spans="6:78" x14ac:dyDescent="0.2">
      <c r="F113" s="10"/>
      <c r="I113" s="10"/>
      <c r="M113" s="10"/>
      <c r="P113" s="10"/>
      <c r="W113" s="10"/>
      <c r="Z113" s="10"/>
    </row>
    <row r="114" spans="6:78" x14ac:dyDescent="0.2">
      <c r="F114" s="10"/>
      <c r="I114" s="10"/>
      <c r="M114" s="10"/>
      <c r="P114" s="10"/>
      <c r="W114" s="10"/>
      <c r="Z114" s="10"/>
    </row>
    <row r="115" spans="6:78" x14ac:dyDescent="0.2">
      <c r="F115" s="10"/>
      <c r="I115" s="10"/>
      <c r="M115" s="10"/>
      <c r="P115" s="10"/>
      <c r="W115" s="10"/>
      <c r="Z115" s="10"/>
    </row>
    <row r="116" spans="6:78" x14ac:dyDescent="0.2">
      <c r="F116" s="10"/>
      <c r="I116" s="10"/>
      <c r="M116" s="10"/>
      <c r="P116" s="10"/>
      <c r="W116" s="10"/>
      <c r="Z116" s="10"/>
    </row>
    <row r="117" spans="6:78" x14ac:dyDescent="0.2">
      <c r="F117" s="10"/>
      <c r="I117" s="10"/>
      <c r="M117" s="10"/>
      <c r="P117" s="10"/>
      <c r="W117" s="10"/>
      <c r="Z117" s="10"/>
    </row>
    <row r="118" spans="6:78" x14ac:dyDescent="0.2">
      <c r="F118" s="10"/>
      <c r="I118" s="10"/>
      <c r="M118" s="10"/>
      <c r="P118" s="10"/>
      <c r="W118" s="10"/>
      <c r="Z118" s="10"/>
    </row>
    <row r="119" spans="6:78" x14ac:dyDescent="0.2">
      <c r="F119" s="10"/>
      <c r="I119" s="10"/>
      <c r="M119" s="10"/>
      <c r="P119" s="10"/>
      <c r="W119" s="10"/>
      <c r="Z119" s="10"/>
    </row>
    <row r="120" spans="6:78" x14ac:dyDescent="0.2">
      <c r="F120" s="10"/>
      <c r="I120" s="10"/>
      <c r="M120" s="10"/>
      <c r="P120" s="10"/>
      <c r="W120" s="10"/>
      <c r="Z120" s="10"/>
      <c r="BP120" s="549">
        <f>BO133+1</f>
        <v>1</v>
      </c>
      <c r="BQ120" s="549">
        <f t="shared" ref="BQ120:BZ120" si="151">BP120+1</f>
        <v>2</v>
      </c>
      <c r="BR120" s="549">
        <f t="shared" si="151"/>
        <v>3</v>
      </c>
      <c r="BS120" s="549">
        <f t="shared" si="151"/>
        <v>4</v>
      </c>
      <c r="BT120" s="715">
        <f t="shared" si="151"/>
        <v>5</v>
      </c>
      <c r="BU120" s="715"/>
      <c r="BV120" s="549">
        <f>BT120+1</f>
        <v>6</v>
      </c>
      <c r="BW120" s="549">
        <f t="shared" si="151"/>
        <v>7</v>
      </c>
      <c r="BX120" s="549">
        <f t="shared" si="151"/>
        <v>8</v>
      </c>
      <c r="BY120" s="549">
        <f t="shared" si="151"/>
        <v>9</v>
      </c>
      <c r="BZ120" s="715">
        <f t="shared" si="151"/>
        <v>10</v>
      </c>
    </row>
    <row r="121" spans="6:78" x14ac:dyDescent="0.2">
      <c r="F121" s="10"/>
      <c r="I121" s="10"/>
      <c r="M121" s="10"/>
      <c r="P121" s="10"/>
      <c r="W121" s="10"/>
      <c r="Z121" s="10"/>
    </row>
    <row r="122" spans="6:78" x14ac:dyDescent="0.2">
      <c r="F122" s="10"/>
      <c r="I122" s="10"/>
      <c r="M122" s="10"/>
      <c r="P122" s="10"/>
      <c r="W122" s="10"/>
      <c r="Z122" s="10"/>
    </row>
    <row r="123" spans="6:78" x14ac:dyDescent="0.2">
      <c r="F123" s="10"/>
      <c r="I123" s="10"/>
      <c r="M123" s="10"/>
      <c r="P123" s="10"/>
      <c r="W123" s="10"/>
      <c r="Z123" s="10"/>
    </row>
    <row r="124" spans="6:78" x14ac:dyDescent="0.2">
      <c r="F124" s="10"/>
      <c r="I124" s="10"/>
      <c r="M124" s="10"/>
      <c r="P124" s="10"/>
      <c r="W124" s="10"/>
      <c r="Z124" s="10"/>
    </row>
    <row r="125" spans="6:78" x14ac:dyDescent="0.2">
      <c r="F125" s="10"/>
      <c r="I125" s="10"/>
      <c r="M125" s="10"/>
      <c r="P125" s="10"/>
      <c r="W125" s="10"/>
      <c r="Z125" s="10"/>
    </row>
    <row r="126" spans="6:78" x14ac:dyDescent="0.2">
      <c r="F126" s="10"/>
      <c r="I126" s="10"/>
      <c r="M126" s="10"/>
      <c r="P126" s="10"/>
      <c r="W126" s="10"/>
      <c r="Z126" s="10"/>
    </row>
    <row r="127" spans="6:78" x14ac:dyDescent="0.2">
      <c r="F127" s="10"/>
      <c r="I127" s="10"/>
      <c r="M127" s="10"/>
      <c r="P127" s="10"/>
      <c r="W127" s="10"/>
      <c r="Z127" s="10"/>
    </row>
    <row r="128" spans="6:78" x14ac:dyDescent="0.2">
      <c r="F128" s="10"/>
      <c r="I128" s="10"/>
      <c r="M128" s="10"/>
      <c r="P128" s="10"/>
      <c r="W128" s="10"/>
      <c r="Z128" s="10"/>
    </row>
    <row r="129" spans="6:26" x14ac:dyDescent="0.2">
      <c r="F129" s="10"/>
      <c r="I129" s="10"/>
      <c r="M129" s="10"/>
      <c r="P129" s="10"/>
      <c r="W129" s="10"/>
      <c r="Z129" s="10"/>
    </row>
    <row r="130" spans="6:26" x14ac:dyDescent="0.2">
      <c r="F130" s="10"/>
      <c r="I130" s="10"/>
      <c r="M130" s="10"/>
      <c r="P130" s="10"/>
      <c r="W130" s="10"/>
      <c r="Z130" s="10"/>
    </row>
    <row r="131" spans="6:26" x14ac:dyDescent="0.2">
      <c r="F131" s="10"/>
      <c r="I131" s="10"/>
      <c r="M131" s="10"/>
      <c r="P131" s="10"/>
      <c r="W131" s="10"/>
      <c r="Z131" s="10"/>
    </row>
    <row r="132" spans="6:26" x14ac:dyDescent="0.2">
      <c r="F132" s="10"/>
      <c r="I132" s="10"/>
      <c r="M132" s="10"/>
      <c r="P132" s="10"/>
      <c r="W132" s="10"/>
      <c r="Z132" s="10"/>
    </row>
    <row r="133" spans="6:26" x14ac:dyDescent="0.2">
      <c r="F133" s="10"/>
      <c r="I133" s="10"/>
      <c r="M133" s="10"/>
      <c r="P133" s="10"/>
      <c r="W133" s="10"/>
      <c r="Z133" s="10"/>
    </row>
    <row r="134" spans="6:26" x14ac:dyDescent="0.2">
      <c r="F134" s="10"/>
      <c r="I134" s="10"/>
      <c r="M134" s="10"/>
      <c r="P134" s="10"/>
      <c r="W134" s="10"/>
      <c r="Z134" s="10"/>
    </row>
    <row r="135" spans="6:26" x14ac:dyDescent="0.2">
      <c r="F135" s="10"/>
      <c r="I135" s="10"/>
      <c r="M135" s="10"/>
      <c r="P135" s="10"/>
      <c r="W135" s="10"/>
      <c r="Z135" s="10"/>
    </row>
    <row r="136" spans="6:26" x14ac:dyDescent="0.2">
      <c r="F136" s="10"/>
      <c r="I136" s="10"/>
      <c r="M136" s="10"/>
      <c r="P136" s="10"/>
      <c r="W136" s="10"/>
      <c r="Z136" s="10"/>
    </row>
    <row r="137" spans="6:26" x14ac:dyDescent="0.2">
      <c r="F137" s="10"/>
      <c r="I137" s="10"/>
      <c r="M137" s="10"/>
      <c r="P137" s="10"/>
      <c r="W137" s="10"/>
      <c r="Z137" s="10"/>
    </row>
    <row r="138" spans="6:26" x14ac:dyDescent="0.2">
      <c r="F138" s="10"/>
      <c r="I138" s="10"/>
      <c r="M138" s="10"/>
      <c r="P138" s="10"/>
      <c r="W138" s="10"/>
      <c r="Z138" s="10"/>
    </row>
    <row r="139" spans="6:26" x14ac:dyDescent="0.2">
      <c r="F139" s="10"/>
      <c r="I139" s="10"/>
      <c r="M139" s="10"/>
      <c r="P139" s="10"/>
      <c r="W139" s="10"/>
      <c r="Z139" s="10"/>
    </row>
    <row r="140" spans="6:26" x14ac:dyDescent="0.2">
      <c r="F140" s="10"/>
      <c r="I140" s="10"/>
      <c r="M140" s="10"/>
      <c r="P140" s="10"/>
      <c r="W140" s="10"/>
      <c r="Z140" s="10"/>
    </row>
    <row r="141" spans="6:26" x14ac:dyDescent="0.2">
      <c r="G141" s="10"/>
      <c r="N141" s="10"/>
      <c r="X141" s="10"/>
    </row>
  </sheetData>
  <customSheetViews>
    <customSheetView guid="{314CBECC-1AE9-4578-9B87-473AB0B3A698}" fitToPage="1">
      <pageMargins left="0.78740157480314965" right="0.78740157480314965" top="1.0629921259842521" bottom="1.0629921259842521" header="0.51181102362204722" footer="0.51181102362204722"/>
      <printOptions horizontalCentered="1" verticalCentered="1"/>
      <pageSetup paperSize="9" firstPageNumber="0" orientation="portrait" r:id="rId1"/>
      <headerFooter alignWithMargins="0">
        <oddHeader>&amp;LRegensburger Modell&amp;CSzenario</oddHeader>
        <oddFooter>&amp;LSargl/Wolfsteiner/Wittmann&amp;R&amp;A</oddFooter>
      </headerFooter>
    </customSheetView>
    <customSheetView guid="{7B9C85BD-D1BB-4F3C-98F5-6414F32599ED}" fitToPage="1">
      <pageMargins left="0.78740157480314965" right="0.78740157480314965" top="1.0629921259842521" bottom="1.0629921259842521" header="0.51181102362204722" footer="0.51181102362204722"/>
      <printOptions horizontalCentered="1" verticalCentered="1"/>
      <pageSetup paperSize="9" firstPageNumber="0" orientation="portrait" r:id="rId2"/>
      <headerFooter alignWithMargins="0">
        <oddHeader>&amp;LRegensburger Modell&amp;CSzenario</oddHeader>
        <oddFooter>&amp;LSargl/Wolfsteiner/Wittmann&amp;R&amp;A</oddFooter>
      </headerFooter>
    </customSheetView>
  </customSheetViews>
  <mergeCells count="40">
    <mergeCell ref="V103:AB103"/>
    <mergeCell ref="BF2:BM2"/>
    <mergeCell ref="BF3:BM3"/>
    <mergeCell ref="BH13:BI13"/>
    <mergeCell ref="BM13:BM14"/>
    <mergeCell ref="AG13:AH13"/>
    <mergeCell ref="AL13:AL14"/>
    <mergeCell ref="AE2:AL2"/>
    <mergeCell ref="AE3:AL3"/>
    <mergeCell ref="AN4:AT4"/>
    <mergeCell ref="AW2:BD2"/>
    <mergeCell ref="AW3:BD3"/>
    <mergeCell ref="AW4:BC4"/>
    <mergeCell ref="AY13:AZ13"/>
    <mergeCell ref="BD13:BD14"/>
    <mergeCell ref="AN2:AU2"/>
    <mergeCell ref="BR97:BU97"/>
    <mergeCell ref="BR98:BU98"/>
    <mergeCell ref="AN3:AU3"/>
    <mergeCell ref="AP13:AQ13"/>
    <mergeCell ref="AU13:AU14"/>
    <mergeCell ref="BV10:CA10"/>
    <mergeCell ref="BV11:CA11"/>
    <mergeCell ref="BP10:BU10"/>
    <mergeCell ref="BV7:BZ7"/>
    <mergeCell ref="BV6:BZ6"/>
    <mergeCell ref="BP11:BT11"/>
    <mergeCell ref="BP6:BU6"/>
    <mergeCell ref="BP7:BU7"/>
    <mergeCell ref="K13:K14"/>
    <mergeCell ref="E2:K2"/>
    <mergeCell ref="E3:K3"/>
    <mergeCell ref="V2:AC2"/>
    <mergeCell ref="V3:AC3"/>
    <mergeCell ref="O13:P13"/>
    <mergeCell ref="M2:T2"/>
    <mergeCell ref="M3:T3"/>
    <mergeCell ref="T13:T14"/>
    <mergeCell ref="X13:Y13"/>
    <mergeCell ref="AC13:AC14"/>
  </mergeCells>
  <phoneticPr fontId="9" type="noConversion"/>
  <conditionalFormatting sqref="AC6">
    <cfRule type="cellIs" dxfId="35" priority="84" operator="equal">
      <formula>$AC$5</formula>
    </cfRule>
    <cfRule type="cellIs" dxfId="34" priority="85" operator="notEqual">
      <formula>$AC$5</formula>
    </cfRule>
  </conditionalFormatting>
  <conditionalFormatting sqref="T6">
    <cfRule type="cellIs" dxfId="33" priority="38" operator="equal">
      <formula>$T$5</formula>
    </cfRule>
    <cfRule type="cellIs" dxfId="32" priority="39" operator="notEqual">
      <formula>$T$5</formula>
    </cfRule>
  </conditionalFormatting>
  <conditionalFormatting sqref="T8">
    <cfRule type="cellIs" dxfId="31" priority="36" operator="lessThanOrEqual">
      <formula>ROUND($T$7,2)</formula>
    </cfRule>
    <cfRule type="cellIs" dxfId="30" priority="37" operator="notEqual">
      <formula>ROUND($T$7,2)</formula>
    </cfRule>
  </conditionalFormatting>
  <conditionalFormatting sqref="AL6">
    <cfRule type="cellIs" dxfId="29" priority="30" operator="equal">
      <formula>$AC$5</formula>
    </cfRule>
    <cfRule type="cellIs" dxfId="28" priority="31" operator="notEqual">
      <formula>$AC$5</formula>
    </cfRule>
  </conditionalFormatting>
  <conditionalFormatting sqref="BM7">
    <cfRule type="cellIs" dxfId="27" priority="26" operator="equal">
      <formula>$AC$5</formula>
    </cfRule>
    <cfRule type="cellIs" dxfId="26" priority="27" operator="notEqual">
      <formula>$AC$5</formula>
    </cfRule>
  </conditionalFormatting>
  <conditionalFormatting sqref="BP16:BU96">
    <cfRule type="cellIs" dxfId="25" priority="25" operator="greaterThan">
      <formula>$BP$7</formula>
    </cfRule>
  </conditionalFormatting>
  <conditionalFormatting sqref="AU6">
    <cfRule type="cellIs" dxfId="24" priority="21" operator="equal">
      <formula>$AC$5</formula>
    </cfRule>
    <cfRule type="cellIs" dxfId="23" priority="22" operator="notEqual">
      <formula>$AC$5</formula>
    </cfRule>
  </conditionalFormatting>
  <conditionalFormatting sqref="BD6">
    <cfRule type="cellIs" dxfId="22" priority="17" operator="equal">
      <formula>$AC$5</formula>
    </cfRule>
    <cfRule type="cellIs" dxfId="21" priority="18" operator="notEqual">
      <formula>$AC$5</formula>
    </cfRule>
  </conditionalFormatting>
  <conditionalFormatting sqref="K6">
    <cfRule type="cellIs" dxfId="20" priority="15" operator="equal">
      <formula>$T$5</formula>
    </cfRule>
    <cfRule type="cellIs" dxfId="19" priority="16" operator="notEqual">
      <formula>$T$5</formula>
    </cfRule>
  </conditionalFormatting>
  <conditionalFormatting sqref="K8">
    <cfRule type="cellIs" dxfId="18" priority="13" operator="lessThanOrEqual">
      <formula>ROUND($T$7,2)</formula>
    </cfRule>
    <cfRule type="cellIs" dxfId="17" priority="14" operator="notEqual">
      <formula>ROUND($T$7,2)</formula>
    </cfRule>
  </conditionalFormatting>
  <conditionalFormatting sqref="AC8">
    <cfRule type="cellIs" dxfId="16" priority="11" operator="lessThanOrEqual">
      <formula>ROUND($T$7,2)</formula>
    </cfRule>
    <cfRule type="cellIs" dxfId="15" priority="12" operator="notEqual">
      <formula>ROUND($T$7,2)</formula>
    </cfRule>
  </conditionalFormatting>
  <conditionalFormatting sqref="AL8">
    <cfRule type="cellIs" dxfId="14" priority="7" operator="lessThanOrEqual">
      <formula>ROUND($T$7,2)</formula>
    </cfRule>
    <cfRule type="cellIs" dxfId="13" priority="8" operator="notEqual">
      <formula>ROUND($T$7,2)</formula>
    </cfRule>
  </conditionalFormatting>
  <conditionalFormatting sqref="AU8">
    <cfRule type="cellIs" dxfId="12" priority="5" operator="lessThanOrEqual">
      <formula>ROUND($T$7,2)</formula>
    </cfRule>
    <cfRule type="cellIs" dxfId="11" priority="6" operator="notEqual">
      <formula>ROUND($T$7,2)</formula>
    </cfRule>
  </conditionalFormatting>
  <conditionalFormatting sqref="BD8">
    <cfRule type="cellIs" dxfId="10" priority="3" operator="lessThanOrEqual">
      <formula>ROUND($T$7,2)</formula>
    </cfRule>
    <cfRule type="cellIs" dxfId="9" priority="4" operator="notEqual">
      <formula>ROUND($T$7,2)</formula>
    </cfRule>
  </conditionalFormatting>
  <conditionalFormatting sqref="BM6">
    <cfRule type="cellIs" dxfId="8" priority="1" operator="equal">
      <formula>$BM$5</formula>
    </cfRule>
    <cfRule type="cellIs" dxfId="7" priority="2" operator="notEqual">
      <formula>$BM$5</formula>
    </cfRule>
  </conditionalFormatting>
  <dataValidations count="2">
    <dataValidation operator="lessThan" allowBlank="1" showErrorMessage="1" errorTitle="Bitte negativen Wert eingeben." error="Bitte negativen Wert eingeben." prompt="Bitte negativen Wert eingeben. Z.B.: -2,5 für -2,50 %" sqref="AC9 T10:T12"/>
    <dataValidation operator="lessThan" allowBlank="1" error="Bitte negativen Wert eingeben." prompt="Bitte negativen Wert eingeben. Z.B.: -2,5 für -2,5%" sqref="AL9 AU9 BD9"/>
  </dataValidations>
  <printOptions horizontalCentered="1" verticalCentered="1"/>
  <pageMargins left="0.78740157480314965" right="0.78740157480314965" top="1.0629921259842521" bottom="1.0629921259842521" header="0.51181102362204722" footer="0.51181102362204722"/>
  <pageSetup paperSize="9" firstPageNumber="0" orientation="portrait" r:id="rId3"/>
  <headerFooter alignWithMargins="0">
    <oddHeader>&amp;LRegensburger Modell&amp;CSzenario</oddHeader>
    <oddFooter>&amp;LSargl/Wolfsteiner/Wittmann&amp;R&amp;A</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8" tint="0.39997558519241921"/>
    <pageSetUpPr fitToPage="1"/>
  </sheetPr>
  <dimension ref="A1:DV125"/>
  <sheetViews>
    <sheetView zoomScale="90" zoomScaleNormal="90" workbookViewId="0">
      <selection activeCell="AH13" sqref="AH13"/>
    </sheetView>
  </sheetViews>
  <sheetFormatPr baseColWidth="10" defaultColWidth="11.85546875" defaultRowHeight="15" x14ac:dyDescent="0.25"/>
  <cols>
    <col min="1" max="1" width="5.85546875" style="327" customWidth="1"/>
    <col min="2" max="2" width="24.28515625" style="327" customWidth="1"/>
    <col min="3" max="4" width="11.85546875" style="327"/>
    <col min="5" max="6" width="13.5703125" style="327" customWidth="1"/>
    <col min="7" max="7" width="11.85546875" style="327"/>
    <col min="8" max="8" width="13.28515625" style="327" customWidth="1"/>
    <col min="9" max="10" width="13.5703125" style="327" customWidth="1"/>
    <col min="11" max="16" width="11.85546875" style="327"/>
    <col min="17" max="17" width="28.42578125" style="327" bestFit="1" customWidth="1"/>
    <col min="18" max="18" width="11.85546875" style="327"/>
    <col min="19" max="22" width="8.42578125" style="327" bestFit="1" customWidth="1"/>
    <col min="23" max="71" width="6.28515625" style="327" customWidth="1"/>
    <col min="72" max="72" width="9.28515625" style="327" bestFit="1" customWidth="1"/>
    <col min="73" max="73" width="10.7109375" style="327" bestFit="1" customWidth="1"/>
    <col min="74" max="74" width="9" style="327" bestFit="1" customWidth="1"/>
    <col min="75" max="75" width="8" style="327" bestFit="1" customWidth="1"/>
    <col min="76" max="76" width="11.28515625" style="327" bestFit="1" customWidth="1"/>
    <col min="77" max="77" width="11.28515625" style="327" customWidth="1"/>
    <col min="78" max="78" width="11.28515625" style="327" bestFit="1" customWidth="1"/>
    <col min="79" max="82" width="11.28515625" style="327" customWidth="1"/>
    <col min="83" max="83" width="11.85546875" style="327" collapsed="1"/>
    <col min="84" max="84" width="9.28515625" style="327" bestFit="1" customWidth="1"/>
    <col min="85" max="87" width="12.85546875" style="327" bestFit="1" customWidth="1"/>
    <col min="88" max="88" width="11.28515625" style="327" bestFit="1" customWidth="1"/>
    <col min="89" max="90" width="11.28515625" style="327" customWidth="1"/>
    <col min="91" max="94" width="11.28515625" style="133" customWidth="1"/>
    <col min="95" max="95" width="7.140625" style="327" customWidth="1"/>
    <col min="96" max="96" width="9.28515625" style="327" bestFit="1" customWidth="1"/>
    <col min="97" max="99" width="12.85546875" style="327" bestFit="1" customWidth="1"/>
    <col min="100" max="100" width="11.28515625" style="327" bestFit="1" customWidth="1"/>
    <col min="101" max="102" width="11.28515625" style="327" customWidth="1"/>
    <col min="103" max="103" width="10.85546875" style="327" customWidth="1"/>
    <col min="104" max="104" width="9.28515625" style="327" bestFit="1" customWidth="1"/>
    <col min="105" max="105" width="10.7109375" style="327" bestFit="1" customWidth="1"/>
    <col min="106" max="106" width="9" style="327" bestFit="1" customWidth="1"/>
    <col min="107" max="107" width="8" style="327" bestFit="1" customWidth="1"/>
    <col min="108" max="108" width="11.28515625" style="327" bestFit="1" customWidth="1"/>
    <col min="109" max="110" width="11.28515625" style="327" customWidth="1"/>
    <col min="111" max="114" width="11.28515625" style="133" customWidth="1"/>
    <col min="115" max="16384" width="11.85546875" style="327"/>
  </cols>
  <sheetData>
    <row r="1" spans="2:126" ht="9" customHeight="1" x14ac:dyDescent="0.25"/>
    <row r="2" spans="2:126" ht="16.5" thickBot="1" x14ac:dyDescent="0.3">
      <c r="B2" s="39" t="s">
        <v>336</v>
      </c>
    </row>
    <row r="3" spans="2:126" ht="15.75" thickBot="1" x14ac:dyDescent="0.3">
      <c r="J3" s="982" t="s">
        <v>291</v>
      </c>
      <c r="K3" s="983"/>
      <c r="L3" s="983"/>
      <c r="M3" s="983"/>
      <c r="N3" s="983"/>
      <c r="O3" s="984"/>
      <c r="Q3" s="982" t="str">
        <f>CA8</f>
        <v>IPCC SR15 illustrative model pathways</v>
      </c>
      <c r="R3" s="983"/>
      <c r="S3" s="983"/>
      <c r="T3" s="983"/>
      <c r="U3" s="984"/>
    </row>
    <row r="4" spans="2:126" ht="15.75" thickBot="1" x14ac:dyDescent="0.3">
      <c r="F4" s="64"/>
      <c r="G4" s="65"/>
      <c r="H4" s="65"/>
      <c r="I4" s="66"/>
      <c r="J4" s="652" t="str">
        <f>'goal seek'!C$5</f>
        <v>RM-1 const</v>
      </c>
      <c r="K4" s="653" t="str">
        <f>'goal seek'!D$5</f>
        <v>RM-2 exp</v>
      </c>
      <c r="L4" s="653" t="str">
        <f>'goal seek'!E$5</f>
        <v>RM-3 lin</v>
      </c>
      <c r="M4" s="653" t="str">
        <f>'goal seek'!F$5</f>
        <v>RM-4 quadr</v>
      </c>
      <c r="N4" s="653" t="str">
        <f>'goal seek'!G$5</f>
        <v>RM-5 rad</v>
      </c>
      <c r="O4" s="727" t="str">
        <f>'goal seek'!H$5</f>
        <v>RM-6 abs</v>
      </c>
      <c r="Q4" s="640"/>
      <c r="R4" s="649" t="str">
        <f>CA9</f>
        <v>SR15 P1</v>
      </c>
      <c r="S4" s="650" t="str">
        <f>CB9</f>
        <v>SR15 P2</v>
      </c>
      <c r="T4" s="650" t="str">
        <f>CC9</f>
        <v>SR15 P3</v>
      </c>
      <c r="U4" s="651" t="str">
        <f>CD9</f>
        <v>SR15 P4</v>
      </c>
    </row>
    <row r="5" spans="2:126" ht="15.75" thickBot="1" x14ac:dyDescent="0.3">
      <c r="B5" s="394" t="s">
        <v>323</v>
      </c>
      <c r="C5" s="336"/>
      <c r="D5" s="395">
        <f>'base data'!B10</f>
        <v>420</v>
      </c>
      <c r="F5" s="881" t="s">
        <v>285</v>
      </c>
      <c r="G5" s="882"/>
      <c r="H5" s="882"/>
      <c r="I5" s="883"/>
      <c r="J5" s="337" t="str">
        <f>IF('goal seek'!C15='goal seek'!C16,"yes","no")</f>
        <v>yes</v>
      </c>
      <c r="K5" s="338" t="str">
        <f>IF('goal seek'!D15='goal seek'!D16,"yes","no")</f>
        <v>yes</v>
      </c>
      <c r="L5" s="338" t="str">
        <f>IF('goal seek'!E15='goal seek'!E16,"yes","no")</f>
        <v>yes</v>
      </c>
      <c r="M5" s="338" t="str">
        <f>IF('goal seek'!F15='goal seek'!F16,"yes","no")</f>
        <v>yes</v>
      </c>
      <c r="N5" s="338" t="str">
        <f>IF('goal seek'!G15='goal seek'!G16,"yes","no")</f>
        <v>yes</v>
      </c>
      <c r="O5" s="378" t="str">
        <f>IF('goal seek'!H15='goal seek'!H16,"yes","no")</f>
        <v>yes</v>
      </c>
      <c r="P5" s="77"/>
      <c r="Q5" s="809" t="str">
        <f>'IPCC SR15 paths P1-P4'!A98</f>
        <v>sum 2018 - 2100 in Gt</v>
      </c>
      <c r="R5" s="641">
        <f>'IPCC SR15 paths P1-P4'!C98</f>
        <v>470.23942765139708</v>
      </c>
      <c r="S5" s="642">
        <f>'IPCC SR15 paths P1-P4'!E98</f>
        <v>398.3517015600018</v>
      </c>
      <c r="T5" s="642">
        <f>'IPCC SR15 paths P1-P4'!G98</f>
        <v>313.6844947369944</v>
      </c>
      <c r="U5" s="643">
        <f>'IPCC SR15 paths P1-P4'!I98</f>
        <v>125.48600000000039</v>
      </c>
      <c r="BV5" s="29" t="s">
        <v>12</v>
      </c>
      <c r="BW5" s="29" t="s">
        <v>8</v>
      </c>
    </row>
    <row r="6" spans="2:126" ht="15.75" thickBot="1" x14ac:dyDescent="0.3">
      <c r="B6" s="394" t="s">
        <v>324</v>
      </c>
      <c r="C6" s="336"/>
      <c r="D6" s="395">
        <f>'base data'!L24</f>
        <v>335.5871392315438</v>
      </c>
      <c r="F6" s="840" t="s">
        <v>351</v>
      </c>
      <c r="G6" s="884"/>
      <c r="H6" s="884"/>
      <c r="I6" s="841"/>
      <c r="J6" s="644">
        <f>scenarios!BV97</f>
        <v>142.75575901885998</v>
      </c>
      <c r="K6" s="645">
        <f>scenarios!BW97</f>
        <v>234.77034012312299</v>
      </c>
      <c r="L6" s="645">
        <f>scenarios!BX97</f>
        <v>206.36126585877378</v>
      </c>
      <c r="M6" s="645">
        <f>scenarios!BY97</f>
        <v>230.46271593687152</v>
      </c>
      <c r="N6" s="645">
        <f>scenarios!BZ97</f>
        <v>183.03514003758721</v>
      </c>
      <c r="O6" s="646">
        <f>scenarios!CA97</f>
        <v>228.73330381638675</v>
      </c>
      <c r="Q6" s="810" t="s">
        <v>381</v>
      </c>
      <c r="R6" s="701">
        <f>-'IPCC SR15 paths P1-P4'!C99</f>
        <v>94.103516559580441</v>
      </c>
      <c r="S6" s="702">
        <f>-'IPCC SR15 paths P1-P4'!E99</f>
        <v>166.40831379999989</v>
      </c>
      <c r="T6" s="702">
        <f>-'IPCC SR15 paths P1-P4'!G99</f>
        <v>377.11327837220091</v>
      </c>
      <c r="U6" s="703">
        <f>-'IPCC SR15 paths P1-P4'!I99</f>
        <v>777.26199999999994</v>
      </c>
    </row>
    <row r="7" spans="2:126" x14ac:dyDescent="0.25">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row>
    <row r="8" spans="2:126" ht="16.5" x14ac:dyDescent="0.3">
      <c r="BI8" s="192"/>
      <c r="BJ8" s="192"/>
      <c r="BK8" s="192"/>
      <c r="BL8" s="192"/>
      <c r="BM8" s="192"/>
      <c r="BN8" s="192"/>
      <c r="BO8" s="192"/>
      <c r="BP8" s="192"/>
      <c r="BQ8" s="192"/>
      <c r="BR8" s="192"/>
      <c r="BS8" s="272"/>
      <c r="BT8" s="189" t="s">
        <v>14</v>
      </c>
      <c r="BU8" s="310" t="str">
        <f>'goal seek'!C6</f>
        <v>RRt const</v>
      </c>
      <c r="BV8" s="310" t="str">
        <f>'goal seek'!D6</f>
        <v>RRt exp</v>
      </c>
      <c r="BW8" s="310" t="str">
        <f>'goal seek'!E6</f>
        <v>RRt lin</v>
      </c>
      <c r="BX8" s="396" t="str">
        <f>'goal seek'!F6</f>
        <v>RRt quadr</v>
      </c>
      <c r="BY8" s="609" t="str">
        <f>'goal seek'!G6</f>
        <v>RRt rad</v>
      </c>
      <c r="BZ8" s="609" t="s">
        <v>109</v>
      </c>
      <c r="CA8" s="976" t="s">
        <v>275</v>
      </c>
      <c r="CB8" s="977"/>
      <c r="CC8" s="977"/>
      <c r="CD8" s="978"/>
      <c r="CG8" s="885" t="s">
        <v>71</v>
      </c>
      <c r="CH8" s="886"/>
      <c r="CI8" s="886"/>
      <c r="CJ8" s="886"/>
      <c r="CK8" s="888"/>
      <c r="CL8" s="887"/>
      <c r="CM8" s="979" t="s">
        <v>276</v>
      </c>
      <c r="CN8" s="980"/>
      <c r="CO8" s="980"/>
      <c r="CP8" s="981"/>
      <c r="CS8" s="885" t="s">
        <v>94</v>
      </c>
      <c r="CT8" s="886"/>
      <c r="CU8" s="886"/>
      <c r="CV8" s="886"/>
      <c r="CW8" s="888"/>
      <c r="CX8" s="887"/>
      <c r="CZ8" s="296" t="s">
        <v>41</v>
      </c>
      <c r="DA8" s="310" t="str">
        <f t="shared" ref="DA8:DF9" si="0">BU8</f>
        <v>RRt const</v>
      </c>
      <c r="DB8" s="396" t="str">
        <f t="shared" si="0"/>
        <v>RRt exp</v>
      </c>
      <c r="DC8" s="410" t="str">
        <f t="shared" si="0"/>
        <v>RRt lin</v>
      </c>
      <c r="DD8" s="396" t="str">
        <f t="shared" si="0"/>
        <v>RRt quadr</v>
      </c>
      <c r="DE8" s="396" t="str">
        <f t="shared" si="0"/>
        <v>RRt rad</v>
      </c>
      <c r="DF8" s="396" t="str">
        <f t="shared" si="0"/>
        <v>Raupach</v>
      </c>
      <c r="DG8" s="976" t="str">
        <f>CM9</f>
        <v>IPCC SR15 illustrative model pathways</v>
      </c>
      <c r="DH8" s="977"/>
      <c r="DI8" s="977"/>
      <c r="DJ8" s="978"/>
      <c r="DL8" s="127"/>
      <c r="DM8" s="328" t="str">
        <f t="shared" ref="DM8:DR8" si="1">BU9</f>
        <v>RM-1 const</v>
      </c>
      <c r="DN8" s="328" t="str">
        <f t="shared" si="1"/>
        <v>RM-2 exp</v>
      </c>
      <c r="DO8" s="328" t="str">
        <f t="shared" si="1"/>
        <v>RM-3 lin</v>
      </c>
      <c r="DP8" s="579" t="str">
        <f t="shared" si="1"/>
        <v>RM-4 quadr</v>
      </c>
      <c r="DQ8" s="579" t="str">
        <f t="shared" si="1"/>
        <v>RM-5 rad</v>
      </c>
      <c r="DR8" s="580" t="str">
        <f t="shared" si="1"/>
        <v>SPM-R</v>
      </c>
      <c r="DS8" s="637" t="str">
        <f>DG9</f>
        <v>SR15 P1</v>
      </c>
      <c r="DT8" s="638" t="str">
        <f t="shared" ref="DT8:DV8" si="2">DH9</f>
        <v>SR15 P2</v>
      </c>
      <c r="DU8" s="638" t="str">
        <f t="shared" si="2"/>
        <v>SR15 P3</v>
      </c>
      <c r="DV8" s="639" t="str">
        <f t="shared" si="2"/>
        <v>SR15 P4</v>
      </c>
    </row>
    <row r="9" spans="2:126" x14ac:dyDescent="0.25">
      <c r="BT9" s="127"/>
      <c r="BU9" s="228" t="str">
        <f>scenarios!E2</f>
        <v>RM-1 const</v>
      </c>
      <c r="BV9" s="228" t="str">
        <f>scenarios!M2</f>
        <v>RM-2 exp</v>
      </c>
      <c r="BW9" s="228" t="str">
        <f>scenarios!V2</f>
        <v>RM-3 lin</v>
      </c>
      <c r="BX9" s="397" t="str">
        <f>scenarios!AE2</f>
        <v>RM-4 quadr</v>
      </c>
      <c r="BY9" s="610" t="str">
        <f>scenarios!AN2</f>
        <v>RM-5 rad</v>
      </c>
      <c r="BZ9" s="610" t="str">
        <f>scenarios!BF2</f>
        <v>SPM-R</v>
      </c>
      <c r="CA9" s="612" t="str">
        <f>'IPCC SR15 paths P1-P4'!C6</f>
        <v>SR15 P1</v>
      </c>
      <c r="CB9" s="612" t="str">
        <f>'IPCC SR15 paths P1-P4'!E6</f>
        <v>SR15 P2</v>
      </c>
      <c r="CC9" s="612" t="str">
        <f>'IPCC SR15 paths P1-P4'!G6</f>
        <v>SR15 P3</v>
      </c>
      <c r="CD9" s="612" t="str">
        <f>'IPCC SR15 paths P1-P4'!I6</f>
        <v>SR15 P4</v>
      </c>
      <c r="CF9" s="78" t="s">
        <v>42</v>
      </c>
      <c r="CG9" s="310" t="str">
        <f t="shared" ref="CG9:CM9" si="3">BU8</f>
        <v>RRt const</v>
      </c>
      <c r="CH9" s="310" t="str">
        <f t="shared" si="3"/>
        <v>RRt exp</v>
      </c>
      <c r="CI9" s="310" t="str">
        <f t="shared" si="3"/>
        <v>RRt lin</v>
      </c>
      <c r="CJ9" s="396" t="str">
        <f t="shared" si="3"/>
        <v>RRt quadr</v>
      </c>
      <c r="CK9" s="396" t="str">
        <f t="shared" si="3"/>
        <v>RRt rad</v>
      </c>
      <c r="CL9" s="396" t="str">
        <f t="shared" si="3"/>
        <v>Raupach</v>
      </c>
      <c r="CM9" s="976" t="str">
        <f t="shared" si="3"/>
        <v>IPCC SR15 illustrative model pathways</v>
      </c>
      <c r="CN9" s="977"/>
      <c r="CO9" s="977"/>
      <c r="CP9" s="978"/>
      <c r="CR9" s="78" t="s">
        <v>42</v>
      </c>
      <c r="CS9" s="310" t="str">
        <f t="shared" ref="CS9:CX10" si="4">CG9</f>
        <v>RRt const</v>
      </c>
      <c r="CT9" s="310" t="str">
        <f t="shared" si="4"/>
        <v>RRt exp</v>
      </c>
      <c r="CU9" s="310" t="str">
        <f t="shared" si="4"/>
        <v>RRt lin</v>
      </c>
      <c r="CV9" s="396" t="str">
        <f t="shared" si="4"/>
        <v>RRt quadr</v>
      </c>
      <c r="CW9" s="396" t="str">
        <f t="shared" si="4"/>
        <v>RRt rad</v>
      </c>
      <c r="CX9" s="396" t="str">
        <f t="shared" si="4"/>
        <v>Raupach</v>
      </c>
      <c r="CZ9" s="80"/>
      <c r="DA9" s="300" t="str">
        <f t="shared" si="0"/>
        <v>RM-1 const</v>
      </c>
      <c r="DB9" s="405" t="str">
        <f t="shared" si="0"/>
        <v>RM-2 exp</v>
      </c>
      <c r="DC9" s="411" t="str">
        <f t="shared" si="0"/>
        <v>RM-3 lin</v>
      </c>
      <c r="DD9" s="405" t="str">
        <f t="shared" si="0"/>
        <v>RM-4 quadr</v>
      </c>
      <c r="DE9" s="405" t="str">
        <f t="shared" si="0"/>
        <v>RM-5 rad</v>
      </c>
      <c r="DF9" s="405" t="str">
        <f t="shared" si="0"/>
        <v>SPM-R</v>
      </c>
      <c r="DG9" s="625" t="str">
        <f>CM10</f>
        <v>SR15 P1</v>
      </c>
      <c r="DH9" s="625" t="str">
        <f t="shared" ref="DH9:DJ9" si="5">CN10</f>
        <v>SR15 P2</v>
      </c>
      <c r="DI9" s="625" t="str">
        <f t="shared" si="5"/>
        <v>SR15 P3</v>
      </c>
      <c r="DJ9" s="625" t="str">
        <f t="shared" si="5"/>
        <v>SR15 P4</v>
      </c>
      <c r="DL9" s="79">
        <v>2010</v>
      </c>
      <c r="DM9" s="507">
        <f>'base data'!$D$18</f>
        <v>38.224529350401248</v>
      </c>
      <c r="DN9" s="508">
        <f>'base data'!$D$18</f>
        <v>38.224529350401248</v>
      </c>
      <c r="DO9" s="508">
        <f>'base data'!$D$18</f>
        <v>38.224529350401248</v>
      </c>
      <c r="DP9" s="509">
        <f>'base data'!$D$18</f>
        <v>38.224529350401248</v>
      </c>
      <c r="DQ9" s="509">
        <f>'base data'!$D$18</f>
        <v>38.224529350401248</v>
      </c>
      <c r="DR9" s="510">
        <f>'base data'!$D$18</f>
        <v>38.224529350401248</v>
      </c>
      <c r="DS9" s="628">
        <f>'IPCC SR15 paths P1-P4'!C7</f>
        <v>38.542037320000006</v>
      </c>
      <c r="DT9" s="629">
        <f>'IPCC SR15 paths P1-P4'!E7</f>
        <v>35.782648500000001</v>
      </c>
      <c r="DU9" s="629">
        <f>'IPCC SR15 paths P1-P4'!G7</f>
        <v>40.313502030000002</v>
      </c>
      <c r="DV9" s="630">
        <f>'IPCC SR15 paths P1-P4'!I7</f>
        <v>40.313502030000002</v>
      </c>
    </row>
    <row r="10" spans="2:126" ht="13.9" customHeight="1" x14ac:dyDescent="0.25">
      <c r="BT10" s="127">
        <v>2019</v>
      </c>
      <c r="BU10" s="279">
        <f>scenarios!E15</f>
        <v>42.311683327829648</v>
      </c>
      <c r="BV10" s="279">
        <f>scenarios!M15</f>
        <v>42.311683327829648</v>
      </c>
      <c r="BW10" s="279">
        <f>scenarios!V15</f>
        <v>42.311683327829648</v>
      </c>
      <c r="BX10" s="398">
        <f>scenarios!AE15</f>
        <v>42.311683327829648</v>
      </c>
      <c r="BY10" s="611">
        <f>scenarios!AN15</f>
        <v>42.311683327829648</v>
      </c>
      <c r="BZ10" s="611">
        <f>BX10</f>
        <v>42.311683327829648</v>
      </c>
      <c r="CA10" s="611">
        <f>'IPCC SR15 paths P1-P4'!C16</f>
        <v>39.46136366799999</v>
      </c>
      <c r="CB10" s="611">
        <f>'IPCC SR15 paths P1-P4'!E16</f>
        <v>37.088765669999987</v>
      </c>
      <c r="CC10" s="613">
        <f>'IPCC SR15 paths P1-P4'!G7</f>
        <v>40.313502030000002</v>
      </c>
      <c r="CD10" s="611">
        <f>'IPCC SR15 paths P1-P4'!I16</f>
        <v>39.366999999999962</v>
      </c>
      <c r="CF10" s="81"/>
      <c r="CG10" s="228" t="str">
        <f>'IPCC SR15 graphs'!BU9</f>
        <v>RM-1 const</v>
      </c>
      <c r="CH10" s="228" t="str">
        <f>'IPCC SR15 graphs'!BV9</f>
        <v>RM-2 exp</v>
      </c>
      <c r="CI10" s="228" t="str">
        <f>'IPCC SR15 graphs'!BW9</f>
        <v>RM-3 lin</v>
      </c>
      <c r="CJ10" s="397" t="str">
        <f>'IPCC SR15 graphs'!BX9</f>
        <v>RM-4 quadr</v>
      </c>
      <c r="CK10" s="397" t="str">
        <f>'IPCC SR15 graphs'!BY9</f>
        <v>RM-5 rad</v>
      </c>
      <c r="CL10" s="397" t="str">
        <f>'IPCC SR15 graphs'!BZ9</f>
        <v>SPM-R</v>
      </c>
      <c r="CM10" s="617" t="str">
        <f>CA9</f>
        <v>SR15 P1</v>
      </c>
      <c r="CN10" s="612" t="str">
        <f t="shared" ref="CN10:CP10" si="6">CB9</f>
        <v>SR15 P2</v>
      </c>
      <c r="CO10" s="618" t="str">
        <f t="shared" si="6"/>
        <v>SR15 P3</v>
      </c>
      <c r="CP10" s="612" t="str">
        <f t="shared" si="6"/>
        <v>SR15 P4</v>
      </c>
      <c r="CR10" s="81"/>
      <c r="CS10" s="228" t="str">
        <f t="shared" si="4"/>
        <v>RM-1 const</v>
      </c>
      <c r="CT10" s="228" t="str">
        <f t="shared" si="4"/>
        <v>RM-2 exp</v>
      </c>
      <c r="CU10" s="228" t="str">
        <f t="shared" si="4"/>
        <v>RM-3 lin</v>
      </c>
      <c r="CV10" s="397" t="str">
        <f t="shared" si="4"/>
        <v>RM-4 quadr</v>
      </c>
      <c r="CW10" s="397" t="str">
        <f t="shared" si="4"/>
        <v>RM-5 rad</v>
      </c>
      <c r="CX10" s="397" t="str">
        <f t="shared" si="4"/>
        <v>SPM-R</v>
      </c>
      <c r="CZ10" s="127">
        <f t="shared" ref="CZ10:CZ41" si="7">BT10</f>
        <v>2019</v>
      </c>
      <c r="DA10" s="302">
        <f>scenarios!K15</f>
        <v>5.5380009378986879</v>
      </c>
      <c r="DB10" s="406">
        <f>scenarios!T15</f>
        <v>5.5380009378986879</v>
      </c>
      <c r="DC10" s="412">
        <f>scenarios!AC15</f>
        <v>5.5380009378986879</v>
      </c>
      <c r="DD10" s="406">
        <f>scenarios!AL15</f>
        <v>5.5380009378986879</v>
      </c>
      <c r="DE10" s="406">
        <f>scenarios!AU15</f>
        <v>5.5380009378986879</v>
      </c>
      <c r="DF10" s="406">
        <f>DD10</f>
        <v>5.5380009378986879</v>
      </c>
      <c r="DG10" s="627">
        <f>CA10/scenarios!$B15*1000000</f>
        <v>5.115904176488387</v>
      </c>
      <c r="DH10" s="627">
        <f>CB10/scenarios!$B15*1000000</f>
        <v>4.8083125760252949</v>
      </c>
      <c r="DI10" s="627">
        <f>CC10/scenarios!$B15*1000000</f>
        <v>5.2263782655690179</v>
      </c>
      <c r="DJ10" s="627">
        <f>CD10/scenarios!$B15*1000000</f>
        <v>5.1036705525494961</v>
      </c>
      <c r="DL10" s="79">
        <f>DL9+1</f>
        <v>2011</v>
      </c>
      <c r="DM10" s="348">
        <f>'base data'!$E$18</f>
        <v>39.188828105256881</v>
      </c>
      <c r="DN10" s="347">
        <f>'base data'!$E$18</f>
        <v>39.188828105256881</v>
      </c>
      <c r="DO10" s="347">
        <f>'base data'!$E$18</f>
        <v>39.188828105256881</v>
      </c>
      <c r="DP10" s="347">
        <f>'base data'!$E$18</f>
        <v>39.188828105256881</v>
      </c>
      <c r="DQ10" s="347">
        <f>'base data'!$E$18</f>
        <v>39.188828105256881</v>
      </c>
      <c r="DR10" s="349">
        <f>'base data'!$E$18</f>
        <v>39.188828105256881</v>
      </c>
      <c r="DS10" s="628">
        <f>'IPCC SR15 paths P1-P4'!C8</f>
        <v>38.64418469200001</v>
      </c>
      <c r="DT10" s="629">
        <f>'IPCC SR15 paths P1-P4'!E8</f>
        <v>35.927772629999993</v>
      </c>
      <c r="DU10" s="629">
        <f>'IPCC SR15 paths P1-P4'!G8</f>
        <v>40.375284001000011</v>
      </c>
      <c r="DV10" s="630">
        <f>'IPCC SR15 paths P1-P4'!I8</f>
        <v>36.702999999999975</v>
      </c>
    </row>
    <row r="11" spans="2:126" x14ac:dyDescent="0.25">
      <c r="BT11" s="79">
        <f>BT10+1</f>
        <v>2020</v>
      </c>
      <c r="BU11" s="280">
        <f>scenarios!E16</f>
        <v>39.02505693376456</v>
      </c>
      <c r="BV11" s="280">
        <f>scenarios!M16</f>
        <v>41.634696394584374</v>
      </c>
      <c r="BW11" s="280">
        <f>scenarios!V16</f>
        <v>41.634696394584374</v>
      </c>
      <c r="BX11" s="399">
        <f>scenarios!AE16</f>
        <v>41.634696394584374</v>
      </c>
      <c r="BY11" s="399">
        <f>scenarios!AN16</f>
        <v>41.634696394584374</v>
      </c>
      <c r="BZ11" s="399">
        <f>scenarios!BF16</f>
        <v>41.834339829518569</v>
      </c>
      <c r="CA11" s="280">
        <f>'IPCC SR15 paths P1-P4'!C17</f>
        <v>39.563511039999995</v>
      </c>
      <c r="CB11" s="614">
        <f>'IPCC SR15 paths P1-P4'!E17</f>
        <v>37.2338898</v>
      </c>
      <c r="CC11" s="615">
        <f>'IPCC SR15 paths P1-P4'!G8</f>
        <v>40.375284001000011</v>
      </c>
      <c r="CD11" s="614">
        <f>'IPCC SR15 paths P1-P4'!I17</f>
        <v>39.700000000000003</v>
      </c>
      <c r="CF11" s="79">
        <v>2020</v>
      </c>
      <c r="CG11" s="278">
        <f>IF($BU10&gt;'goal seek'!$F$31,$BU11/$BU10-1,#N/A)</f>
        <v>-7.7676569107411941E-2</v>
      </c>
      <c r="CH11" s="278">
        <f>IF(BV10&gt;'goal seek'!$F$28,BV11/BV10-1,#N/A)</f>
        <v>-1.6000000000000014E-2</v>
      </c>
      <c r="CI11" s="278">
        <f>IF(BW10&gt;'goal seek'!$F$28,BW11/BW10-1,#N/A)</f>
        <v>-1.6000000000000014E-2</v>
      </c>
      <c r="CJ11" s="402">
        <f>IF(BX10&gt;'goal seek'!$F$28,BX11/BX10-1,#N/A)</f>
        <v>-1.6000000000000014E-2</v>
      </c>
      <c r="CK11" s="402">
        <f>IF(BY10&gt;'goal seek'!$F$28,BY11/BY10-1,#N/A)</f>
        <v>-1.6000000000000014E-2</v>
      </c>
      <c r="CL11" s="402">
        <f>IF(BZ10&gt;'goal seek'!$F$28,BZ11/BZ10-1,#N/A)</f>
        <v>-1.1281600276042858E-2</v>
      </c>
      <c r="CM11" s="619">
        <f>IF(CA10&gt;0,CA11/CA10-1,#N/A)</f>
        <v>2.5885413605926111E-3</v>
      </c>
      <c r="CN11" s="620">
        <f t="shared" ref="CN11:CP26" si="8">IF(CB10&gt;0,CB11/CB10-1,#N/A)</f>
        <v>3.9128864867401525E-3</v>
      </c>
      <c r="CO11" s="621">
        <f t="shared" si="8"/>
        <v>1.5325379311883491E-3</v>
      </c>
      <c r="CP11" s="620">
        <f t="shared" si="8"/>
        <v>8.4588614829690378E-3</v>
      </c>
      <c r="CR11" s="79">
        <v>2020</v>
      </c>
      <c r="CS11" s="278">
        <f t="shared" ref="CS11:CS42" si="9">IF(ISNA(CG11),0,CG11)</f>
        <v>-7.7676569107411941E-2</v>
      </c>
      <c r="CT11" s="278">
        <f t="shared" ref="CT11:CT42" si="10">IF(ISNA(CH11),0,CH11)</f>
        <v>-1.6000000000000014E-2</v>
      </c>
      <c r="CU11" s="278">
        <f t="shared" ref="CU11:CU42" si="11">IF(ISNA(CI11),0,CI11)</f>
        <v>-1.6000000000000014E-2</v>
      </c>
      <c r="CV11" s="402">
        <f t="shared" ref="CV11:CV42" si="12">IF(ISNA(CJ11),0,CJ11)</f>
        <v>-1.6000000000000014E-2</v>
      </c>
      <c r="CW11" s="402">
        <f t="shared" ref="CW11:CW42" si="13">IF(ISNA(CK11),0,CK11)</f>
        <v>-1.6000000000000014E-2</v>
      </c>
      <c r="CX11" s="402">
        <f t="shared" ref="CX11:CX42" si="14">IF(ISNA(CL11),0,CL11)</f>
        <v>-1.1281600276042858E-2</v>
      </c>
      <c r="CZ11" s="79">
        <f t="shared" si="7"/>
        <v>2020</v>
      </c>
      <c r="DA11" s="299">
        <f>scenarios!K16</f>
        <v>5.0065509374230635</v>
      </c>
      <c r="DB11" s="407">
        <f>scenarios!T16</f>
        <v>5.3413433481318746</v>
      </c>
      <c r="DC11" s="211">
        <f>scenarios!AC16</f>
        <v>5.3413433481318746</v>
      </c>
      <c r="DD11" s="407">
        <f>scenarios!AL16</f>
        <v>5.3413433481318746</v>
      </c>
      <c r="DE11" s="570">
        <f>scenarios!AU16</f>
        <v>5.3413433481318746</v>
      </c>
      <c r="DF11" s="407">
        <f>scenarios!BM16</f>
        <v>5.3669557393710878</v>
      </c>
      <c r="DG11" s="626">
        <f>CA11/scenarios!$B16*1000000</f>
        <v>5.0756295787408137</v>
      </c>
      <c r="DH11" s="626">
        <f>CB11/scenarios!$B16*1000000</f>
        <v>4.776760894890888</v>
      </c>
      <c r="DI11" s="626">
        <f>CC11/scenarios!$B16*1000000</f>
        <v>5.1797724807170304</v>
      </c>
      <c r="DJ11" s="626">
        <f>CD11/scenarios!$B16*1000000</f>
        <v>5.0931398396943273</v>
      </c>
      <c r="DL11" s="79">
        <f>DL10+1</f>
        <v>2012</v>
      </c>
      <c r="DM11" s="299">
        <f>'base data'!$F$18</f>
        <v>40.171970290267417</v>
      </c>
      <c r="DN11" s="211">
        <f>'base data'!$F$18</f>
        <v>40.171970290267417</v>
      </c>
      <c r="DO11" s="211">
        <f>'base data'!$F$18</f>
        <v>40.171970290267417</v>
      </c>
      <c r="DP11" s="211">
        <f>'base data'!$F$18</f>
        <v>40.171970290267417</v>
      </c>
      <c r="DQ11" s="211">
        <f>'base data'!$F$18</f>
        <v>40.171970290267417</v>
      </c>
      <c r="DR11" s="293">
        <f>'base data'!$F$18</f>
        <v>40.171970290267417</v>
      </c>
      <c r="DS11" s="628">
        <f>'IPCC SR15 paths P1-P4'!C9</f>
        <v>38.746332064000001</v>
      </c>
      <c r="DT11" s="629">
        <f>'IPCC SR15 paths P1-P4'!E9</f>
        <v>36.072896759999992</v>
      </c>
      <c r="DU11" s="629">
        <f>'IPCC SR15 paths P1-P4'!G9</f>
        <v>40.437065971999999</v>
      </c>
      <c r="DV11" s="630">
        <f>'IPCC SR15 paths P1-P4'!I9</f>
        <v>37.035999999999945</v>
      </c>
    </row>
    <row r="12" spans="2:126" x14ac:dyDescent="0.25">
      <c r="BT12" s="79">
        <f t="shared" ref="BT12:BT75" si="15">BT11+1</f>
        <v>2021</v>
      </c>
      <c r="BU12" s="280">
        <f>scenarios!E17</f>
        <v>35.993724401928318</v>
      </c>
      <c r="BV12" s="280">
        <f>scenarios!M17</f>
        <v>40.871740948026705</v>
      </c>
      <c r="BW12" s="280">
        <f>scenarios!V17</f>
        <v>40.698938963160479</v>
      </c>
      <c r="BX12" s="399">
        <f>scenarios!AE17</f>
        <v>40.94642033711299</v>
      </c>
      <c r="BY12" s="399">
        <f>scenarios!AN17</f>
        <v>40.303015542504525</v>
      </c>
      <c r="BZ12" s="399">
        <f>scenarios!BF17</f>
        <v>39.733240975044623</v>
      </c>
      <c r="CA12" s="280">
        <f>'IPCC SR15 paths P1-P4'!C18</f>
        <v>37.228541300999495</v>
      </c>
      <c r="CB12" s="399">
        <f>'IPCC SR15 paths P1-P4'!E18</f>
        <v>35.416250149999996</v>
      </c>
      <c r="CC12" s="616">
        <f>'IPCC SR15 paths P1-P4'!G9</f>
        <v>40.437065971999999</v>
      </c>
      <c r="CD12" s="399">
        <f>'IPCC SR15 paths P1-P4'!I18</f>
        <v>39.507000000000005</v>
      </c>
      <c r="CF12" s="79">
        <f t="shared" ref="CF12:CF75" si="16">CF11+1</f>
        <v>2021</v>
      </c>
      <c r="CG12" s="278">
        <f>IF($BU11&gt;'goal seek'!$F$31,$BU12/$BU11-1,#N/A)</f>
        <v>-7.7676569107411719E-2</v>
      </c>
      <c r="CH12" s="278">
        <f>IF(BV11&gt;'goal seek'!$F$28,BV12/BV11-1,#N/A)</f>
        <v>-1.8324991236321586E-2</v>
      </c>
      <c r="CI12" s="278">
        <f>IF(BW11&gt;'goal seek'!$F$28,BW12/BW11-1,#N/A)</f>
        <v>-2.2475423443837461E-2</v>
      </c>
      <c r="CJ12" s="402">
        <f>IF(BX11&gt;'goal seek'!$F$28,BX12/BX11-1,#N/A)</f>
        <v>-1.6531309630515523E-2</v>
      </c>
      <c r="CK12" s="402">
        <f>IF(BY11&gt;'goal seek'!$F$28,BY12/BY11-1,#N/A)</f>
        <v>-3.1984882019052474E-2</v>
      </c>
      <c r="CL12" s="402">
        <f>IF(BZ11&gt;'goal seek'!$F$28,BZ12/BZ11-1,#N/A)</f>
        <v>-5.0224262245711304E-2</v>
      </c>
      <c r="CM12" s="622">
        <f t="shared" ref="CM12:CM75" si="17">IF(CA11&gt;0,CA12/CA11-1,#N/A)</f>
        <v>-5.9018263991781894E-2</v>
      </c>
      <c r="CN12" s="402">
        <f t="shared" si="8"/>
        <v>-4.8816808014509494E-2</v>
      </c>
      <c r="CO12" s="194">
        <f t="shared" si="8"/>
        <v>1.5301928525990327E-3</v>
      </c>
      <c r="CP12" s="402">
        <f t="shared" si="8"/>
        <v>-4.8614609571787648E-3</v>
      </c>
      <c r="CR12" s="79">
        <f t="shared" ref="CR12:CR75" si="18">CR11+1</f>
        <v>2021</v>
      </c>
      <c r="CS12" s="278">
        <f t="shared" si="9"/>
        <v>-7.7676569107411719E-2</v>
      </c>
      <c r="CT12" s="278">
        <f t="shared" si="10"/>
        <v>-1.8324991236321586E-2</v>
      </c>
      <c r="CU12" s="278">
        <f t="shared" si="11"/>
        <v>-2.2475423443837461E-2</v>
      </c>
      <c r="CV12" s="402">
        <f t="shared" si="12"/>
        <v>-1.6531309630515523E-2</v>
      </c>
      <c r="CW12" s="402">
        <f t="shared" si="13"/>
        <v>-3.1984882019052474E-2</v>
      </c>
      <c r="CX12" s="402">
        <f t="shared" si="14"/>
        <v>-5.0224262245711304E-2</v>
      </c>
      <c r="CZ12" s="79">
        <f t="shared" si="7"/>
        <v>2021</v>
      </c>
      <c r="DA12" s="299">
        <f>scenarios!K17</f>
        <v>4.5706515052626742</v>
      </c>
      <c r="DB12" s="407">
        <f>scenarios!T17</f>
        <v>5.1900848659272443</v>
      </c>
      <c r="DC12" s="211">
        <f>scenarios!AC17</f>
        <v>5.1681416615113411</v>
      </c>
      <c r="DD12" s="407">
        <f>scenarios!AL17</f>
        <v>5.199568004107884</v>
      </c>
      <c r="DE12" s="407">
        <f>scenarios!AU17</f>
        <v>5.1178654534039936</v>
      </c>
      <c r="DF12" s="407">
        <f>scenarios!BM17</f>
        <v>5.0455128133898501</v>
      </c>
      <c r="DG12" s="626">
        <f>CA12/scenarios!$B17*1000000</f>
        <v>4.7274543316509625</v>
      </c>
      <c r="DH12" s="626">
        <f>CB12/scenarios!$B17*1000000</f>
        <v>4.4973211232951655</v>
      </c>
      <c r="DI12" s="626">
        <f>CC12/scenarios!$B17*1000000</f>
        <v>5.1348878040369215</v>
      </c>
      <c r="DJ12" s="626">
        <f>CD12/scenarios!$B17*1000000</f>
        <v>5.0167836760104363</v>
      </c>
      <c r="DL12" s="79">
        <f>DL11+1</f>
        <v>2013</v>
      </c>
      <c r="DM12" s="299">
        <f>'base data'!$G$18</f>
        <v>40.523658056136497</v>
      </c>
      <c r="DN12" s="211">
        <f>'base data'!$G$18</f>
        <v>40.523658056136497</v>
      </c>
      <c r="DO12" s="211">
        <f>'base data'!$G$18</f>
        <v>40.523658056136497</v>
      </c>
      <c r="DP12" s="211">
        <f>'base data'!$G$18</f>
        <v>40.523658056136497</v>
      </c>
      <c r="DQ12" s="211">
        <f>'base data'!$G$18</f>
        <v>40.523658056136497</v>
      </c>
      <c r="DR12" s="293">
        <f>'base data'!$G$18</f>
        <v>40.523658056136497</v>
      </c>
      <c r="DS12" s="628">
        <f>'IPCC SR15 paths P1-P4'!C10</f>
        <v>38.848479436000019</v>
      </c>
      <c r="DT12" s="629">
        <f>'IPCC SR15 paths P1-P4'!E10</f>
        <v>36.218020889999991</v>
      </c>
      <c r="DU12" s="629">
        <f>'IPCC SR15 paths P1-P4'!G10</f>
        <v>40.498847943000001</v>
      </c>
      <c r="DV12" s="630">
        <f>'IPCC SR15 paths P1-P4'!I10</f>
        <v>37.369000000000028</v>
      </c>
    </row>
    <row r="13" spans="2:126" x14ac:dyDescent="0.25">
      <c r="BT13" s="79">
        <f t="shared" si="15"/>
        <v>2022</v>
      </c>
      <c r="BU13" s="280">
        <f>scenarios!E18</f>
        <v>33.197855380988798</v>
      </c>
      <c r="BV13" s="280">
        <f>scenarios!M18</f>
        <v>40.013931736379995</v>
      </c>
      <c r="BW13" s="280">
        <f>scenarios!V18</f>
        <v>39.520670212747206</v>
      </c>
      <c r="BX13" s="399">
        <f>scenarios!AE18</f>
        <v>40.204256701878194</v>
      </c>
      <c r="BY13" s="399">
        <f>scenarios!AN18</f>
        <v>38.54231270287876</v>
      </c>
      <c r="BZ13" s="399">
        <f>scenarios!BF18</f>
        <v>36.522204869624375</v>
      </c>
      <c r="CA13" s="280">
        <f>'IPCC SR15 paths P1-P4'!C19</f>
        <v>34.893571561999124</v>
      </c>
      <c r="CB13" s="399">
        <f>'IPCC SR15 paths P1-P4'!E19</f>
        <v>33.598610499999722</v>
      </c>
      <c r="CC13" s="616">
        <f>'IPCC SR15 paths P1-P4'!G10</f>
        <v>40.498847943000001</v>
      </c>
      <c r="CD13" s="399">
        <f>'IPCC SR15 paths P1-P4'!I19</f>
        <v>39.313999999999965</v>
      </c>
      <c r="CF13" s="79">
        <f t="shared" si="16"/>
        <v>2022</v>
      </c>
      <c r="CG13" s="278">
        <f>IF($BU12&gt;'goal seek'!$F$31,$BU13/$BU12-1,#N/A)</f>
        <v>-7.767656910741183E-2</v>
      </c>
      <c r="CH13" s="278">
        <f>IF(BV12&gt;'goal seek'!$F$28,BV13/BV12-1,#N/A)</f>
        <v>-2.0987831488203934E-2</v>
      </c>
      <c r="CI13" s="278">
        <f>IF(BW12&gt;'goal seek'!$F$28,BW13/BW12-1,#N/A)</f>
        <v>-2.8950846887674575E-2</v>
      </c>
      <c r="CJ13" s="402">
        <f>IF(BX12&gt;'goal seek'!$F$28,BX13/BX12-1,#N/A)</f>
        <v>-1.812523852206227E-2</v>
      </c>
      <c r="CK13" s="402">
        <f>IF(BY12&gt;'goal seek'!$F$28,BY13/BY12-1,#N/A)</f>
        <v>-4.3686627809993106E-2</v>
      </c>
      <c r="CL13" s="402">
        <f>IF(BZ12&gt;'goal seek'!$F$28,BZ13/BZ12-1,#N/A)</f>
        <v>-8.0814854933102809E-2</v>
      </c>
      <c r="CM13" s="622">
        <f t="shared" si="17"/>
        <v>-6.2719882579382213E-2</v>
      </c>
      <c r="CN13" s="402">
        <f t="shared" si="8"/>
        <v>-5.1322193690804263E-2</v>
      </c>
      <c r="CO13" s="194">
        <f t="shared" si="8"/>
        <v>1.5278549398904939E-3</v>
      </c>
      <c r="CP13" s="402">
        <f t="shared" si="8"/>
        <v>-4.8852102159121502E-3</v>
      </c>
      <c r="CR13" s="79">
        <f t="shared" si="18"/>
        <v>2022</v>
      </c>
      <c r="CS13" s="278">
        <f t="shared" si="9"/>
        <v>-7.767656910741183E-2</v>
      </c>
      <c r="CT13" s="278">
        <f t="shared" si="10"/>
        <v>-2.0987831488203934E-2</v>
      </c>
      <c r="CU13" s="278">
        <f t="shared" si="11"/>
        <v>-2.8950846887674575E-2</v>
      </c>
      <c r="CV13" s="402">
        <f t="shared" si="12"/>
        <v>-1.812523852206227E-2</v>
      </c>
      <c r="CW13" s="402">
        <f t="shared" si="13"/>
        <v>-4.3686627809993106E-2</v>
      </c>
      <c r="CX13" s="402">
        <f t="shared" si="14"/>
        <v>-8.0814854933102809E-2</v>
      </c>
      <c r="CZ13" s="79">
        <f t="shared" si="7"/>
        <v>2022</v>
      </c>
      <c r="DA13" s="299">
        <f>scenarios!K18</f>
        <v>4.1737557649919541</v>
      </c>
      <c r="DB13" s="407">
        <f>scenarios!T18</f>
        <v>5.0306978070743122</v>
      </c>
      <c r="DC13" s="211">
        <f>scenarios!AC18</f>
        <v>4.968683164734192</v>
      </c>
      <c r="DD13" s="407">
        <f>scenarios!AL18</f>
        <v>5.0546261576515885</v>
      </c>
      <c r="DE13" s="407">
        <f>scenarios!AU18</f>
        <v>4.8456804812724448</v>
      </c>
      <c r="DF13" s="407">
        <f>scenarios!BM18</f>
        <v>4.5917051380405063</v>
      </c>
      <c r="DG13" s="626">
        <f>CA13/scenarios!$B18*1000000</f>
        <v>4.3869474035800007</v>
      </c>
      <c r="DH13" s="626">
        <f>CB13/scenarios!$B18*1000000</f>
        <v>4.2241401638974247</v>
      </c>
      <c r="DI13" s="626">
        <f>CC13/scenarios!$B18*1000000</f>
        <v>5.0916632456453019</v>
      </c>
      <c r="DJ13" s="626">
        <f>CD13/scenarios!$B18*1000000</f>
        <v>4.9426998299070908</v>
      </c>
      <c r="DL13" s="79">
        <f t="shared" ref="DL13:DL17" si="19">DL12+1</f>
        <v>2014</v>
      </c>
      <c r="DM13" s="299">
        <f>'base data'!$H$18</f>
        <v>41.303966235512704</v>
      </c>
      <c r="DN13" s="211">
        <f>'base data'!$H$18</f>
        <v>41.303966235512704</v>
      </c>
      <c r="DO13" s="211">
        <f>'base data'!$H$18</f>
        <v>41.303966235512704</v>
      </c>
      <c r="DP13" s="211">
        <f>'base data'!$H$18</f>
        <v>41.303966235512704</v>
      </c>
      <c r="DQ13" s="211">
        <f>'base data'!$H$18</f>
        <v>41.303966235512704</v>
      </c>
      <c r="DR13" s="293">
        <f>'base data'!$H$18</f>
        <v>41.303966235512704</v>
      </c>
      <c r="DS13" s="628">
        <f>'IPCC SR15 paths P1-P4'!C11</f>
        <v>38.95062680800001</v>
      </c>
      <c r="DT13" s="629">
        <f>'IPCC SR15 paths P1-P4'!E11</f>
        <v>36.36314501999999</v>
      </c>
      <c r="DU13" s="629">
        <f>'IPCC SR15 paths P1-P4'!G11</f>
        <v>40.560629914000003</v>
      </c>
      <c r="DV13" s="630">
        <f>'IPCC SR15 paths P1-P4'!I11</f>
        <v>37.701999999999998</v>
      </c>
    </row>
    <row r="14" spans="2:126" x14ac:dyDescent="0.25">
      <c r="BT14" s="79">
        <f t="shared" si="15"/>
        <v>2023</v>
      </c>
      <c r="BU14" s="280">
        <f>scenarios!E19</f>
        <v>30.61915987326956</v>
      </c>
      <c r="BV14" s="280">
        <f>scenarios!M19</f>
        <v>39.052092280448143</v>
      </c>
      <c r="BW14" s="280">
        <f>scenarios!V19</f>
        <v>38.120600266107886</v>
      </c>
      <c r="BX14" s="399">
        <f>scenarios!AE19</f>
        <v>39.368740415687277</v>
      </c>
      <c r="BY14" s="399">
        <f>scenarios!AN19</f>
        <v>36.548006916661137</v>
      </c>
      <c r="BZ14" s="399">
        <f>scenarios!BF19</f>
        <v>32.793427399481033</v>
      </c>
      <c r="CA14" s="280">
        <f>'IPCC SR15 paths P1-P4'!C20</f>
        <v>32.558601822999663</v>
      </c>
      <c r="CB14" s="399">
        <f>'IPCC SR15 paths P1-P4'!E20</f>
        <v>31.780970849999903</v>
      </c>
      <c r="CC14" s="616">
        <f>'IPCC SR15 paths P1-P4'!G11</f>
        <v>40.560629914000003</v>
      </c>
      <c r="CD14" s="399">
        <f>'IPCC SR15 paths P1-P4'!I20</f>
        <v>39.120999999999981</v>
      </c>
      <c r="CF14" s="79">
        <f t="shared" si="16"/>
        <v>2023</v>
      </c>
      <c r="CG14" s="278">
        <f>IF($BU13&gt;'goal seek'!$F$31,$BU14/$BU13-1,#N/A)</f>
        <v>-7.767656910741183E-2</v>
      </c>
      <c r="CH14" s="278">
        <f>IF(BV13&gt;'goal seek'!$F$28,BV14/BV13-1,#N/A)</f>
        <v>-2.4037614255670969E-2</v>
      </c>
      <c r="CI14" s="278">
        <f>IF(BW13&gt;'goal seek'!$F$28,BW14/BW13-1,#N/A)</f>
        <v>-3.5426270331512133E-2</v>
      </c>
      <c r="CJ14" s="402">
        <f>IF(BX13&gt;'goal seek'!$F$28,BX14/BX13-1,#N/A)</f>
        <v>-2.0781786674640479E-2</v>
      </c>
      <c r="CK14" s="402">
        <f>IF(BY13&gt;'goal seek'!$F$28,BY14/BY13-1,#N/A)</f>
        <v>-5.1743282806915425E-2</v>
      </c>
      <c r="CL14" s="402">
        <f>IF(BZ13&gt;'goal seek'!$F$28,BZ14/BZ13-1,#N/A)</f>
        <v>-0.10209617637966262</v>
      </c>
      <c r="CM14" s="622">
        <f t="shared" si="17"/>
        <v>-6.6916902869936123E-2</v>
      </c>
      <c r="CN14" s="402">
        <f t="shared" si="8"/>
        <v>-5.4098655359567149E-2</v>
      </c>
      <c r="CO14" s="194">
        <f t="shared" si="8"/>
        <v>1.5255241602663006E-3</v>
      </c>
      <c r="CP14" s="402">
        <f t="shared" si="8"/>
        <v>-4.9091926540160147E-3</v>
      </c>
      <c r="CR14" s="79">
        <f t="shared" si="18"/>
        <v>2023</v>
      </c>
      <c r="CS14" s="278">
        <f t="shared" si="9"/>
        <v>-7.767656910741183E-2</v>
      </c>
      <c r="CT14" s="278">
        <f t="shared" si="10"/>
        <v>-2.4037614255670969E-2</v>
      </c>
      <c r="CU14" s="278">
        <f t="shared" si="11"/>
        <v>-3.5426270331512133E-2</v>
      </c>
      <c r="CV14" s="402">
        <f t="shared" si="12"/>
        <v>-2.0781786674640479E-2</v>
      </c>
      <c r="CW14" s="402">
        <f t="shared" si="13"/>
        <v>-5.1743282806915425E-2</v>
      </c>
      <c r="CX14" s="402">
        <f t="shared" si="14"/>
        <v>-0.10209617637966262</v>
      </c>
      <c r="CZ14" s="79">
        <f t="shared" si="7"/>
        <v>2023</v>
      </c>
      <c r="DA14" s="299">
        <f>scenarios!K19</f>
        <v>3.8122411212702159</v>
      </c>
      <c r="DB14" s="407">
        <f>scenarios!T19</f>
        <v>4.8621840925534965</v>
      </c>
      <c r="DC14" s="211">
        <f>scenarios!AC19</f>
        <v>4.7462085995647803</v>
      </c>
      <c r="DD14" s="407">
        <f>scenarios!AL19</f>
        <v>4.901608395739097</v>
      </c>
      <c r="DE14" s="407">
        <f>scenarios!AU19</f>
        <v>4.5504127299651485</v>
      </c>
      <c r="DF14" s="407">
        <f>scenarios!BM19</f>
        <v>4.0829484857561358</v>
      </c>
      <c r="DG14" s="626">
        <f>CA14/scenarios!$B19*1000000</f>
        <v>4.0537115072533458</v>
      </c>
      <c r="DH14" s="626">
        <f>CB14/scenarios!$B19*1000000</f>
        <v>3.9568924963884839</v>
      </c>
      <c r="DI14" s="626">
        <f>CC14/scenarios!$B19*1000000</f>
        <v>5.0500046997619457</v>
      </c>
      <c r="DJ14" s="626">
        <f>CD14/scenarios!$B19*1000000</f>
        <v>4.8707634540753579</v>
      </c>
      <c r="DL14" s="79">
        <f t="shared" si="19"/>
        <v>2015</v>
      </c>
      <c r="DM14" s="299">
        <f>'base data'!$I$18</f>
        <v>41.480360497070492</v>
      </c>
      <c r="DN14" s="211">
        <f>'base data'!$I$18</f>
        <v>41.480360497070492</v>
      </c>
      <c r="DO14" s="211">
        <f>'base data'!$I$18</f>
        <v>41.480360497070492</v>
      </c>
      <c r="DP14" s="211">
        <f>'base data'!$I$18</f>
        <v>41.480360497070492</v>
      </c>
      <c r="DQ14" s="211">
        <f>'base data'!$I$18</f>
        <v>41.480360497070492</v>
      </c>
      <c r="DR14" s="293">
        <f>'base data'!$I$18</f>
        <v>41.480360497070492</v>
      </c>
      <c r="DS14" s="628">
        <f>'IPCC SR15 paths P1-P4'!C12</f>
        <v>39.05277418</v>
      </c>
      <c r="DT14" s="629">
        <f>'IPCC SR15 paths P1-P4'!E12</f>
        <v>36.50826914999999</v>
      </c>
      <c r="DU14" s="629">
        <f>'IPCC SR15 paths P1-P4'!G12</f>
        <v>40.622411885000005</v>
      </c>
      <c r="DV14" s="630">
        <f>'IPCC SR15 paths P1-P4'!I12</f>
        <v>38.034999999999968</v>
      </c>
    </row>
    <row r="15" spans="2:126" x14ac:dyDescent="0.25">
      <c r="BT15" s="79">
        <f t="shared" si="15"/>
        <v>2024</v>
      </c>
      <c r="BU15" s="280">
        <f>scenarios!E20</f>
        <v>28.240768585362645</v>
      </c>
      <c r="BV15" s="280">
        <f>scenarios!M20</f>
        <v>37.976966040903676</v>
      </c>
      <c r="BW15" s="280">
        <f>scenarios!V20</f>
        <v>36.52328254722493</v>
      </c>
      <c r="BX15" s="399">
        <f>scenarios!AE20</f>
        <v>38.404168714250304</v>
      </c>
      <c r="BY15" s="399">
        <f>scenarios!AN20</f>
        <v>34.417549672984222</v>
      </c>
      <c r="BZ15" s="399">
        <f>scenarios!BF20</f>
        <v>28.931788391085348</v>
      </c>
      <c r="CA15" s="280">
        <f>'IPCC SR15 paths P1-P4'!C21</f>
        <v>30.223632083999291</v>
      </c>
      <c r="CB15" s="399">
        <f>'IPCC SR15 paths P1-P4'!E21</f>
        <v>29.963331200000084</v>
      </c>
      <c r="CC15" s="616">
        <f>'IPCC SR15 paths P1-P4'!G12</f>
        <v>40.622411885000005</v>
      </c>
      <c r="CD15" s="399">
        <f>'IPCC SR15 paths P1-P4'!I21</f>
        <v>38.927999999999997</v>
      </c>
      <c r="CF15" s="79">
        <f t="shared" si="16"/>
        <v>2024</v>
      </c>
      <c r="CG15" s="278">
        <f>IF($BU14&gt;'goal seek'!$F$31,$BU15/$BU14-1,#N/A)</f>
        <v>-7.767656910741183E-2</v>
      </c>
      <c r="CH15" s="278">
        <f>IF(BV14&gt;'goal seek'!$F$28,BV15/BV14-1,#N/A)</f>
        <v>-2.7530566911077914E-2</v>
      </c>
      <c r="CI15" s="278">
        <f>IF(BW14&gt;'goal seek'!$F$28,BW15/BW14-1,#N/A)</f>
        <v>-4.1901693775349358E-2</v>
      </c>
      <c r="CJ15" s="402">
        <f>IF(BX14&gt;'goal seek'!$F$28,BX15/BX14-1,#N/A)</f>
        <v>-2.4500954088249705E-2</v>
      </c>
      <c r="CK15" s="402">
        <f>IF(BY14&gt;'goal seek'!$F$28,BY15/BY14-1,#N/A)</f>
        <v>-5.8292022559120804E-2</v>
      </c>
      <c r="CL15" s="402">
        <f>IF(BZ14&gt;'goal seek'!$F$28,BZ15/BZ14-1,#N/A)</f>
        <v>-0.11775649313364533</v>
      </c>
      <c r="CM15" s="622">
        <f t="shared" si="17"/>
        <v>-7.1715909414480139E-2</v>
      </c>
      <c r="CN15" s="402">
        <f t="shared" si="8"/>
        <v>-5.7192703727608873E-2</v>
      </c>
      <c r="CO15" s="194">
        <f t="shared" si="8"/>
        <v>1.5232004811314148E-3</v>
      </c>
      <c r="CP15" s="402">
        <f t="shared" si="8"/>
        <v>-4.9334117226038643E-3</v>
      </c>
      <c r="CR15" s="79">
        <f t="shared" si="18"/>
        <v>2024</v>
      </c>
      <c r="CS15" s="278">
        <f t="shared" si="9"/>
        <v>-7.767656910741183E-2</v>
      </c>
      <c r="CT15" s="278">
        <f t="shared" si="10"/>
        <v>-2.7530566911077914E-2</v>
      </c>
      <c r="CU15" s="278">
        <f t="shared" si="11"/>
        <v>-4.1901693775349358E-2</v>
      </c>
      <c r="CV15" s="402">
        <f t="shared" si="12"/>
        <v>-2.4500954088249705E-2</v>
      </c>
      <c r="CW15" s="402">
        <f t="shared" si="13"/>
        <v>-5.8292022559120804E-2</v>
      </c>
      <c r="CX15" s="402">
        <f t="shared" si="14"/>
        <v>-0.11775649313364533</v>
      </c>
      <c r="CZ15" s="79">
        <f t="shared" si="7"/>
        <v>2024</v>
      </c>
      <c r="DA15" s="299">
        <f>scenarios!K20</f>
        <v>3.4828145203805843</v>
      </c>
      <c r="DB15" s="407">
        <f>scenarios!T20</f>
        <v>4.6835385647334782</v>
      </c>
      <c r="DC15" s="211">
        <f>scenarios!AC20</f>
        <v>4.5042619290952395</v>
      </c>
      <c r="DD15" s="407">
        <f>scenarios!AL20</f>
        <v>4.736223663206621</v>
      </c>
      <c r="DE15" s="407">
        <f>scenarios!AU20</f>
        <v>4.244570801770557</v>
      </c>
      <c r="DF15" s="407">
        <f>scenarios!BM20</f>
        <v>3.5680350697422973</v>
      </c>
      <c r="DG15" s="626">
        <f>CA15/scenarios!$B20*1000000</f>
        <v>3.7273526873964693</v>
      </c>
      <c r="DH15" s="626">
        <f>CB15/scenarios!$B20*1000000</f>
        <v>3.6952508805451423</v>
      </c>
      <c r="DI15" s="626">
        <f>CC15/scenarios!$B20*1000000</f>
        <v>5.0097902094381714</v>
      </c>
      <c r="DJ15" s="626">
        <f>CD15/scenarios!$B20*1000000</f>
        <v>4.8008255596714458</v>
      </c>
      <c r="DL15" s="79">
        <f t="shared" si="19"/>
        <v>2016</v>
      </c>
      <c r="DM15" s="299">
        <f>'base data'!$J$18</f>
        <v>41.012741198578425</v>
      </c>
      <c r="DN15" s="211">
        <f>'base data'!$J$18</f>
        <v>41.012741198578425</v>
      </c>
      <c r="DO15" s="211">
        <f>'base data'!$J$18</f>
        <v>41.012741198578425</v>
      </c>
      <c r="DP15" s="211">
        <f>'base data'!$J$18</f>
        <v>41.012741198578425</v>
      </c>
      <c r="DQ15" s="211">
        <f>'base data'!$J$18</f>
        <v>41.012741198578425</v>
      </c>
      <c r="DR15" s="293">
        <f>'base data'!$J$18</f>
        <v>41.012741198578425</v>
      </c>
      <c r="DS15" s="628">
        <f>'IPCC SR15 paths P1-P4'!C13</f>
        <v>39.15492155199999</v>
      </c>
      <c r="DT15" s="629">
        <f>'IPCC SR15 paths P1-P4'!E13</f>
        <v>36.653393279999989</v>
      </c>
      <c r="DU15" s="629">
        <f>'IPCC SR15 paths P1-P4'!G13</f>
        <v>40.684193856000007</v>
      </c>
      <c r="DV15" s="630">
        <f>'IPCC SR15 paths P1-P4'!I13</f>
        <v>38.367999999999938</v>
      </c>
    </row>
    <row r="16" spans="2:126" x14ac:dyDescent="0.25">
      <c r="BT16" s="79">
        <f t="shared" si="15"/>
        <v>2025</v>
      </c>
      <c r="BU16" s="280">
        <f>scenarios!E21</f>
        <v>26.047122572695297</v>
      </c>
      <c r="BV16" s="280">
        <f>scenarios!M21</f>
        <v>36.779511007910521</v>
      </c>
      <c r="BW16" s="280">
        <f>scenarios!V21</f>
        <v>34.756391426208353</v>
      </c>
      <c r="BX16" s="399">
        <f>scenarios!AE21</f>
        <v>37.279589397576622</v>
      </c>
      <c r="BY16" s="399">
        <f>scenarios!AN21</f>
        <v>32.216387465493881</v>
      </c>
      <c r="BZ16" s="399">
        <f>scenarios!BF21</f>
        <v>25.177512457858086</v>
      </c>
      <c r="CA16" s="280">
        <f>'IPCC SR15 paths P1-P4'!C22</f>
        <v>27.88866234499983</v>
      </c>
      <c r="CB16" s="399">
        <f>'IPCC SR15 paths P1-P4'!E22</f>
        <v>28.14569154999981</v>
      </c>
      <c r="CC16" s="616">
        <f>'IPCC SR15 paths P1-P4'!G13</f>
        <v>40.684193856000007</v>
      </c>
      <c r="CD16" s="399">
        <f>'IPCC SR15 paths P1-P4'!I22</f>
        <v>38.735000000000014</v>
      </c>
      <c r="CF16" s="79">
        <f t="shared" si="16"/>
        <v>2025</v>
      </c>
      <c r="CG16" s="278">
        <f>IF($BU15&gt;'goal seek'!$F$31,$BU16/$BU15-1,#N/A)</f>
        <v>-7.767656910741183E-2</v>
      </c>
      <c r="CH16" s="278">
        <f>IF(BV15&gt;'goal seek'!$F$28,BV16/BV15-1,#N/A)</f>
        <v>-3.1531087336029384E-2</v>
      </c>
      <c r="CI16" s="278">
        <f>IF(BW15&gt;'goal seek'!$F$28,BW16/BW15-1,#N/A)</f>
        <v>-4.8377117219186694E-2</v>
      </c>
      <c r="CJ16" s="402">
        <f>IF(BX15&gt;'goal seek'!$F$28,BX16/BX15-1,#N/A)</f>
        <v>-2.9282740762889947E-2</v>
      </c>
      <c r="CK16" s="402">
        <f>IF(BY15&gt;'goal seek'!$F$28,BY16/BY15-1,#N/A)</f>
        <v>-6.3954646057157505E-2</v>
      </c>
      <c r="CL16" s="402">
        <f>IF(BZ15&gt;'goal seek'!$F$28,BZ16/BZ15-1,#N/A)</f>
        <v>-0.1297630095477974</v>
      </c>
      <c r="CM16" s="622">
        <f t="shared" si="17"/>
        <v>-7.7256424128972268E-2</v>
      </c>
      <c r="CN16" s="402">
        <f t="shared" si="8"/>
        <v>-6.066213525685249E-2</v>
      </c>
      <c r="CO16" s="194">
        <f t="shared" si="8"/>
        <v>1.5208838700888627E-3</v>
      </c>
      <c r="CP16" s="402">
        <f t="shared" si="8"/>
        <v>-4.9578709412243516E-3</v>
      </c>
      <c r="CR16" s="79">
        <f t="shared" si="18"/>
        <v>2025</v>
      </c>
      <c r="CS16" s="278">
        <f t="shared" si="9"/>
        <v>-7.767656910741183E-2</v>
      </c>
      <c r="CT16" s="278">
        <f t="shared" si="10"/>
        <v>-3.1531087336029384E-2</v>
      </c>
      <c r="CU16" s="278">
        <f t="shared" si="11"/>
        <v>-4.8377117219186694E-2</v>
      </c>
      <c r="CV16" s="402">
        <f t="shared" si="12"/>
        <v>-2.9282740762889947E-2</v>
      </c>
      <c r="CW16" s="402">
        <f t="shared" si="13"/>
        <v>-6.3954646057157505E-2</v>
      </c>
      <c r="CX16" s="402">
        <f t="shared" si="14"/>
        <v>-0.1297630095477974</v>
      </c>
      <c r="CZ16" s="79">
        <f t="shared" si="7"/>
        <v>2025</v>
      </c>
      <c r="DA16" s="299">
        <f>scenarios!K21</f>
        <v>3.1825183709932454</v>
      </c>
      <c r="DB16" s="407">
        <f>scenarios!T21</f>
        <v>4.4938349382793765</v>
      </c>
      <c r="DC16" s="211">
        <f>scenarios!AC21</f>
        <v>4.2466439014378334</v>
      </c>
      <c r="DD16" s="407">
        <f>scenarios!AL21</f>
        <v>4.5549360698000401</v>
      </c>
      <c r="DE16" s="407">
        <f>scenarios!AU21</f>
        <v>3.9362983250768075</v>
      </c>
      <c r="DF16" s="407">
        <f>scenarios!BM21</f>
        <v>3.0762667050617409</v>
      </c>
      <c r="DG16" s="626">
        <f>CA16/scenarios!$B21*1000000</f>
        <v>3.4075234225077491</v>
      </c>
      <c r="DH16" s="626">
        <f>CB16/scenarios!$B21*1000000</f>
        <v>3.4389280494300229</v>
      </c>
      <c r="DI16" s="626">
        <f>CC16/scenarios!$B21*1000000</f>
        <v>4.9709212215056748</v>
      </c>
      <c r="DJ16" s="626">
        <f>CD16/scenarios!$B21*1000000</f>
        <v>4.7327626595365313</v>
      </c>
      <c r="DL16" s="79">
        <f t="shared" si="19"/>
        <v>2017</v>
      </c>
      <c r="DM16" s="299">
        <f>'base data'!$K$18</f>
        <v>41.193001288292642</v>
      </c>
      <c r="DN16" s="211">
        <f>'base data'!$K$18</f>
        <v>41.193001288292642</v>
      </c>
      <c r="DO16" s="211">
        <f>'base data'!$K$18</f>
        <v>41.193001288292642</v>
      </c>
      <c r="DP16" s="211">
        <f>'base data'!$K$18</f>
        <v>41.193001288292642</v>
      </c>
      <c r="DQ16" s="211">
        <f>'base data'!$K$18</f>
        <v>41.193001288292642</v>
      </c>
      <c r="DR16" s="293">
        <f>'base data'!$K$18</f>
        <v>41.193001288292642</v>
      </c>
      <c r="DS16" s="628">
        <f>'IPCC SR15 paths P1-P4'!C14</f>
        <v>39.257068924000009</v>
      </c>
      <c r="DT16" s="629">
        <f>'IPCC SR15 paths P1-P4'!E14</f>
        <v>36.798517409999988</v>
      </c>
      <c r="DU16" s="629">
        <f>'IPCC SR15 paths P1-P4'!G14</f>
        <v>40.745975827000009</v>
      </c>
      <c r="DV16" s="630">
        <f>'IPCC SR15 paths P1-P4'!I14</f>
        <v>38.701000000000022</v>
      </c>
    </row>
    <row r="17" spans="72:126" x14ac:dyDescent="0.25">
      <c r="BT17" s="79">
        <f t="shared" si="15"/>
        <v>2026</v>
      </c>
      <c r="BU17" s="280">
        <f>scenarios!E22</f>
        <v>24.023871456128106</v>
      </c>
      <c r="BV17" s="280">
        <f>scenarios!M22</f>
        <v>35.451295057531894</v>
      </c>
      <c r="BW17" s="280">
        <f>scenarios!V22</f>
        <v>32.849915052202277</v>
      </c>
      <c r="BX17" s="399">
        <f>scenarios!AE22</f>
        <v>35.970063791945805</v>
      </c>
      <c r="BY17" s="399">
        <f>scenarios!AN22</f>
        <v>29.992945908131034</v>
      </c>
      <c r="BZ17" s="399">
        <f>scenarios!BF22</f>
        <v>21.671270172514866</v>
      </c>
      <c r="CA17" s="280">
        <f>'IPCC SR15 paths P1-P4'!C23</f>
        <v>25.553692605999458</v>
      </c>
      <c r="CB17" s="399">
        <f>'IPCC SR15 paths P1-P4'!E23</f>
        <v>26.328051899999991</v>
      </c>
      <c r="CC17" s="616">
        <f>'IPCC SR15 paths P1-P4'!G14</f>
        <v>40.745975827000009</v>
      </c>
      <c r="CD17" s="399">
        <f>'IPCC SR15 paths P1-P4'!I23</f>
        <v>38.541999999999973</v>
      </c>
      <c r="CF17" s="79">
        <f t="shared" si="16"/>
        <v>2026</v>
      </c>
      <c r="CG17" s="278">
        <f>IF($BU16&gt;'goal seek'!$F$31,$BU17/$BU16-1,#N/A)</f>
        <v>-7.767656910741183E-2</v>
      </c>
      <c r="CH17" s="278">
        <f>IF(BV16&gt;'goal seek'!$F$28,BV17/BV16-1,#N/A)</f>
        <v>-3.611293119402692E-2</v>
      </c>
      <c r="CI17" s="278">
        <f>IF(BW16&gt;'goal seek'!$F$28,BW17/BW16-1,#N/A)</f>
        <v>-5.4852540663024141E-2</v>
      </c>
      <c r="CJ17" s="402">
        <f>IF(BX16&gt;'goal seek'!$F$28,BX17/BX16-1,#N/A)</f>
        <v>-3.5127146698561651E-2</v>
      </c>
      <c r="CK17" s="402">
        <f>IF(BY16&gt;'goal seek'!$F$28,BY17/BY16-1,#N/A)</f>
        <v>-6.9015855975295692E-2</v>
      </c>
      <c r="CL17" s="402">
        <f>IF(BZ16&gt;'goal seek'!$F$28,BZ17/BZ16-1,#N/A)</f>
        <v>-0.13926086984216324</v>
      </c>
      <c r="CM17" s="622">
        <f t="shared" si="17"/>
        <v>-8.3724694648863562E-2</v>
      </c>
      <c r="CN17" s="402">
        <f t="shared" si="8"/>
        <v>-6.4579676316385726E-2</v>
      </c>
      <c r="CO17" s="194">
        <f t="shared" si="8"/>
        <v>1.5185742949381797E-3</v>
      </c>
      <c r="CP17" s="402">
        <f t="shared" si="8"/>
        <v>-4.9825738995751268E-3</v>
      </c>
      <c r="CR17" s="79">
        <f t="shared" si="18"/>
        <v>2026</v>
      </c>
      <c r="CS17" s="278">
        <f t="shared" si="9"/>
        <v>-7.767656910741183E-2</v>
      </c>
      <c r="CT17" s="278">
        <f t="shared" si="10"/>
        <v>-3.611293119402692E-2</v>
      </c>
      <c r="CU17" s="278">
        <f t="shared" si="11"/>
        <v>-5.4852540663024141E-2</v>
      </c>
      <c r="CV17" s="402">
        <f t="shared" si="12"/>
        <v>-3.5127146698561651E-2</v>
      </c>
      <c r="CW17" s="402">
        <f t="shared" si="13"/>
        <v>-6.9015855975295692E-2</v>
      </c>
      <c r="CX17" s="402">
        <f t="shared" si="14"/>
        <v>-0.13926086984216324</v>
      </c>
      <c r="CZ17" s="79">
        <f t="shared" si="7"/>
        <v>2026</v>
      </c>
      <c r="DA17" s="299">
        <f>scenarios!K22</f>
        <v>2.908713707158606</v>
      </c>
      <c r="DB17" s="407">
        <f>scenarios!T22</f>
        <v>4.2923001839515544</v>
      </c>
      <c r="DC17" s="211">
        <f>scenarios!AC22</f>
        <v>3.9773355583353762</v>
      </c>
      <c r="DD17" s="407">
        <f>scenarios!AL22</f>
        <v>4.3551106152923431</v>
      </c>
      <c r="DE17" s="407">
        <f>scenarios!AU22</f>
        <v>3.6314252280430681</v>
      </c>
      <c r="DF17" s="407">
        <f>scenarios!BM22</f>
        <v>2.62387020832365</v>
      </c>
      <c r="DG17" s="626">
        <f>CA17/scenarios!$B22*1000000</f>
        <v>3.0939382974690437</v>
      </c>
      <c r="DH17" s="626">
        <f>CB17/scenarios!$B22*1000000</f>
        <v>3.1876946055161577</v>
      </c>
      <c r="DI17" s="626">
        <f>CC17/scenarios!$B22*1000000</f>
        <v>4.9333588308605441</v>
      </c>
      <c r="DJ17" s="626">
        <f>CD17/scenarios!$B22*1000000</f>
        <v>4.6665103043876819</v>
      </c>
      <c r="DL17" s="79">
        <f t="shared" si="19"/>
        <v>2018</v>
      </c>
      <c r="DM17" s="299">
        <f>'base data'!$L$18</f>
        <v>42.101177440626522</v>
      </c>
      <c r="DN17" s="211">
        <f>'base data'!$L$18</f>
        <v>42.101177440626522</v>
      </c>
      <c r="DO17" s="211">
        <f>'base data'!$L$18</f>
        <v>42.101177440626522</v>
      </c>
      <c r="DP17" s="211">
        <f>'base data'!$L$18</f>
        <v>42.101177440626522</v>
      </c>
      <c r="DQ17" s="211">
        <f>'base data'!$L$18</f>
        <v>42.101177440626522</v>
      </c>
      <c r="DR17" s="293">
        <f>'base data'!$L$18</f>
        <v>42.101177440626522</v>
      </c>
      <c r="DS17" s="628">
        <f>'IPCC SR15 paths P1-P4'!C15</f>
        <v>39.359216296</v>
      </c>
      <c r="DT17" s="629">
        <f>'IPCC SR15 paths P1-P4'!E15</f>
        <v>36.943641539999987</v>
      </c>
      <c r="DU17" s="629">
        <f>'IPCC SR15 paths P1-P4'!G15</f>
        <v>40.807757797999997</v>
      </c>
      <c r="DV17" s="630">
        <f>'IPCC SR15 paths P1-P4'!I15</f>
        <v>39.033999999999992</v>
      </c>
    </row>
    <row r="18" spans="72:126" x14ac:dyDescent="0.25">
      <c r="BT18" s="79">
        <f t="shared" si="15"/>
        <v>2027</v>
      </c>
      <c r="BU18" s="280">
        <f>scenarios!E23</f>
        <v>22.157779544738592</v>
      </c>
      <c r="BV18" s="280">
        <f>scenarios!M23</f>
        <v>33.98500922545341</v>
      </c>
      <c r="BW18" s="280">
        <f>scenarios!V23</f>
        <v>30.835296640967364</v>
      </c>
      <c r="BX18" s="399">
        <f>scenarios!AE23</f>
        <v>34.458091947431519</v>
      </c>
      <c r="BY18" s="399">
        <f>scenarios!AN23</f>
        <v>27.784435978772759</v>
      </c>
      <c r="BZ18" s="399">
        <f>scenarios!BF23</f>
        <v>18.486418119923655</v>
      </c>
      <c r="CA18" s="280">
        <f>'IPCC SR15 paths P1-P4'!C24</f>
        <v>23.218722866999087</v>
      </c>
      <c r="CB18" s="399">
        <f>'IPCC SR15 paths P1-P4'!E24</f>
        <v>24.510412249999717</v>
      </c>
      <c r="CC18" s="616">
        <f>'IPCC SR15 paths P1-P4'!G15</f>
        <v>40.807757797999997</v>
      </c>
      <c r="CD18" s="399">
        <f>'IPCC SR15 paths P1-P4'!I24</f>
        <v>38.34899999999999</v>
      </c>
      <c r="CF18" s="79">
        <f t="shared" si="16"/>
        <v>2027</v>
      </c>
      <c r="CG18" s="278">
        <f>IF($BU17&gt;'goal seek'!$F$31,$BU18/$BU17-1,#N/A)</f>
        <v>-7.767656910741183E-2</v>
      </c>
      <c r="CH18" s="278">
        <f>IF(BV17&gt;'goal seek'!$F$28,BV18/BV17-1,#N/A)</f>
        <v>-4.1360571728026652E-2</v>
      </c>
      <c r="CI18" s="278">
        <f>IF(BW17&gt;'goal seek'!$F$28,BW18/BW17-1,#N/A)</f>
        <v>-6.1327964106861588E-2</v>
      </c>
      <c r="CJ18" s="402">
        <f>IF(BX17&gt;'goal seek'!$F$28,BX18/BX17-1,#N/A)</f>
        <v>-4.2034171895264705E-2</v>
      </c>
      <c r="CK18" s="402">
        <f>IF(BY17&gt;'goal seek'!$F$28,BY18/BY17-1,#N/A)</f>
        <v>-7.3634311751936021E-2</v>
      </c>
      <c r="CL18" s="402">
        <f>IF(BZ17&gt;'goal seek'!$F$28,BZ18/BZ17-1,#N/A)</f>
        <v>-0.146961946726615</v>
      </c>
      <c r="CM18" s="622">
        <f t="shared" si="17"/>
        <v>-9.1375042151527253E-2</v>
      </c>
      <c r="CN18" s="402">
        <f t="shared" si="8"/>
        <v>-6.9038136847499709E-2</v>
      </c>
      <c r="CO18" s="194">
        <f t="shared" si="8"/>
        <v>1.5162717236740786E-3</v>
      </c>
      <c r="CP18" s="402">
        <f t="shared" si="8"/>
        <v>-5.0075242592492186E-3</v>
      </c>
      <c r="CR18" s="79">
        <f t="shared" si="18"/>
        <v>2027</v>
      </c>
      <c r="CS18" s="278">
        <f t="shared" si="9"/>
        <v>-7.767656910741183E-2</v>
      </c>
      <c r="CT18" s="278">
        <f t="shared" si="10"/>
        <v>-4.1360571728026652E-2</v>
      </c>
      <c r="CU18" s="278">
        <f t="shared" si="11"/>
        <v>-6.1327964106861588E-2</v>
      </c>
      <c r="CV18" s="402">
        <f t="shared" si="12"/>
        <v>-4.2034171895264705E-2</v>
      </c>
      <c r="CW18" s="402">
        <f t="shared" si="13"/>
        <v>-7.3634311751936021E-2</v>
      </c>
      <c r="CX18" s="402">
        <f t="shared" si="14"/>
        <v>-0.146961946726615</v>
      </c>
      <c r="CZ18" s="79">
        <f t="shared" si="7"/>
        <v>2027</v>
      </c>
      <c r="DA18" s="299">
        <f>scenarios!K23</f>
        <v>2.6590149167558348</v>
      </c>
      <c r="DB18" s="407">
        <f>scenarios!T23</f>
        <v>4.0783259123102447</v>
      </c>
      <c r="DC18" s="211">
        <f>scenarios!AC23</f>
        <v>3.7003488352871692</v>
      </c>
      <c r="DD18" s="407">
        <f>scenarios!AL23</f>
        <v>4.1350975762786195</v>
      </c>
      <c r="DE18" s="407">
        <f>scenarios!AU23</f>
        <v>3.3342343519591089</v>
      </c>
      <c r="DF18" s="407">
        <f>scenarios!BM23</f>
        <v>2.2184380632099239</v>
      </c>
      <c r="DG18" s="626">
        <f>CA18/scenarios!$B23*1000000</f>
        <v>2.7863320115950163</v>
      </c>
      <c r="DH18" s="626">
        <f>CB18/scenarios!$B23*1000000</f>
        <v>2.9413394811060738</v>
      </c>
      <c r="DI18" s="626">
        <f>CC18/scenarios!$B23*1000000</f>
        <v>4.8970807966183045</v>
      </c>
      <c r="DJ18" s="626">
        <f>CD18/scenarios!$B23*1000000</f>
        <v>4.6020208314096438</v>
      </c>
      <c r="DL18" s="79">
        <f t="shared" ref="DL18:DL49" si="20">BT10</f>
        <v>2019</v>
      </c>
      <c r="DM18" s="299">
        <f t="shared" ref="DM18:DM49" si="21">BU10</f>
        <v>42.311683327829648</v>
      </c>
      <c r="DN18" s="211">
        <f t="shared" ref="DN18:DN49" si="22">BV10</f>
        <v>42.311683327829648</v>
      </c>
      <c r="DO18" s="211">
        <f t="shared" ref="DO18:DO49" si="23">BW10</f>
        <v>42.311683327829648</v>
      </c>
      <c r="DP18" s="211">
        <f t="shared" ref="DP18:DP49" si="24">BX10</f>
        <v>42.311683327829648</v>
      </c>
      <c r="DQ18" s="211">
        <f t="shared" ref="DQ18:DQ49" si="25">BY10</f>
        <v>42.311683327829648</v>
      </c>
      <c r="DR18" s="293">
        <f t="shared" ref="DR18:DR49" si="26">BZ10</f>
        <v>42.311683327829648</v>
      </c>
      <c r="DS18" s="628">
        <f>'IPCC SR15 paths P1-P4'!C16</f>
        <v>39.46136366799999</v>
      </c>
      <c r="DT18" s="629">
        <f>'IPCC SR15 paths P1-P4'!E16</f>
        <v>37.088765669999987</v>
      </c>
      <c r="DU18" s="629">
        <f>'IPCC SR15 paths P1-P4'!G16</f>
        <v>40.869539768999999</v>
      </c>
      <c r="DV18" s="630">
        <f>'IPCC SR15 paths P1-P4'!I16</f>
        <v>39.366999999999962</v>
      </c>
    </row>
    <row r="19" spans="72:126" x14ac:dyDescent="0.25">
      <c r="BT19" s="79">
        <f t="shared" si="15"/>
        <v>2028</v>
      </c>
      <c r="BU19" s="280">
        <f>scenarios!E24</f>
        <v>20.436639250664907</v>
      </c>
      <c r="BV19" s="280">
        <f>scenarios!M24</f>
        <v>32.375113606597644</v>
      </c>
      <c r="BW19" s="280">
        <f>scenarios!V24</f>
        <v>28.74455907257909</v>
      </c>
      <c r="BX19" s="399">
        <f>scenarios!AE24</f>
        <v>32.735055845817413</v>
      </c>
      <c r="BY19" s="399">
        <f>scenarios!AN24</f>
        <v>25.619773303478404</v>
      </c>
      <c r="BZ19" s="399">
        <f>scenarios!BF24</f>
        <v>15.651857785996114</v>
      </c>
      <c r="CA19" s="280">
        <f>'IPCC SR15 paths P1-P4'!C25</f>
        <v>20.883753127999626</v>
      </c>
      <c r="CB19" s="399">
        <f>'IPCC SR15 paths P1-P4'!E25</f>
        <v>22.692772599999898</v>
      </c>
      <c r="CC19" s="616">
        <f>'IPCC SR15 paths P1-P4'!G16</f>
        <v>40.869539768999999</v>
      </c>
      <c r="CD19" s="399">
        <f>'IPCC SR15 paths P1-P4'!I25</f>
        <v>38.156000000000006</v>
      </c>
      <c r="CF19" s="79">
        <f t="shared" si="16"/>
        <v>2028</v>
      </c>
      <c r="CG19" s="278">
        <f>IF($BU18&gt;'goal seek'!$F$31,$BU19/$BU18-1,#N/A)</f>
        <v>-7.767656910741183E-2</v>
      </c>
      <c r="CH19" s="278">
        <f>IF(BV18&gt;'goal seek'!$F$28,BV19/BV18-1,#N/A)</f>
        <v>-4.7370757152833676E-2</v>
      </c>
      <c r="CI19" s="278">
        <f>IF(BW18&gt;'goal seek'!$F$28,BW19/BW18-1,#N/A)</f>
        <v>-6.7803387550698924E-2</v>
      </c>
      <c r="CJ19" s="402">
        <f>IF(BX18&gt;'goal seek'!$F$28,BX19/BX18-1,#N/A)</f>
        <v>-5.0003816352998665E-2</v>
      </c>
      <c r="CK19" s="402">
        <f>IF(BY18&gt;'goal seek'!$F$28,BY19/BY18-1,#N/A)</f>
        <v>-7.7909181850880582E-2</v>
      </c>
      <c r="CL19" s="402">
        <f>IF(BZ18&gt;'goal seek'!$F$28,BZ19/BZ18-1,#N/A)</f>
        <v>-0.15333204710287318</v>
      </c>
      <c r="CM19" s="622">
        <f t="shared" si="17"/>
        <v>-0.10056409012565326</v>
      </c>
      <c r="CN19" s="402">
        <f t="shared" si="8"/>
        <v>-7.415785713681089E-2</v>
      </c>
      <c r="CO19" s="194">
        <f t="shared" si="8"/>
        <v>1.5139761244864491E-3</v>
      </c>
      <c r="CP19" s="402">
        <f t="shared" si="8"/>
        <v>-5.0327257555603522E-3</v>
      </c>
      <c r="CR19" s="79">
        <f t="shared" si="18"/>
        <v>2028</v>
      </c>
      <c r="CS19" s="278">
        <f t="shared" si="9"/>
        <v>-7.767656910741183E-2</v>
      </c>
      <c r="CT19" s="278">
        <f t="shared" si="10"/>
        <v>-4.7370757152833676E-2</v>
      </c>
      <c r="CU19" s="278">
        <f t="shared" si="11"/>
        <v>-6.7803387550698924E-2</v>
      </c>
      <c r="CV19" s="402">
        <f t="shared" si="12"/>
        <v>-5.0003816352998665E-2</v>
      </c>
      <c r="CW19" s="402">
        <f t="shared" si="13"/>
        <v>-7.7909181850880582E-2</v>
      </c>
      <c r="CX19" s="402">
        <f t="shared" si="14"/>
        <v>-0.15333204710287318</v>
      </c>
      <c r="CZ19" s="79">
        <f t="shared" si="7"/>
        <v>2028</v>
      </c>
      <c r="DA19" s="299">
        <f>scenarios!K24</f>
        <v>2.4312362137534484</v>
      </c>
      <c r="DB19" s="407">
        <f>scenarios!T24</f>
        <v>3.851491806422199</v>
      </c>
      <c r="DC19" s="211">
        <f>scenarios!AC24</f>
        <v>3.4195844095724208</v>
      </c>
      <c r="DD19" s="407">
        <f>scenarios!AL24</f>
        <v>3.8943121838882315</v>
      </c>
      <c r="DE19" s="407">
        <f>scenarios!AU24</f>
        <v>3.0478455816331924</v>
      </c>
      <c r="DF19" s="407">
        <f>scenarios!BM24</f>
        <v>1.8620166943835716</v>
      </c>
      <c r="DG19" s="626">
        <f>CA19/scenarios!$B24*1000000</f>
        <v>2.4844269285727902</v>
      </c>
      <c r="DH19" s="626">
        <f>CB19/scenarios!$B24*1000000</f>
        <v>2.6996361710400469</v>
      </c>
      <c r="DI19" s="626">
        <f>CC19/scenarios!$B24*1000000</f>
        <v>4.8620276507839577</v>
      </c>
      <c r="DJ19" s="626">
        <f>CD19/scenarios!$B24*1000000</f>
        <v>4.5392125306981885</v>
      </c>
      <c r="DL19" s="79">
        <f t="shared" si="20"/>
        <v>2020</v>
      </c>
      <c r="DM19" s="299">
        <f t="shared" si="21"/>
        <v>39.02505693376456</v>
      </c>
      <c r="DN19" s="211">
        <f t="shared" si="22"/>
        <v>41.634696394584374</v>
      </c>
      <c r="DO19" s="211">
        <f t="shared" si="23"/>
        <v>41.634696394584374</v>
      </c>
      <c r="DP19" s="211">
        <f t="shared" si="24"/>
        <v>41.634696394584374</v>
      </c>
      <c r="DQ19" s="211">
        <f t="shared" si="25"/>
        <v>41.634696394584374</v>
      </c>
      <c r="DR19" s="293">
        <f t="shared" si="26"/>
        <v>41.834339829518569</v>
      </c>
      <c r="DS19" s="631">
        <f>CA11</f>
        <v>39.563511039999995</v>
      </c>
      <c r="DT19" s="632">
        <f t="shared" ref="DT19:DV34" si="27">CB11</f>
        <v>37.2338898</v>
      </c>
      <c r="DU19" s="632">
        <f t="shared" si="27"/>
        <v>40.375284001000011</v>
      </c>
      <c r="DV19" s="633">
        <f t="shared" si="27"/>
        <v>39.700000000000003</v>
      </c>
    </row>
    <row r="20" spans="72:126" ht="13.9" customHeight="1" x14ac:dyDescent="0.25">
      <c r="BT20" s="79">
        <f t="shared" si="15"/>
        <v>2029</v>
      </c>
      <c r="BU20" s="280">
        <f>scenarios!E25</f>
        <v>18.84919122958739</v>
      </c>
      <c r="BV20" s="280">
        <f>scenarios!M25</f>
        <v>30.618624663201448</v>
      </c>
      <c r="BW20" s="280">
        <f>scenarios!V25</f>
        <v>26.609447402105705</v>
      </c>
      <c r="BX20" s="399">
        <f>scenarios!AE25</f>
        <v>30.802506467750074</v>
      </c>
      <c r="BY20" s="399">
        <f>scenarios!AN25</f>
        <v>23.52132538582547</v>
      </c>
      <c r="BZ20" s="399">
        <f>scenarios!BF25</f>
        <v>13.168083660743605</v>
      </c>
      <c r="CA20" s="280">
        <f>'IPCC SR15 paths P1-P4'!C26</f>
        <v>18.548783388999254</v>
      </c>
      <c r="CB20" s="399">
        <f>'IPCC SR15 paths P1-P4'!E26</f>
        <v>20.875132950000079</v>
      </c>
      <c r="CC20" s="616">
        <f>'IPCC SR15 paths P1-P4'!G17</f>
        <v>40.931321740000001</v>
      </c>
      <c r="CD20" s="399">
        <f>'IPCC SR15 paths P1-P4'!I26</f>
        <v>37.962999999999965</v>
      </c>
      <c r="CF20" s="79">
        <f t="shared" si="16"/>
        <v>2029</v>
      </c>
      <c r="CG20" s="278">
        <f>IF($BU19&gt;'goal seek'!$F$31,$BU20/$BU19-1,#N/A)</f>
        <v>-7.767656910741183E-2</v>
      </c>
      <c r="CH20" s="278">
        <f>IF(BV19&gt;'goal seek'!$F$28,BV20/BV19-1,#N/A)</f>
        <v>-5.4254294355224886E-2</v>
      </c>
      <c r="CI20" s="278">
        <f>IF(BW19&gt;'goal seek'!$F$28,BW20/BW19-1,#N/A)</f>
        <v>-7.427881099453626E-2</v>
      </c>
      <c r="CJ20" s="402">
        <f>IF(BX19&gt;'goal seek'!$F$28,BX20/BX19-1,#N/A)</f>
        <v>-5.9036080071763863E-2</v>
      </c>
      <c r="CK20" s="402">
        <f>IF(BY19&gt;'goal seek'!$F$28,BY20/BY19-1,#N/A)</f>
        <v>-8.1907356977589885E-2</v>
      </c>
      <c r="CL20" s="402">
        <f>IF(BZ19&gt;'goal seek'!$F$28,BZ20/BZ19-1,#N/A)</f>
        <v>-0.15868877415144733</v>
      </c>
      <c r="CM20" s="622">
        <f t="shared" si="17"/>
        <v>-0.11180795543257938</v>
      </c>
      <c r="CN20" s="402">
        <f t="shared" si="8"/>
        <v>-8.0097733407852867E-2</v>
      </c>
      <c r="CO20" s="194">
        <f t="shared" si="8"/>
        <v>1.5116874657556956E-3</v>
      </c>
      <c r="CP20" s="402">
        <f t="shared" si="8"/>
        <v>-5.0581821993930243E-3</v>
      </c>
      <c r="CR20" s="79">
        <f t="shared" si="18"/>
        <v>2029</v>
      </c>
      <c r="CS20" s="278">
        <f t="shared" si="9"/>
        <v>-7.767656910741183E-2</v>
      </c>
      <c r="CT20" s="278">
        <f t="shared" si="10"/>
        <v>-5.4254294355224886E-2</v>
      </c>
      <c r="CU20" s="278">
        <f t="shared" si="11"/>
        <v>-7.427881099453626E-2</v>
      </c>
      <c r="CV20" s="402">
        <f t="shared" si="12"/>
        <v>-5.9036080071763863E-2</v>
      </c>
      <c r="CW20" s="402">
        <f t="shared" si="13"/>
        <v>-8.1907356977589885E-2</v>
      </c>
      <c r="CX20" s="402">
        <f t="shared" si="14"/>
        <v>-0.15868877415144733</v>
      </c>
      <c r="CZ20" s="79">
        <f t="shared" si="7"/>
        <v>2029</v>
      </c>
      <c r="DA20" s="299">
        <f>scenarios!K25</f>
        <v>2.2233953341811801</v>
      </c>
      <c r="DB20" s="407">
        <f>scenarios!T25</f>
        <v>3.6116831956347615</v>
      </c>
      <c r="DC20" s="211">
        <f>scenarios!AC25</f>
        <v>3.1387724002774857</v>
      </c>
      <c r="DD20" s="407">
        <f>scenarios!AL25</f>
        <v>3.6333733541829161</v>
      </c>
      <c r="DE20" s="407">
        <f>scenarios!AU25</f>
        <v>2.774506581190141</v>
      </c>
      <c r="DF20" s="407">
        <f>scenarios!BM25</f>
        <v>1.5532685415938485</v>
      </c>
      <c r="DG20" s="626">
        <f>CA20/scenarios!$B25*1000000</f>
        <v>2.1879601060602689</v>
      </c>
      <c r="DH20" s="626">
        <f>CB20/scenarios!$B25*1000000</f>
        <v>2.462369479735921</v>
      </c>
      <c r="DI20" s="626">
        <f>CC20/scenarios!$B25*1000000</f>
        <v>4.8281387073909396</v>
      </c>
      <c r="DJ20" s="626">
        <f>CD20/scenarios!$B25*1000000</f>
        <v>4.4780041776555164</v>
      </c>
      <c r="DL20" s="79">
        <f t="shared" si="20"/>
        <v>2021</v>
      </c>
      <c r="DM20" s="299">
        <f t="shared" si="21"/>
        <v>35.993724401928318</v>
      </c>
      <c r="DN20" s="211">
        <f t="shared" si="22"/>
        <v>40.871740948026705</v>
      </c>
      <c r="DO20" s="211">
        <f t="shared" si="23"/>
        <v>40.698938963160479</v>
      </c>
      <c r="DP20" s="211">
        <f t="shared" si="24"/>
        <v>40.94642033711299</v>
      </c>
      <c r="DQ20" s="211">
        <f t="shared" si="25"/>
        <v>40.303015542504525</v>
      </c>
      <c r="DR20" s="293">
        <f t="shared" si="26"/>
        <v>39.733240975044623</v>
      </c>
      <c r="DS20" s="631">
        <f t="shared" ref="DS20:DS83" si="28">CA12</f>
        <v>37.228541300999495</v>
      </c>
      <c r="DT20" s="632">
        <f t="shared" si="27"/>
        <v>35.416250149999996</v>
      </c>
      <c r="DU20" s="632">
        <f t="shared" si="27"/>
        <v>40.437065971999999</v>
      </c>
      <c r="DV20" s="633">
        <f t="shared" si="27"/>
        <v>39.507000000000005</v>
      </c>
    </row>
    <row r="21" spans="72:126" x14ac:dyDescent="0.25">
      <c r="BT21" s="185">
        <f t="shared" si="15"/>
        <v>2030</v>
      </c>
      <c r="BU21" s="315">
        <f>scenarios!E26</f>
        <v>17.385050724423525</v>
      </c>
      <c r="BV21" s="315">
        <f>scenarios!M26</f>
        <v>28.716041753487143</v>
      </c>
      <c r="BW21" s="315">
        <f>scenarios!V26</f>
        <v>24.460621848320489</v>
      </c>
      <c r="BX21" s="400">
        <f>scenarios!AE26</f>
        <v>28.673099531232598</v>
      </c>
      <c r="BY21" s="399">
        <f>scenarios!AN26</f>
        <v>21.506100896100762</v>
      </c>
      <c r="BZ21" s="400">
        <f>scenarios!BF26</f>
        <v>11.018313333856071</v>
      </c>
      <c r="CA21" s="315">
        <f>'IPCC SR15 paths P1-P4'!C27</f>
        <v>16.213813649999999</v>
      </c>
      <c r="CB21" s="399">
        <f>'IPCC SR15 paths P1-P4'!E27</f>
        <v>19.057493299999997</v>
      </c>
      <c r="CC21" s="616">
        <f>'IPCC SR15 paths P1-P4'!G18</f>
        <v>39.201502419000008</v>
      </c>
      <c r="CD21" s="399">
        <f>'IPCC SR15 paths P1-P4'!I27</f>
        <v>37.770000000000003</v>
      </c>
      <c r="CE21" s="121"/>
      <c r="CF21" s="185">
        <f t="shared" si="16"/>
        <v>2030</v>
      </c>
      <c r="CG21" s="278">
        <f>IF($BU20&gt;'goal seek'!$F$31,$BU21/$BU20-1,#N/A)</f>
        <v>-7.767656910741183E-2</v>
      </c>
      <c r="CH21" s="316">
        <f>IF(BV20&gt;'goal seek'!$F$28,BV21/BV20-1,#N/A)</f>
        <v>-6.2138091787019345E-2</v>
      </c>
      <c r="CI21" s="316">
        <f>IF(BW20&gt;'goal seek'!$F$28,BW21/BW20-1,#N/A)</f>
        <v>-8.0754234438373595E-2</v>
      </c>
      <c r="CJ21" s="403">
        <f>IF(BX20&gt;'goal seek'!$F$28,BX21/BX20-1,#N/A)</f>
        <v>-6.9130963051560301E-2</v>
      </c>
      <c r="CK21" s="403">
        <f>IF(BY20&gt;'goal seek'!$F$28,BY21/BY20-1,#N/A)</f>
        <v>-8.567648534547001E-2</v>
      </c>
      <c r="CL21" s="403">
        <f>IF(BZ20&gt;'goal seek'!$F$28,BZ21/BZ20-1,#N/A)</f>
        <v>-0.16325612612079476</v>
      </c>
      <c r="CM21" s="622">
        <f t="shared" si="17"/>
        <v>-0.12588263553630463</v>
      </c>
      <c r="CN21" s="402">
        <f t="shared" si="8"/>
        <v>-8.7072003534237385E-2</v>
      </c>
      <c r="CO21" s="194">
        <f t="shared" si="8"/>
        <v>-4.2261506530084314E-2</v>
      </c>
      <c r="CP21" s="402">
        <f t="shared" si="8"/>
        <v>-5.0838974791234115E-3</v>
      </c>
      <c r="CQ21" s="121"/>
      <c r="CR21" s="185">
        <f t="shared" si="18"/>
        <v>2030</v>
      </c>
      <c r="CS21" s="278">
        <f t="shared" si="9"/>
        <v>-7.767656910741183E-2</v>
      </c>
      <c r="CT21" s="278">
        <f t="shared" si="10"/>
        <v>-6.2138091787019345E-2</v>
      </c>
      <c r="CU21" s="278">
        <f t="shared" si="11"/>
        <v>-8.0754234438373595E-2</v>
      </c>
      <c r="CV21" s="402">
        <f t="shared" si="12"/>
        <v>-6.9130963051560301E-2</v>
      </c>
      <c r="CW21" s="402">
        <f t="shared" si="13"/>
        <v>-8.567648534547001E-2</v>
      </c>
      <c r="CX21" s="402">
        <f t="shared" si="14"/>
        <v>-0.16325612612079476</v>
      </c>
      <c r="CZ21" s="185">
        <f t="shared" si="7"/>
        <v>2030</v>
      </c>
      <c r="DA21" s="317">
        <f>scenarios!K26</f>
        <v>2.0336990523520599</v>
      </c>
      <c r="DB21" s="408">
        <f>scenarios!T26</f>
        <v>3.3591956576419757</v>
      </c>
      <c r="DC21" s="318">
        <f>scenarios!AC26</f>
        <v>2.8613976606341476</v>
      </c>
      <c r="DD21" s="408">
        <f>scenarios!AL26</f>
        <v>3.3541722868109507</v>
      </c>
      <c r="DE21" s="407">
        <f>scenarios!AU26</f>
        <v>2.5157785102544294</v>
      </c>
      <c r="DF21" s="407">
        <f>scenarios!BM26</f>
        <v>1.2889196437086718</v>
      </c>
      <c r="DG21" s="626">
        <f>CA21/scenarios!$B26*1000000</f>
        <v>1.8966880210878008</v>
      </c>
      <c r="DH21" s="626">
        <f>CB21/scenarios!$B26*1000000</f>
        <v>2.2293409825930133</v>
      </c>
      <c r="DI21" s="626">
        <f>CC21/scenarios!$B26*1000000</f>
        <v>4.5857823243677016</v>
      </c>
      <c r="DJ21" s="626">
        <f>CD21/scenarios!$B26*1000000</f>
        <v>4.4183255156929873</v>
      </c>
      <c r="DL21" s="79">
        <f t="shared" si="20"/>
        <v>2022</v>
      </c>
      <c r="DM21" s="299">
        <f t="shared" si="21"/>
        <v>33.197855380988798</v>
      </c>
      <c r="DN21" s="211">
        <f t="shared" si="22"/>
        <v>40.013931736379995</v>
      </c>
      <c r="DO21" s="211">
        <f t="shared" si="23"/>
        <v>39.520670212747206</v>
      </c>
      <c r="DP21" s="211">
        <f t="shared" si="24"/>
        <v>40.204256701878194</v>
      </c>
      <c r="DQ21" s="211">
        <f t="shared" si="25"/>
        <v>38.54231270287876</v>
      </c>
      <c r="DR21" s="293">
        <f t="shared" si="26"/>
        <v>36.522204869624375</v>
      </c>
      <c r="DS21" s="631">
        <f t="shared" si="28"/>
        <v>34.893571561999124</v>
      </c>
      <c r="DT21" s="632">
        <f t="shared" si="27"/>
        <v>33.598610499999722</v>
      </c>
      <c r="DU21" s="632">
        <f t="shared" si="27"/>
        <v>40.498847943000001</v>
      </c>
      <c r="DV21" s="633">
        <f t="shared" si="27"/>
        <v>39.313999999999965</v>
      </c>
    </row>
    <row r="22" spans="72:126" x14ac:dyDescent="0.25">
      <c r="BT22" s="79">
        <f t="shared" si="15"/>
        <v>2031</v>
      </c>
      <c r="BU22" s="280">
        <f>scenarios!E27</f>
        <v>16.034639630391982</v>
      </c>
      <c r="BV22" s="280">
        <f>scenarios!M27</f>
        <v>26.672392874539952</v>
      </c>
      <c r="BW22" s="280">
        <f>scenarios!V27</f>
        <v>22.326930172905357</v>
      </c>
      <c r="BX22" s="399">
        <f>scenarios!AE27</f>
        <v>26.370980374694042</v>
      </c>
      <c r="BY22" s="399">
        <f>scenarios!AN27</f>
        <v>19.58663984505209</v>
      </c>
      <c r="BZ22" s="399">
        <f>scenarios!BF27</f>
        <v>9.1760886496662266</v>
      </c>
      <c r="CA22" s="280">
        <f>'IPCC SR15 paths P1-P4'!C28</f>
        <v>15.379766871200218</v>
      </c>
      <c r="CB22" s="399">
        <f>'IPCC SR15 paths P1-P4'!E28</f>
        <v>17.974675970000135</v>
      </c>
      <c r="CC22" s="616">
        <f>'IPCC SR15 paths P1-P4'!G19</f>
        <v>37.47168309799963</v>
      </c>
      <c r="CD22" s="399">
        <f>'IPCC SR15 paths P1-P4'!I28</f>
        <v>36.20699999999988</v>
      </c>
      <c r="CF22" s="79">
        <f t="shared" si="16"/>
        <v>2031</v>
      </c>
      <c r="CG22" s="278">
        <f>IF($BU21&gt;'goal seek'!$F$31,$BU22/$BU21-1,#N/A)</f>
        <v>-7.7676569107411719E-2</v>
      </c>
      <c r="CH22" s="278">
        <f>IF(BV21&gt;'goal seek'!$F$28,BV22/BV21-1,#N/A)</f>
        <v>-7.116749921492993E-2</v>
      </c>
      <c r="CI22" s="278">
        <f>IF(BW21&gt;'goal seek'!$F$28,BW22/BW21-1,#N/A)</f>
        <v>-8.7229657882211042E-2</v>
      </c>
      <c r="CJ22" s="402">
        <f>IF(BX21&gt;'goal seek'!$F$28,BX22/BX21-1,#N/A)</f>
        <v>-8.0288465292387978E-2</v>
      </c>
      <c r="CK22" s="402">
        <f>IF(BY21&gt;'goal seek'!$F$28,BY22/BY21-1,#N/A)</f>
        <v>-8.9251931827246556E-2</v>
      </c>
      <c r="CL22" s="402">
        <f>IF(BZ21&gt;'goal seek'!$F$28,BZ22/BZ21-1,#N/A)</f>
        <v>-0.16719661425213095</v>
      </c>
      <c r="CM22" s="622">
        <f t="shared" si="17"/>
        <v>-5.1440506028005428E-2</v>
      </c>
      <c r="CN22" s="402">
        <f t="shared" si="8"/>
        <v>-5.6818455237230059E-2</v>
      </c>
      <c r="CO22" s="194">
        <f t="shared" si="8"/>
        <v>-4.4126352671676639E-2</v>
      </c>
      <c r="CP22" s="402">
        <f t="shared" si="8"/>
        <v>-4.1382049245436092E-2</v>
      </c>
      <c r="CR22" s="79">
        <f t="shared" si="18"/>
        <v>2031</v>
      </c>
      <c r="CS22" s="278">
        <f t="shared" si="9"/>
        <v>-7.7676569107411719E-2</v>
      </c>
      <c r="CT22" s="278">
        <f t="shared" si="10"/>
        <v>-7.116749921492993E-2</v>
      </c>
      <c r="CU22" s="278">
        <f t="shared" si="11"/>
        <v>-8.7229657882211042E-2</v>
      </c>
      <c r="CV22" s="402">
        <f t="shared" si="12"/>
        <v>-8.0288465292387978E-2</v>
      </c>
      <c r="CW22" s="402">
        <f t="shared" si="13"/>
        <v>-8.9251931827246556E-2</v>
      </c>
      <c r="CX22" s="402">
        <f t="shared" si="14"/>
        <v>-0.16719661425213095</v>
      </c>
      <c r="CZ22" s="79">
        <f t="shared" si="7"/>
        <v>2031</v>
      </c>
      <c r="DA22" s="299">
        <f>scenarios!K27</f>
        <v>1.8605232534208249</v>
      </c>
      <c r="DB22" s="407">
        <f>scenarios!T27</f>
        <v>3.0948376958468864</v>
      </c>
      <c r="DC22" s="211">
        <f>scenarios!AC27</f>
        <v>2.5906271498274993</v>
      </c>
      <c r="DD22" s="407">
        <f>scenarios!AL27</f>
        <v>3.0598643520261679</v>
      </c>
      <c r="DE22" s="407">
        <f>scenarios!AU27</f>
        <v>2.2726671586075069</v>
      </c>
      <c r="DF22" s="407">
        <f>scenarios!BM27</f>
        <v>1.0647153102085376</v>
      </c>
      <c r="DG22" s="626">
        <f>CA22/scenarios!$B27*1000000</f>
        <v>1.7845373862861014</v>
      </c>
      <c r="DH22" s="626">
        <f>CB22/scenarios!$B27*1000000</f>
        <v>2.0856285757431916</v>
      </c>
      <c r="DI22" s="626">
        <f>CC22/scenarios!$B27*1000000</f>
        <v>4.3478955159368375</v>
      </c>
      <c r="DJ22" s="626">
        <f>CD22/scenarios!$B27*1000000</f>
        <v>4.2011524418002022</v>
      </c>
      <c r="DL22" s="79">
        <f t="shared" si="20"/>
        <v>2023</v>
      </c>
      <c r="DM22" s="299">
        <f t="shared" si="21"/>
        <v>30.61915987326956</v>
      </c>
      <c r="DN22" s="211">
        <f t="shared" si="22"/>
        <v>39.052092280448143</v>
      </c>
      <c r="DO22" s="211">
        <f t="shared" si="23"/>
        <v>38.120600266107886</v>
      </c>
      <c r="DP22" s="211">
        <f t="shared" si="24"/>
        <v>39.368740415687277</v>
      </c>
      <c r="DQ22" s="211">
        <f t="shared" si="25"/>
        <v>36.548006916661137</v>
      </c>
      <c r="DR22" s="293">
        <f t="shared" si="26"/>
        <v>32.793427399481033</v>
      </c>
      <c r="DS22" s="631">
        <f t="shared" si="28"/>
        <v>32.558601822999663</v>
      </c>
      <c r="DT22" s="632">
        <f t="shared" si="27"/>
        <v>31.780970849999903</v>
      </c>
      <c r="DU22" s="632">
        <f t="shared" si="27"/>
        <v>40.560629914000003</v>
      </c>
      <c r="DV22" s="633">
        <f t="shared" si="27"/>
        <v>39.120999999999981</v>
      </c>
    </row>
    <row r="23" spans="72:126" x14ac:dyDescent="0.25">
      <c r="BT23" s="79">
        <f t="shared" si="15"/>
        <v>2032</v>
      </c>
      <c r="BU23" s="280">
        <f>scenarios!E28</f>
        <v>14.789123837029395</v>
      </c>
      <c r="BV23" s="280">
        <f>scenarios!M28</f>
        <v>24.498353138093332</v>
      </c>
      <c r="BW23" s="280">
        <f>scenarios!V28</f>
        <v>20.234783365292255</v>
      </c>
      <c r="BX23" s="399">
        <f>scenarios!AE28</f>
        <v>23.931438247852281</v>
      </c>
      <c r="BY23" s="399">
        <f>scenarios!AN28</f>
        <v>17.771726106477395</v>
      </c>
      <c r="BZ23" s="399">
        <f>scenarios!BF28</f>
        <v>7.6103634168143444</v>
      </c>
      <c r="CA23" s="280">
        <f>'IPCC SR15 paths P1-P4'!C29</f>
        <v>14.545720092400188</v>
      </c>
      <c r="CB23" s="399">
        <f>'IPCC SR15 paths P1-P4'!E29</f>
        <v>16.891858640000464</v>
      </c>
      <c r="CC23" s="616">
        <f>'IPCC SR15 paths P1-P4'!G20</f>
        <v>35.741863776999708</v>
      </c>
      <c r="CD23" s="399">
        <f>'IPCC SR15 paths P1-P4'!I29</f>
        <v>34.643999999999778</v>
      </c>
      <c r="CF23" s="79">
        <f t="shared" si="16"/>
        <v>2032</v>
      </c>
      <c r="CG23" s="278">
        <f>IF($BU22&gt;'goal seek'!$F$31,$BU23/$BU22-1,#N/A)</f>
        <v>-7.767656910741183E-2</v>
      </c>
      <c r="CH23" s="278">
        <f>IF(BV22&gt;'goal seek'!$F$28,BV23/BV22-1,#N/A)</f>
        <v>-8.1508987464032234E-2</v>
      </c>
      <c r="CI23" s="278">
        <f>IF(BW22&gt;'goal seek'!$F$28,BW23/BW22-1,#N/A)</f>
        <v>-9.3705081326048489E-2</v>
      </c>
      <c r="CJ23" s="402">
        <f>IF(BX22&gt;'goal seek'!$F$28,BX23/BX22-1,#N/A)</f>
        <v>-9.2508586794246783E-2</v>
      </c>
      <c r="CK23" s="402">
        <f>IF(BY22&gt;'goal seek'!$F$28,BY23/BY22-1,#N/A)</f>
        <v>-9.2660801083406463E-2</v>
      </c>
      <c r="CL23" s="402">
        <f>IF(BZ22&gt;'goal seek'!$F$28,BZ23/BZ22-1,#N/A)</f>
        <v>-0.17063100550023935</v>
      </c>
      <c r="CM23" s="622">
        <f t="shared" si="17"/>
        <v>-5.4230131430785589E-2</v>
      </c>
      <c r="CN23" s="402">
        <f t="shared" si="8"/>
        <v>-6.0241271208832936E-2</v>
      </c>
      <c r="CO23" s="194">
        <f t="shared" si="8"/>
        <v>-4.6163373992994416E-2</v>
      </c>
      <c r="CP23" s="402">
        <f t="shared" si="8"/>
        <v>-4.3168448090151301E-2</v>
      </c>
      <c r="CR23" s="79">
        <f t="shared" si="18"/>
        <v>2032</v>
      </c>
      <c r="CS23" s="278">
        <f t="shared" si="9"/>
        <v>-7.767656910741183E-2</v>
      </c>
      <c r="CT23" s="278">
        <f t="shared" si="10"/>
        <v>-8.1508987464032234E-2</v>
      </c>
      <c r="CU23" s="278">
        <f t="shared" si="11"/>
        <v>-9.3705081326048489E-2</v>
      </c>
      <c r="CV23" s="402">
        <f t="shared" si="12"/>
        <v>-9.2508586794246783E-2</v>
      </c>
      <c r="CW23" s="402">
        <f t="shared" si="13"/>
        <v>-9.2660801083406463E-2</v>
      </c>
      <c r="CX23" s="402">
        <f t="shared" si="14"/>
        <v>-0.17063100550023935</v>
      </c>
      <c r="CZ23" s="79">
        <f t="shared" si="7"/>
        <v>2032</v>
      </c>
      <c r="DA23" s="299">
        <f>scenarios!K28</f>
        <v>1.7023985202632157</v>
      </c>
      <c r="DB23" s="407">
        <f>scenarios!T28</f>
        <v>2.8200426604550652</v>
      </c>
      <c r="DC23" s="211">
        <f>scenarios!AC28</f>
        <v>2.3292566644596819</v>
      </c>
      <c r="DD23" s="407">
        <f>scenarios!AL28</f>
        <v>2.7547842258853934</v>
      </c>
      <c r="DE23" s="407">
        <f>scenarios!AU28</f>
        <v>2.0457304002308856</v>
      </c>
      <c r="DF23" s="407">
        <f>scenarios!BM28</f>
        <v>0.87604049855954269</v>
      </c>
      <c r="DG23" s="626">
        <f>CA23/scenarios!$B28*1000000</f>
        <v>1.6743799453124957</v>
      </c>
      <c r="DH23" s="626">
        <f>CB23/scenarios!$B28*1000000</f>
        <v>1.9444475190092392</v>
      </c>
      <c r="DI23" s="626">
        <f>CC23/scenarios!$B28*1000000</f>
        <v>4.1143002571297478</v>
      </c>
      <c r="DJ23" s="626">
        <f>CD23/scenarios!$B28*1000000</f>
        <v>3.9879234893096283</v>
      </c>
      <c r="DL23" s="79">
        <f t="shared" si="20"/>
        <v>2024</v>
      </c>
      <c r="DM23" s="299">
        <f t="shared" si="21"/>
        <v>28.240768585362645</v>
      </c>
      <c r="DN23" s="211">
        <f t="shared" si="22"/>
        <v>37.976966040903676</v>
      </c>
      <c r="DO23" s="211">
        <f t="shared" si="23"/>
        <v>36.52328254722493</v>
      </c>
      <c r="DP23" s="211">
        <f t="shared" si="24"/>
        <v>38.404168714250304</v>
      </c>
      <c r="DQ23" s="211">
        <f t="shared" si="25"/>
        <v>34.417549672984222</v>
      </c>
      <c r="DR23" s="293">
        <f t="shared" si="26"/>
        <v>28.931788391085348</v>
      </c>
      <c r="DS23" s="631">
        <f t="shared" si="28"/>
        <v>30.223632083999291</v>
      </c>
      <c r="DT23" s="632">
        <f t="shared" si="27"/>
        <v>29.963331200000084</v>
      </c>
      <c r="DU23" s="632">
        <f t="shared" si="27"/>
        <v>40.622411885000005</v>
      </c>
      <c r="DV23" s="633">
        <f t="shared" si="27"/>
        <v>38.927999999999997</v>
      </c>
    </row>
    <row r="24" spans="72:126" x14ac:dyDescent="0.25">
      <c r="BT24" s="79">
        <f t="shared" si="15"/>
        <v>2033</v>
      </c>
      <c r="BU24" s="280">
        <f>scenarios!E29</f>
        <v>13.64035543726431</v>
      </c>
      <c r="BV24" s="280">
        <f>scenarios!M29</f>
        <v>22.211353047731443</v>
      </c>
      <c r="BW24" s="280">
        <f>scenarios!V29</f>
        <v>18.207652553847989</v>
      </c>
      <c r="BX24" s="399">
        <f>scenarios!AE29</f>
        <v>21.399699625260347</v>
      </c>
      <c r="BY24" s="399">
        <f>scenarios!AN29</f>
        <v>16.066983763338975</v>
      </c>
      <c r="BZ24" s="399">
        <f>scenarios!BF29</f>
        <v>6.2888168284638262</v>
      </c>
      <c r="CA24" s="280">
        <f>'IPCC SR15 paths P1-P4'!C30</f>
        <v>13.711673313600159</v>
      </c>
      <c r="CB24" s="399">
        <f>'IPCC SR15 paths P1-P4'!E30</f>
        <v>15.809041310000339</v>
      </c>
      <c r="CC24" s="616">
        <f>'IPCC SR15 paths P1-P4'!G21</f>
        <v>34.012044455999785</v>
      </c>
      <c r="CD24" s="399">
        <f>'IPCC SR15 paths P1-P4'!I30</f>
        <v>33.081000000000131</v>
      </c>
      <c r="CF24" s="79">
        <f t="shared" si="16"/>
        <v>2033</v>
      </c>
      <c r="CG24" s="278">
        <f>IF($BU23&gt;'goal seek'!$F$31,$BU24/$BU23-1,#N/A)</f>
        <v>-7.767656910741183E-2</v>
      </c>
      <c r="CH24" s="278">
        <f>IF(BV23&gt;'goal seek'!$F$28,BV24/BV23-1,#N/A)</f>
        <v>-9.3353217559989932E-2</v>
      </c>
      <c r="CI24" s="278">
        <f>IF(BW23&gt;'goal seek'!$F$28,BW24/BW23-1,#N/A)</f>
        <v>-0.10018050476988583</v>
      </c>
      <c r="CJ24" s="402">
        <f>IF(BX23&gt;'goal seek'!$F$28,BX24/BX23-1,#N/A)</f>
        <v>-0.10579132755713683</v>
      </c>
      <c r="CK24" s="402">
        <f>IF(BY23&gt;'goal seek'!$F$28,BY24/BY23-1,#N/A)</f>
        <v>-9.5924410095262536E-2</v>
      </c>
      <c r="CL24" s="402">
        <f>IF(BZ23&gt;'goal seek'!$F$28,BZ24/BZ23-1,#N/A)</f>
        <v>-0.17365091730451299</v>
      </c>
      <c r="CM24" s="622">
        <f t="shared" si="17"/>
        <v>-5.7339669229287571E-2</v>
      </c>
      <c r="CN24" s="402">
        <f t="shared" si="8"/>
        <v>-6.4102912123357392E-2</v>
      </c>
      <c r="CO24" s="194">
        <f t="shared" si="8"/>
        <v>-4.8397569074533853E-2</v>
      </c>
      <c r="CP24" s="402">
        <f t="shared" si="8"/>
        <v>-4.5116037409065224E-2</v>
      </c>
      <c r="CR24" s="79">
        <f t="shared" si="18"/>
        <v>2033</v>
      </c>
      <c r="CS24" s="278">
        <f t="shared" si="9"/>
        <v>-7.767656910741183E-2</v>
      </c>
      <c r="CT24" s="278">
        <f t="shared" si="10"/>
        <v>-9.3353217559989932E-2</v>
      </c>
      <c r="CU24" s="278">
        <f t="shared" si="11"/>
        <v>-0.10018050476988583</v>
      </c>
      <c r="CV24" s="402">
        <f t="shared" si="12"/>
        <v>-0.10579132755713683</v>
      </c>
      <c r="CW24" s="402">
        <f t="shared" si="13"/>
        <v>-9.5924410095262536E-2</v>
      </c>
      <c r="CX24" s="402">
        <f t="shared" si="14"/>
        <v>-0.17365091730451299</v>
      </c>
      <c r="CZ24" s="79">
        <f t="shared" si="7"/>
        <v>2033</v>
      </c>
      <c r="DA24" s="299">
        <f>scenarios!K29</f>
        <v>1.5579926273422506</v>
      </c>
      <c r="DB24" s="407">
        <f>scenarios!T29</f>
        <v>2.5369664632875413</v>
      </c>
      <c r="DC24" s="211">
        <f>scenarios!AC29</f>
        <v>2.0796663672419515</v>
      </c>
      <c r="DD24" s="407">
        <f>scenarios!AL29</f>
        <v>2.4442599312632778</v>
      </c>
      <c r="DE24" s="407">
        <f>scenarios!AU29</f>
        <v>1.8351605544327518</v>
      </c>
      <c r="DF24" s="407">
        <f>scenarios!BM29</f>
        <v>0.71830461445934102</v>
      </c>
      <c r="DG24" s="626">
        <f>CA24/scenarios!$B29*1000000</f>
        <v>1.5661385093201796</v>
      </c>
      <c r="DH24" s="626">
        <f>CB24/scenarios!$B29*1000000</f>
        <v>1.8056985332685314</v>
      </c>
      <c r="DI24" s="626">
        <f>CC24/scenarios!$B29*1000000</f>
        <v>3.8848338481355755</v>
      </c>
      <c r="DJ24" s="626">
        <f>CD24/scenarios!$B29*1000000</f>
        <v>3.7784905490297085</v>
      </c>
      <c r="DL24" s="79">
        <f t="shared" si="20"/>
        <v>2025</v>
      </c>
      <c r="DM24" s="299">
        <f t="shared" si="21"/>
        <v>26.047122572695297</v>
      </c>
      <c r="DN24" s="211">
        <f t="shared" si="22"/>
        <v>36.779511007910521</v>
      </c>
      <c r="DO24" s="211">
        <f t="shared" si="23"/>
        <v>34.756391426208353</v>
      </c>
      <c r="DP24" s="211">
        <f t="shared" si="24"/>
        <v>37.279589397576622</v>
      </c>
      <c r="DQ24" s="211">
        <f t="shared" si="25"/>
        <v>32.216387465493881</v>
      </c>
      <c r="DR24" s="293">
        <f t="shared" si="26"/>
        <v>25.177512457858086</v>
      </c>
      <c r="DS24" s="631">
        <f t="shared" si="28"/>
        <v>27.88866234499983</v>
      </c>
      <c r="DT24" s="632">
        <f t="shared" si="27"/>
        <v>28.14569154999981</v>
      </c>
      <c r="DU24" s="632">
        <f t="shared" si="27"/>
        <v>40.684193856000007</v>
      </c>
      <c r="DV24" s="633">
        <f t="shared" si="27"/>
        <v>38.735000000000014</v>
      </c>
    </row>
    <row r="25" spans="72:126" x14ac:dyDescent="0.25">
      <c r="BT25" s="79">
        <f t="shared" si="15"/>
        <v>2034</v>
      </c>
      <c r="BU25" s="280">
        <f>scenarios!E30</f>
        <v>12.580819425491988</v>
      </c>
      <c r="BV25" s="280">
        <f>scenarios!M30</f>
        <v>19.836547256297379</v>
      </c>
      <c r="BW25" s="280">
        <f>scenarios!V30</f>
        <v>16.265698470124367</v>
      </c>
      <c r="BX25" s="399">
        <f>scenarios!AE30</f>
        <v>18.828810597051955</v>
      </c>
      <c r="BY25" s="399">
        <f>scenarios!AN30</f>
        <v>14.475390224671248</v>
      </c>
      <c r="BZ25" s="399">
        <f>scenarios!BF30</f>
        <v>5.1799279200617256</v>
      </c>
      <c r="CA25" s="280">
        <f>'IPCC SR15 paths P1-P4'!C31</f>
        <v>12.877626534800129</v>
      </c>
      <c r="CB25" s="399">
        <f>'IPCC SR15 paths P1-P4'!E31</f>
        <v>14.726223980000213</v>
      </c>
      <c r="CC25" s="616">
        <f>'IPCC SR15 paths P1-P4'!G22</f>
        <v>32.282225134999862</v>
      </c>
      <c r="CD25" s="399">
        <f>'IPCC SR15 paths P1-P4'!I31</f>
        <v>31.518000000000029</v>
      </c>
      <c r="CF25" s="79">
        <f t="shared" si="16"/>
        <v>2034</v>
      </c>
      <c r="CG25" s="278">
        <f>IF($BU24&gt;'goal seek'!$F$31,$BU25/$BU24-1,#N/A)</f>
        <v>-7.767656910741183E-2</v>
      </c>
      <c r="CH25" s="278">
        <f>IF(BV24&gt;'goal seek'!$F$28,BV25/BV24-1,#N/A)</f>
        <v>-0.10691855585432763</v>
      </c>
      <c r="CI25" s="278">
        <f>IF(BW24&gt;'goal seek'!$F$28,BW25/BW24-1,#N/A)</f>
        <v>-0.10665592821372305</v>
      </c>
      <c r="CJ25" s="402">
        <f>IF(BX24&gt;'goal seek'!$F$28,BX25/BX24-1,#N/A)</f>
        <v>-0.12013668758105822</v>
      </c>
      <c r="CK25" s="402">
        <f>IF(BY24&gt;'goal seek'!$F$28,BY25/BY24-1,#N/A)</f>
        <v>-9.9059883429979179E-2</v>
      </c>
      <c r="CL25" s="402">
        <f>IF(BZ24&gt;'goal seek'!$F$28,BZ25/BZ24-1,#N/A)</f>
        <v>-0.17632711186357919</v>
      </c>
      <c r="CM25" s="622">
        <f t="shared" si="17"/>
        <v>-6.0827497835203359E-2</v>
      </c>
      <c r="CN25" s="402">
        <f t="shared" si="8"/>
        <v>-6.8493548012627858E-2</v>
      </c>
      <c r="CO25" s="194">
        <f t="shared" si="8"/>
        <v>-5.0859022110174235E-2</v>
      </c>
      <c r="CP25" s="402">
        <f t="shared" si="8"/>
        <v>-4.7247664822710811E-2</v>
      </c>
      <c r="CR25" s="79">
        <f t="shared" si="18"/>
        <v>2034</v>
      </c>
      <c r="CS25" s="278">
        <f t="shared" si="9"/>
        <v>-7.767656910741183E-2</v>
      </c>
      <c r="CT25" s="278">
        <f t="shared" si="10"/>
        <v>-0.10691855585432763</v>
      </c>
      <c r="CU25" s="278">
        <f t="shared" si="11"/>
        <v>-0.10665592821372305</v>
      </c>
      <c r="CV25" s="402">
        <f t="shared" si="12"/>
        <v>-0.12013668758105822</v>
      </c>
      <c r="CW25" s="402">
        <f t="shared" si="13"/>
        <v>-9.9059883429979179E-2</v>
      </c>
      <c r="CX25" s="402">
        <f t="shared" si="14"/>
        <v>-0.17632711186357919</v>
      </c>
      <c r="CZ25" s="79">
        <f t="shared" si="7"/>
        <v>2034</v>
      </c>
      <c r="DA25" s="299">
        <f>scenarios!K30</f>
        <v>1.4260955887592444</v>
      </c>
      <c r="DB25" s="407">
        <f>scenarios!T30</f>
        <v>2.248566773091071</v>
      </c>
      <c r="DC25" s="211">
        <f>scenarios!AC30</f>
        <v>1.8437941164094898</v>
      </c>
      <c r="DD25" s="407">
        <f>scenarios!AL30</f>
        <v>2.1343350401827292</v>
      </c>
      <c r="DE25" s="407">
        <f>scenarios!AU30</f>
        <v>1.6408541802248362</v>
      </c>
      <c r="DF25" s="407">
        <f>scenarios!BM30</f>
        <v>0.58716941298138003</v>
      </c>
      <c r="DG25" s="626">
        <f>CA25/scenarios!$B30*1000000</f>
        <v>1.4597400832060095</v>
      </c>
      <c r="DH25" s="626">
        <f>CB25/scenarios!$B30*1000000</f>
        <v>1.669287376814697</v>
      </c>
      <c r="DI25" s="626">
        <f>CC25/scenarios!$B30*1000000</f>
        <v>3.6593434261580895</v>
      </c>
      <c r="DJ25" s="626">
        <f>CD25/scenarios!$B30*1000000</f>
        <v>3.5727148801959827</v>
      </c>
      <c r="DL25" s="79">
        <f t="shared" si="20"/>
        <v>2026</v>
      </c>
      <c r="DM25" s="299">
        <f t="shared" si="21"/>
        <v>24.023871456128106</v>
      </c>
      <c r="DN25" s="211">
        <f t="shared" si="22"/>
        <v>35.451295057531894</v>
      </c>
      <c r="DO25" s="211">
        <f t="shared" si="23"/>
        <v>32.849915052202277</v>
      </c>
      <c r="DP25" s="211">
        <f t="shared" si="24"/>
        <v>35.970063791945805</v>
      </c>
      <c r="DQ25" s="211">
        <f t="shared" si="25"/>
        <v>29.992945908131034</v>
      </c>
      <c r="DR25" s="293">
        <f t="shared" si="26"/>
        <v>21.671270172514866</v>
      </c>
      <c r="DS25" s="631">
        <f t="shared" si="28"/>
        <v>25.553692605999458</v>
      </c>
      <c r="DT25" s="632">
        <f t="shared" si="27"/>
        <v>26.328051899999991</v>
      </c>
      <c r="DU25" s="632">
        <f t="shared" si="27"/>
        <v>40.745975827000009</v>
      </c>
      <c r="DV25" s="633">
        <f t="shared" si="27"/>
        <v>38.541999999999973</v>
      </c>
    </row>
    <row r="26" spans="72:126" x14ac:dyDescent="0.25">
      <c r="BT26" s="79">
        <f t="shared" si="15"/>
        <v>2035</v>
      </c>
      <c r="BU26" s="280">
        <f>scenarios!E31</f>
        <v>11.603584535959891</v>
      </c>
      <c r="BV26" s="280">
        <f>scenarios!M31</f>
        <v>17.407460879574462</v>
      </c>
      <c r="BW26" s="280">
        <f>scenarios!V31</f>
        <v>14.425538016544882</v>
      </c>
      <c r="BX26" s="399">
        <f>scenarios!AE31</f>
        <v>16.276665737191337</v>
      </c>
      <c r="BY26" s="399">
        <f>scenarios!AN31</f>
        <v>12.997724671281137</v>
      </c>
      <c r="BZ26" s="399">
        <f>scenarios!BF31</f>
        <v>4.2541965278203868</v>
      </c>
      <c r="CA26" s="280">
        <f>'IPCC SR15 paths P1-P4'!C32</f>
        <v>12.043579756000099</v>
      </c>
      <c r="CB26" s="399">
        <f>'IPCC SR15 paths P1-P4'!E32</f>
        <v>13.643406650000088</v>
      </c>
      <c r="CC26" s="616">
        <f>'IPCC SR15 paths P1-P4'!G23</f>
        <v>30.55240581399994</v>
      </c>
      <c r="CD26" s="399">
        <f>'IPCC SR15 paths P1-P4'!I32</f>
        <v>29.954999999999927</v>
      </c>
      <c r="CF26" s="79">
        <f t="shared" si="16"/>
        <v>2035</v>
      </c>
      <c r="CG26" s="278">
        <f>IF($BU25&gt;'goal seek'!$F$31,$BU26/$BU25-1,#N/A)</f>
        <v>-7.767656910741183E-2</v>
      </c>
      <c r="CH26" s="278">
        <f>IF(BV25&gt;'goal seek'!$F$28,BV26/BV25-1,#N/A)</f>
        <v>-0.12245509993941972</v>
      </c>
      <c r="CI26" s="278">
        <f>IF(BW25&gt;'goal seek'!$F$28,BW26/BW25-1,#N/A)</f>
        <v>-0.1131313516575605</v>
      </c>
      <c r="CJ26" s="402">
        <f>IF(BX25&gt;'goal seek'!$F$28,BX26/BX25-1,#N/A)</f>
        <v>-0.13554466686601063</v>
      </c>
      <c r="CK26" s="402">
        <f>IF(BY25&gt;'goal seek'!$F$28,BY26/BY25-1,#N/A)</f>
        <v>-0.10208122409519849</v>
      </c>
      <c r="CL26" s="402">
        <f>IF(BZ25&gt;'goal seek'!$F$28,BZ26/BZ25-1,#N/A)</f>
        <v>-0.17871511081380209</v>
      </c>
      <c r="CM26" s="622">
        <f t="shared" si="17"/>
        <v>-6.4767119666510387E-2</v>
      </c>
      <c r="CN26" s="402">
        <f t="shared" si="8"/>
        <v>-7.3529869671322912E-2</v>
      </c>
      <c r="CO26" s="194">
        <f t="shared" si="8"/>
        <v>-5.3584265451531166E-2</v>
      </c>
      <c r="CP26" s="402">
        <f t="shared" si="8"/>
        <v>-4.9590710070439137E-2</v>
      </c>
      <c r="CR26" s="79">
        <f t="shared" si="18"/>
        <v>2035</v>
      </c>
      <c r="CS26" s="278">
        <f t="shared" si="9"/>
        <v>-7.767656910741183E-2</v>
      </c>
      <c r="CT26" s="278">
        <f t="shared" si="10"/>
        <v>-0.12245509993941972</v>
      </c>
      <c r="CU26" s="278">
        <f t="shared" si="11"/>
        <v>-0.1131313516575605</v>
      </c>
      <c r="CV26" s="402">
        <f t="shared" si="12"/>
        <v>-0.13554466686601063</v>
      </c>
      <c r="CW26" s="402">
        <f t="shared" si="13"/>
        <v>-0.10208122409519849</v>
      </c>
      <c r="CX26" s="402">
        <f t="shared" si="14"/>
        <v>-0.17871511081380209</v>
      </c>
      <c r="CZ26" s="79">
        <f t="shared" si="7"/>
        <v>2035</v>
      </c>
      <c r="DA26" s="299">
        <f>scenarios!K31</f>
        <v>1.3056037044587787</v>
      </c>
      <c r="DB26" s="407">
        <f>scenarios!T31</f>
        <v>1.9586400511980764</v>
      </c>
      <c r="DC26" s="211">
        <f>scenarios!AC31</f>
        <v>1.6231222183838661</v>
      </c>
      <c r="DD26" s="407">
        <f>scenarios!AL31</f>
        <v>1.8314060639500771</v>
      </c>
      <c r="DE26" s="407">
        <f>scenarios!AU31</f>
        <v>1.4624685525209649</v>
      </c>
      <c r="DF26" s="407">
        <f>scenarios!BM31</f>
        <v>0.47867059777993848</v>
      </c>
      <c r="DG26" s="626">
        <f>CA26/scenarios!$B31*1000000</f>
        <v>1.3551107673364939</v>
      </c>
      <c r="DH26" s="626">
        <f>CB26/scenarios!$B31*1000000</f>
        <v>1.5351189288512477</v>
      </c>
      <c r="DI26" s="626">
        <f>CC26/scenarios!$B31*1000000</f>
        <v>3.437673426454376</v>
      </c>
      <c r="DJ26" s="626">
        <f>CD26/scenarios!$B31*1000000</f>
        <v>3.3704549525934357</v>
      </c>
      <c r="DL26" s="79">
        <f t="shared" si="20"/>
        <v>2027</v>
      </c>
      <c r="DM26" s="299">
        <f t="shared" si="21"/>
        <v>22.157779544738592</v>
      </c>
      <c r="DN26" s="211">
        <f t="shared" si="22"/>
        <v>33.98500922545341</v>
      </c>
      <c r="DO26" s="211">
        <f t="shared" si="23"/>
        <v>30.835296640967364</v>
      </c>
      <c r="DP26" s="211">
        <f t="shared" si="24"/>
        <v>34.458091947431519</v>
      </c>
      <c r="DQ26" s="211">
        <f t="shared" si="25"/>
        <v>27.784435978772759</v>
      </c>
      <c r="DR26" s="293">
        <f t="shared" si="26"/>
        <v>18.486418119923655</v>
      </c>
      <c r="DS26" s="631">
        <f t="shared" si="28"/>
        <v>23.218722866999087</v>
      </c>
      <c r="DT26" s="632">
        <f t="shared" si="27"/>
        <v>24.510412249999717</v>
      </c>
      <c r="DU26" s="632">
        <f t="shared" si="27"/>
        <v>40.807757797999997</v>
      </c>
      <c r="DV26" s="633">
        <f t="shared" si="27"/>
        <v>38.34899999999999</v>
      </c>
    </row>
    <row r="27" spans="72:126" x14ac:dyDescent="0.25">
      <c r="BT27" s="79">
        <f t="shared" si="15"/>
        <v>2036</v>
      </c>
      <c r="BU27" s="280">
        <f>scenarios!E32</f>
        <v>10.702257899858708</v>
      </c>
      <c r="BV27" s="280">
        <f>scenarios!M32</f>
        <v>14.966076857873905</v>
      </c>
      <c r="BW27" s="280">
        <f>scenarios!V32</f>
        <v>12.700145935283334</v>
      </c>
      <c r="BX27" s="399">
        <f>scenarios!AE32</f>
        <v>13.80236407512988</v>
      </c>
      <c r="BY27" s="399">
        <f>scenarios!AN32</f>
        <v>11.632962847078664</v>
      </c>
      <c r="BZ27" s="399">
        <f>scenarios!BF32</f>
        <v>3.4847864207506483</v>
      </c>
      <c r="CA27" s="280">
        <f>'IPCC SR15 paths P1-P4'!C33</f>
        <v>11.20953297720007</v>
      </c>
      <c r="CB27" s="399">
        <f>'IPCC SR15 paths P1-P4'!E33</f>
        <v>12.560589320000418</v>
      </c>
      <c r="CC27" s="616">
        <f>'IPCC SR15 paths P1-P4'!G24</f>
        <v>28.822586493000017</v>
      </c>
      <c r="CD27" s="399">
        <f>'IPCC SR15 paths P1-P4'!I33</f>
        <v>28.391999999999825</v>
      </c>
      <c r="CF27" s="79">
        <f t="shared" si="16"/>
        <v>2036</v>
      </c>
      <c r="CG27" s="278">
        <f>IF($BU26&gt;'goal seek'!$F$31,$BU27/$BU26-1,#N/A)</f>
        <v>-7.767656910741183E-2</v>
      </c>
      <c r="CH27" s="278">
        <f>IF(BV26&gt;'goal seek'!$F$28,BV27/BV26-1,#N/A)</f>
        <v>-0.14024928957704708</v>
      </c>
      <c r="CI27" s="278">
        <f>IF(BW26&gt;'goal seek'!$F$28,BW27/BW26-1,#N/A)</f>
        <v>-0.11960677510139783</v>
      </c>
      <c r="CJ27" s="402">
        <f>IF(BX26&gt;'goal seek'!$F$28,BX27/BX26-1,#N/A)</f>
        <v>-0.15201526541199439</v>
      </c>
      <c r="CK27" s="402">
        <f>IF(BY26&gt;'goal seek'!$F$28,BY27/BY26-1,#N/A)</f>
        <v>-0.10500005644972277</v>
      </c>
      <c r="CL27" s="402">
        <f>IF(BZ26&gt;'goal seek'!$F$28,BZ27/BZ26-1,#N/A)</f>
        <v>-0.18085908867589184</v>
      </c>
      <c r="CM27" s="622">
        <f t="shared" si="17"/>
        <v>-6.9252398016005912E-2</v>
      </c>
      <c r="CN27" s="402">
        <f t="shared" ref="CN27:CN90" si="29">IF(CB26&gt;0,CB27/CB26-1,#N/A)</f>
        <v>-7.9365612839786159E-2</v>
      </c>
      <c r="CO27" s="194">
        <f t="shared" ref="CO27:CO90" si="30">IF(CC26&gt;0,CC27/CC26-1,#N/A)</f>
        <v>-5.6618105020301623E-2</v>
      </c>
      <c r="CP27" s="402">
        <f t="shared" ref="CP27:CP90" si="31">IF(CD26&gt;0,CD27/CD26-1,#N/A)</f>
        <v>-5.2178267401105205E-2</v>
      </c>
      <c r="CR27" s="79">
        <f t="shared" si="18"/>
        <v>2036</v>
      </c>
      <c r="CS27" s="278">
        <f t="shared" si="9"/>
        <v>-7.767656910741183E-2</v>
      </c>
      <c r="CT27" s="278">
        <f t="shared" si="10"/>
        <v>-0.14024928957704708</v>
      </c>
      <c r="CU27" s="278">
        <f t="shared" si="11"/>
        <v>-0.11960677510139783</v>
      </c>
      <c r="CV27" s="402">
        <f t="shared" si="12"/>
        <v>-0.15201526541199439</v>
      </c>
      <c r="CW27" s="402">
        <f t="shared" si="13"/>
        <v>-0.10500005644972277</v>
      </c>
      <c r="CX27" s="402">
        <f t="shared" si="14"/>
        <v>-0.18085908867589184</v>
      </c>
      <c r="CZ27" s="79">
        <f t="shared" si="7"/>
        <v>2036</v>
      </c>
      <c r="DA27" s="299">
        <f>scenarios!K32</f>
        <v>1.1955093154192149</v>
      </c>
      <c r="DB27" s="407">
        <f>scenarios!T32</f>
        <v>1.6718046291058262</v>
      </c>
      <c r="DC27" s="211">
        <f>scenarios!AC32</f>
        <v>1.4186859366391418</v>
      </c>
      <c r="DD27" s="407">
        <f>scenarios!AL32</f>
        <v>1.5418106142670263</v>
      </c>
      <c r="DE27" s="407">
        <f>scenarios!AU32</f>
        <v>1.2994748939652987</v>
      </c>
      <c r="DF27" s="407">
        <f>scenarios!BM32</f>
        <v>0.38927249438726241</v>
      </c>
      <c r="DG27" s="626">
        <f>CA27/scenarios!$B32*1000000</f>
        <v>1.252175122402768</v>
      </c>
      <c r="DH27" s="626">
        <f>CB27/scenarios!$B32*1000000</f>
        <v>1.4030965876288448</v>
      </c>
      <c r="DI27" s="626">
        <f>CC27/scenarios!$B32*1000000</f>
        <v>3.21966364194162</v>
      </c>
      <c r="DJ27" s="626">
        <f>CD27/scenarios!$B32*1000000</f>
        <v>3.1715644307011379</v>
      </c>
      <c r="DL27" s="79">
        <f t="shared" si="20"/>
        <v>2028</v>
      </c>
      <c r="DM27" s="299">
        <f t="shared" si="21"/>
        <v>20.436639250664907</v>
      </c>
      <c r="DN27" s="211">
        <f t="shared" si="22"/>
        <v>32.375113606597644</v>
      </c>
      <c r="DO27" s="211">
        <f t="shared" si="23"/>
        <v>28.74455907257909</v>
      </c>
      <c r="DP27" s="211">
        <f t="shared" si="24"/>
        <v>32.735055845817413</v>
      </c>
      <c r="DQ27" s="211">
        <f t="shared" si="25"/>
        <v>25.619773303478404</v>
      </c>
      <c r="DR27" s="293">
        <f t="shared" si="26"/>
        <v>15.651857785996114</v>
      </c>
      <c r="DS27" s="631">
        <f t="shared" si="28"/>
        <v>20.883753127999626</v>
      </c>
      <c r="DT27" s="632">
        <f t="shared" si="27"/>
        <v>22.692772599999898</v>
      </c>
      <c r="DU27" s="632">
        <f t="shared" si="27"/>
        <v>40.869539768999999</v>
      </c>
      <c r="DV27" s="633">
        <f t="shared" si="27"/>
        <v>38.156000000000006</v>
      </c>
    </row>
    <row r="28" spans="72:126" x14ac:dyDescent="0.25">
      <c r="BT28" s="79">
        <f t="shared" si="15"/>
        <v>2037</v>
      </c>
      <c r="BU28" s="280">
        <f>scenarios!E33</f>
        <v>9.8709432244949884</v>
      </c>
      <c r="BV28" s="280">
        <f>scenarios!M33</f>
        <v>12.562088089886416</v>
      </c>
      <c r="BW28" s="280">
        <f>scenarios!V33</f>
        <v>11.098883613917479</v>
      </c>
      <c r="BX28" s="399">
        <f>scenarios!AE33</f>
        <v>11.462194181355065</v>
      </c>
      <c r="BY28" s="399">
        <f>scenarios!AN33</f>
        <v>10.378625178573007</v>
      </c>
      <c r="BZ28" s="399">
        <f>scenarios!BF33</f>
        <v>2.8477861737325547</v>
      </c>
      <c r="CA28" s="280">
        <f>'IPCC SR15 paths P1-P4'!C34</f>
        <v>10.375486198400267</v>
      </c>
      <c r="CB28" s="399">
        <f>'IPCC SR15 paths P1-P4'!E34</f>
        <v>11.477771990000292</v>
      </c>
      <c r="CC28" s="616">
        <f>'IPCC SR15 paths P1-P4'!G25</f>
        <v>27.09276717199964</v>
      </c>
      <c r="CD28" s="399">
        <f>'IPCC SR15 paths P1-P4'!I34</f>
        <v>26.829000000000178</v>
      </c>
      <c r="CF28" s="79">
        <f t="shared" si="16"/>
        <v>2037</v>
      </c>
      <c r="CG28" s="278">
        <f>IF($BU27&gt;'goal seek'!$F$31,$BU28/$BU27-1,#N/A)</f>
        <v>-7.767656910741183E-2</v>
      </c>
      <c r="CH28" s="278">
        <f>IF(BV27&gt;'goal seek'!$F$28,BV28/BV27-1,#N/A)</f>
        <v>-0.16062918764998257</v>
      </c>
      <c r="CI28" s="278">
        <f>IF(BW27&gt;'goal seek'!$F$28,BW28/BW27-1,#N/A)</f>
        <v>-0.12608219854523517</v>
      </c>
      <c r="CJ28" s="402">
        <f>IF(BX27&gt;'goal seek'!$F$28,BX28/BX27-1,#N/A)</f>
        <v>-0.16954848321900928</v>
      </c>
      <c r="CK28" s="402">
        <f>IF(BY27&gt;'goal seek'!$F$28,BY28/BY27-1,#N/A)</f>
        <v>-0.10782615615596625</v>
      </c>
      <c r="CL28" s="402">
        <f>IF(BZ27&gt;'goal seek'!$F$28,BZ28/BZ27-1,#N/A)</f>
        <v>-0.18279463074838287</v>
      </c>
      <c r="CM28" s="622">
        <f t="shared" si="17"/>
        <v>-7.4405131819160863E-2</v>
      </c>
      <c r="CN28" s="402">
        <f t="shared" si="29"/>
        <v>-8.6207525969815624E-2</v>
      </c>
      <c r="CO28" s="194">
        <f t="shared" si="30"/>
        <v>-6.001610304545324E-2</v>
      </c>
      <c r="CP28" s="402">
        <f t="shared" si="31"/>
        <v>-5.5050718512244856E-2</v>
      </c>
      <c r="CR28" s="79">
        <f t="shared" si="18"/>
        <v>2037</v>
      </c>
      <c r="CS28" s="278">
        <f t="shared" si="9"/>
        <v>-7.767656910741183E-2</v>
      </c>
      <c r="CT28" s="278">
        <f t="shared" si="10"/>
        <v>-0.16062918764998257</v>
      </c>
      <c r="CU28" s="278">
        <f t="shared" si="11"/>
        <v>-0.12608219854523517</v>
      </c>
      <c r="CV28" s="402">
        <f t="shared" si="12"/>
        <v>-0.16954848321900928</v>
      </c>
      <c r="CW28" s="402">
        <f t="shared" si="13"/>
        <v>-0.10782615615596625</v>
      </c>
      <c r="CX28" s="402">
        <f t="shared" si="14"/>
        <v>-0.18279463074838287</v>
      </c>
      <c r="CZ28" s="79">
        <f t="shared" si="7"/>
        <v>2037</v>
      </c>
      <c r="DA28" s="299">
        <f>scenarios!K33</f>
        <v>1.0948934044494565</v>
      </c>
      <c r="DB28" s="407">
        <f>scenarios!T33</f>
        <v>1.3933974781253378</v>
      </c>
      <c r="DC28" s="211">
        <f>scenarios!AC33</f>
        <v>1.2310975951593637</v>
      </c>
      <c r="DD28" s="407">
        <f>scenarios!AL33</f>
        <v>1.2713963118075444</v>
      </c>
      <c r="DE28" s="407">
        <f>scenarios!AU33</f>
        <v>1.1512059178978835</v>
      </c>
      <c r="DF28" s="407">
        <f>scenarios!BM33</f>
        <v>0.3158788606102686</v>
      </c>
      <c r="DG28" s="626">
        <f>CA28/scenarios!$B33*1000000</f>
        <v>1.1508577395516337</v>
      </c>
      <c r="DH28" s="626">
        <f>CB28/scenarios!$B33*1000000</f>
        <v>1.2731242155704907</v>
      </c>
      <c r="DI28" s="626">
        <f>CC28/scenarios!$B33*1000000</f>
        <v>3.0051527407528775</v>
      </c>
      <c r="DJ28" s="626">
        <f>CD28/scenarios!$B33*1000000</f>
        <v>2.9758954620547446</v>
      </c>
      <c r="DL28" s="79">
        <f t="shared" si="20"/>
        <v>2029</v>
      </c>
      <c r="DM28" s="299">
        <f t="shared" si="21"/>
        <v>18.84919122958739</v>
      </c>
      <c r="DN28" s="211">
        <f t="shared" si="22"/>
        <v>30.618624663201448</v>
      </c>
      <c r="DO28" s="211">
        <f t="shared" si="23"/>
        <v>26.609447402105705</v>
      </c>
      <c r="DP28" s="211">
        <f t="shared" si="24"/>
        <v>30.802506467750074</v>
      </c>
      <c r="DQ28" s="211">
        <f t="shared" si="25"/>
        <v>23.52132538582547</v>
      </c>
      <c r="DR28" s="293">
        <f t="shared" si="26"/>
        <v>13.168083660743605</v>
      </c>
      <c r="DS28" s="631">
        <f t="shared" si="28"/>
        <v>18.548783388999254</v>
      </c>
      <c r="DT28" s="632">
        <f t="shared" si="27"/>
        <v>20.875132950000079</v>
      </c>
      <c r="DU28" s="632">
        <f t="shared" si="27"/>
        <v>40.931321740000001</v>
      </c>
      <c r="DV28" s="633">
        <f t="shared" si="27"/>
        <v>37.962999999999965</v>
      </c>
    </row>
    <row r="29" spans="72:126" x14ac:dyDescent="0.25">
      <c r="BT29" s="79">
        <f t="shared" si="15"/>
        <v>2038</v>
      </c>
      <c r="BU29" s="280">
        <f>scenarios!E34</f>
        <v>9.1042022209621649</v>
      </c>
      <c r="BV29" s="280">
        <f>scenarios!M34</f>
        <v>10.251034104939498</v>
      </c>
      <c r="BW29" s="280">
        <f>scenarios!V34</f>
        <v>9.6276419953230956</v>
      </c>
      <c r="BX29" s="399">
        <f>scenarios!AE34</f>
        <v>9.3056474481057752</v>
      </c>
      <c r="BY29" s="399">
        <f>scenarios!AN34</f>
        <v>9.2310830379311444</v>
      </c>
      <c r="BZ29" s="399">
        <f>scenarios!BF34</f>
        <v>2.3222251737788593</v>
      </c>
      <c r="CA29" s="280">
        <f>'IPCC SR15 paths P1-P4'!C35</f>
        <v>9.5414394196002377</v>
      </c>
      <c r="CB29" s="399">
        <f>'IPCC SR15 paths P1-P4'!E35</f>
        <v>10.394954660000167</v>
      </c>
      <c r="CC29" s="616">
        <f>'IPCC SR15 paths P1-P4'!G26</f>
        <v>25.362947850999717</v>
      </c>
      <c r="CD29" s="399">
        <f>'IPCC SR15 paths P1-P4'!I35</f>
        <v>25.266000000000076</v>
      </c>
      <c r="CF29" s="79">
        <f t="shared" si="16"/>
        <v>2038</v>
      </c>
      <c r="CG29" s="278">
        <f>IF($BU28&gt;'goal seek'!$F$31,$BU29/$BU28-1,#N/A)</f>
        <v>-7.767656910741183E-2</v>
      </c>
      <c r="CH29" s="278">
        <f>IF(BV28&gt;'goal seek'!$F$28,BV29/BV28-1,#N/A)</f>
        <v>-0.18397052849896189</v>
      </c>
      <c r="CI29" s="278">
        <f>IF(BW28&gt;'goal seek'!$F$28,BW29/BW28-1,#N/A)</f>
        <v>-0.1325576219890725</v>
      </c>
      <c r="CJ29" s="402">
        <f>IF(BX28&gt;'goal seek'!$F$28,BX29/BX28-1,#N/A)</f>
        <v>-0.1881443202870553</v>
      </c>
      <c r="CK29" s="402">
        <f>IF(BY28&gt;'goal seek'!$F$28,BY29/BY28-1,#N/A)</f>
        <v>-0.11056783734814879</v>
      </c>
      <c r="CL29" s="402" t="e">
        <f>IF(BZ28&gt;'goal seek'!$F$28,BZ29/BZ28-1,#N/A)</f>
        <v>#N/A</v>
      </c>
      <c r="CM29" s="622">
        <f t="shared" si="17"/>
        <v>-8.0386283866738295E-2</v>
      </c>
      <c r="CN29" s="402">
        <f t="shared" si="29"/>
        <v>-9.4340376420049221E-2</v>
      </c>
      <c r="CO29" s="194">
        <f t="shared" si="30"/>
        <v>-6.3848011907314151E-2</v>
      </c>
      <c r="CP29" s="402">
        <f t="shared" si="31"/>
        <v>-5.8257855305829165E-2</v>
      </c>
      <c r="CR29" s="79">
        <f t="shared" si="18"/>
        <v>2038</v>
      </c>
      <c r="CS29" s="278">
        <f t="shared" si="9"/>
        <v>-7.767656910741183E-2</v>
      </c>
      <c r="CT29" s="278">
        <f t="shared" si="10"/>
        <v>-0.18397052849896189</v>
      </c>
      <c r="CU29" s="278">
        <f t="shared" si="11"/>
        <v>-0.1325576219890725</v>
      </c>
      <c r="CV29" s="402">
        <f t="shared" si="12"/>
        <v>-0.1881443202870553</v>
      </c>
      <c r="CW29" s="402">
        <f t="shared" si="13"/>
        <v>-0.11056783734814879</v>
      </c>
      <c r="CX29" s="402">
        <f t="shared" si="14"/>
        <v>0</v>
      </c>
      <c r="CZ29" s="79">
        <f t="shared" si="7"/>
        <v>2038</v>
      </c>
      <c r="DA29" s="299">
        <f>scenarios!K34</f>
        <v>1.0029201850060494</v>
      </c>
      <c r="DB29" s="407">
        <f>scenarios!T34</f>
        <v>1.1292553451149849</v>
      </c>
      <c r="DC29" s="211">
        <f>scenarios!AC34</f>
        <v>1.0605823834722548</v>
      </c>
      <c r="DD29" s="407">
        <f>scenarios!AL34</f>
        <v>1.0251114192923747</v>
      </c>
      <c r="DE29" s="407">
        <f>scenarios!AU34</f>
        <v>1.0168973934796546</v>
      </c>
      <c r="DF29" s="407">
        <f>scenarios!BM34</f>
        <v>0.25581664866247456</v>
      </c>
      <c r="DG29" s="626">
        <f>CA29/scenarios!$B34*1000000</f>
        <v>1.05108629572138</v>
      </c>
      <c r="DH29" s="626">
        <f>CB29/scenarios!$B34*1000000</f>
        <v>1.1451096535106486</v>
      </c>
      <c r="DI29" s="626">
        <f>CC29/scenarios!$B34*1000000</f>
        <v>2.7939858686854984</v>
      </c>
      <c r="DJ29" s="626">
        <f>CD29/scenarios!$B34*1000000</f>
        <v>2.7833060799131637</v>
      </c>
      <c r="DL29" s="79">
        <f t="shared" si="20"/>
        <v>2030</v>
      </c>
      <c r="DM29" s="299">
        <f t="shared" si="21"/>
        <v>17.385050724423525</v>
      </c>
      <c r="DN29" s="211">
        <f t="shared" si="22"/>
        <v>28.716041753487143</v>
      </c>
      <c r="DO29" s="211">
        <f t="shared" si="23"/>
        <v>24.460621848320489</v>
      </c>
      <c r="DP29" s="211">
        <f t="shared" si="24"/>
        <v>28.673099531232598</v>
      </c>
      <c r="DQ29" s="211">
        <f t="shared" si="25"/>
        <v>21.506100896100762</v>
      </c>
      <c r="DR29" s="293">
        <f t="shared" si="26"/>
        <v>11.018313333856071</v>
      </c>
      <c r="DS29" s="631">
        <f t="shared" si="28"/>
        <v>16.213813649999999</v>
      </c>
      <c r="DT29" s="632">
        <f t="shared" si="27"/>
        <v>19.057493299999997</v>
      </c>
      <c r="DU29" s="632">
        <f t="shared" si="27"/>
        <v>39.201502419000008</v>
      </c>
      <c r="DV29" s="633">
        <f t="shared" si="27"/>
        <v>37.770000000000003</v>
      </c>
    </row>
    <row r="30" spans="72:126" x14ac:dyDescent="0.25">
      <c r="BT30" s="79">
        <f t="shared" si="15"/>
        <v>2039</v>
      </c>
      <c r="BU30" s="280">
        <f>scenarios!E35</f>
        <v>8.3970190279777448</v>
      </c>
      <c r="BV30" s="280">
        <f>scenarios!M35</f>
        <v>8.091103852417362</v>
      </c>
      <c r="BW30" s="280">
        <f>scenarios!V35</f>
        <v>8.2890816083755485</v>
      </c>
      <c r="BX30" s="399">
        <f>scenarios!AE35</f>
        <v>7.3719080701785655</v>
      </c>
      <c r="BY30" s="399">
        <f>scenarios!AN35</f>
        <v>8.1858268150268643</v>
      </c>
      <c r="BZ30" s="399">
        <f>scenarios!BF35</f>
        <v>1.8899401284246782</v>
      </c>
      <c r="CA30" s="280">
        <f>'IPCC SR15 paths P1-P4'!C36</f>
        <v>8.707392640800208</v>
      </c>
      <c r="CB30" s="399">
        <f>'IPCC SR15 paths P1-P4'!E36</f>
        <v>9.3121373300004961</v>
      </c>
      <c r="CC30" s="616">
        <f>'IPCC SR15 paths P1-P4'!G27</f>
        <v>23.63312853</v>
      </c>
      <c r="CD30" s="399">
        <f>'IPCC SR15 paths P1-P4'!I36</f>
        <v>23.702999999999975</v>
      </c>
      <c r="CF30" s="79">
        <f t="shared" si="16"/>
        <v>2039</v>
      </c>
      <c r="CG30" s="278">
        <f>IF($BU29&gt;'goal seek'!$F$31,$BU30/$BU29-1,#N/A)</f>
        <v>-7.767656910741183E-2</v>
      </c>
      <c r="CH30" s="278">
        <f>IF(BV29&gt;'goal seek'!$F$28,BV30/BV29-1,#N/A)</f>
        <v>-0.21070364515530837</v>
      </c>
      <c r="CI30" s="278">
        <f>IF(BW29&gt;'goal seek'!$F$28,BW30/BW29-1,#N/A)</f>
        <v>-0.13903304543290984</v>
      </c>
      <c r="CJ30" s="402">
        <f>IF(BX29&gt;'goal seek'!$F$28,BX30/BX29-1,#N/A)</f>
        <v>-0.20780277661613267</v>
      </c>
      <c r="CK30" s="402">
        <f>IF(BY29&gt;'goal seek'!$F$28,BY30/BY29-1,#N/A)</f>
        <v>-0.11323224139673016</v>
      </c>
      <c r="CL30" s="402" t="e">
        <f>IF(BZ29&gt;'goal seek'!$F$28,BZ30/BZ29-1,#N/A)</f>
        <v>#N/A</v>
      </c>
      <c r="CM30" s="622">
        <f t="shared" si="17"/>
        <v>-8.7413097974160192E-2</v>
      </c>
      <c r="CN30" s="402">
        <f t="shared" si="29"/>
        <v>-0.10416758566214401</v>
      </c>
      <c r="CO30" s="194">
        <f t="shared" si="30"/>
        <v>-6.8202613164760062E-2</v>
      </c>
      <c r="CP30" s="402">
        <f t="shared" si="31"/>
        <v>-6.1861790548567108E-2</v>
      </c>
      <c r="CR30" s="79">
        <f t="shared" si="18"/>
        <v>2039</v>
      </c>
      <c r="CS30" s="278">
        <f t="shared" si="9"/>
        <v>-7.767656910741183E-2</v>
      </c>
      <c r="CT30" s="278">
        <f t="shared" si="10"/>
        <v>-0.21070364515530837</v>
      </c>
      <c r="CU30" s="278">
        <f t="shared" si="11"/>
        <v>-0.13903304543290984</v>
      </c>
      <c r="CV30" s="402">
        <f t="shared" si="12"/>
        <v>-0.20780277661613267</v>
      </c>
      <c r="CW30" s="402">
        <f t="shared" si="13"/>
        <v>-0.11323224139673016</v>
      </c>
      <c r="CX30" s="402">
        <f t="shared" si="14"/>
        <v>0</v>
      </c>
      <c r="CZ30" s="79">
        <f t="shared" si="7"/>
        <v>2039</v>
      </c>
      <c r="DA30" s="299">
        <f>scenarios!K35</f>
        <v>0.91882882553056622</v>
      </c>
      <c r="DB30" s="407">
        <f>scenarios!T35</f>
        <v>0.88535460324577808</v>
      </c>
      <c r="DC30" s="211">
        <f>scenarios!AC35</f>
        <v>0.90701796596797091</v>
      </c>
      <c r="DD30" s="407">
        <f>scenarios!AL35</f>
        <v>0.80665788793296844</v>
      </c>
      <c r="DE30" s="407">
        <f>scenarios!AU35</f>
        <v>0.89571949442862264</v>
      </c>
      <c r="DF30" s="407">
        <f>scenarios!BM35</f>
        <v>0.20680332660169568</v>
      </c>
      <c r="DG30" s="626">
        <f>CA30/scenarios!$B35*1000000</f>
        <v>0.95279090435820268</v>
      </c>
      <c r="DH30" s="626">
        <f>CB30/scenarios!$B35*1000000</f>
        <v>1.0189640130140689</v>
      </c>
      <c r="DI30" s="626">
        <f>CC30/scenarios!$B35*1000000</f>
        <v>2.5860129241677328</v>
      </c>
      <c r="DJ30" s="626">
        <f>CD30/scenarios!$B35*1000000</f>
        <v>2.5936584851107605</v>
      </c>
      <c r="DL30" s="79">
        <f t="shared" si="20"/>
        <v>2031</v>
      </c>
      <c r="DM30" s="299">
        <f t="shared" si="21"/>
        <v>16.034639630391982</v>
      </c>
      <c r="DN30" s="211">
        <f t="shared" si="22"/>
        <v>26.672392874539952</v>
      </c>
      <c r="DO30" s="211">
        <f t="shared" si="23"/>
        <v>22.326930172905357</v>
      </c>
      <c r="DP30" s="211">
        <f t="shared" si="24"/>
        <v>26.370980374694042</v>
      </c>
      <c r="DQ30" s="211">
        <f t="shared" si="25"/>
        <v>19.58663984505209</v>
      </c>
      <c r="DR30" s="293">
        <f t="shared" si="26"/>
        <v>9.1760886496662266</v>
      </c>
      <c r="DS30" s="631">
        <f t="shared" si="28"/>
        <v>15.379766871200218</v>
      </c>
      <c r="DT30" s="632">
        <f t="shared" si="27"/>
        <v>17.974675970000135</v>
      </c>
      <c r="DU30" s="632">
        <f t="shared" si="27"/>
        <v>37.47168309799963</v>
      </c>
      <c r="DV30" s="633">
        <f t="shared" si="27"/>
        <v>36.20699999999988</v>
      </c>
    </row>
    <row r="31" spans="72:126" x14ac:dyDescent="0.25">
      <c r="BT31" s="79">
        <f t="shared" si="15"/>
        <v>2040</v>
      </c>
      <c r="BU31" s="280">
        <f>scenarios!E36</f>
        <v>7.744767399154779</v>
      </c>
      <c r="BV31" s="280">
        <f>scenarios!M36</f>
        <v>6.1385473174505822</v>
      </c>
      <c r="BW31" s="280">
        <f>scenarios!V36</f>
        <v>7.0829500351464167</v>
      </c>
      <c r="BX31" s="399">
        <f>scenarios!AE36</f>
        <v>5.6872512398710828</v>
      </c>
      <c r="BY31" s="399">
        <f>scenarios!AN36</f>
        <v>7.2376988711080346</v>
      </c>
      <c r="BZ31" s="399">
        <f>scenarios!BF36</f>
        <v>1.5353572783066616</v>
      </c>
      <c r="CA31" s="280">
        <f>'IPCC SR15 paths P1-P4'!C37</f>
        <v>7.8733458619999999</v>
      </c>
      <c r="CB31" s="399">
        <f>'IPCC SR15 paths P1-P4'!E37</f>
        <v>8.2293199999999995</v>
      </c>
      <c r="CC31" s="616">
        <f>'IPCC SR15 paths P1-P4'!G28</f>
        <v>22.422228616999746</v>
      </c>
      <c r="CD31" s="399">
        <f>'IPCC SR15 paths P1-P4'!I37</f>
        <v>22.14</v>
      </c>
      <c r="CF31" s="79">
        <f t="shared" si="16"/>
        <v>2040</v>
      </c>
      <c r="CG31" s="278">
        <f>IF($BU30&gt;'goal seek'!$F$31,$BU31/$BU30-1,#N/A)</f>
        <v>-7.767656910741183E-2</v>
      </c>
      <c r="CH31" s="278">
        <f>IF(BV30&gt;'goal seek'!$F$28,BV31/BV30-1,#N/A)</f>
        <v>-0.24132140318325279</v>
      </c>
      <c r="CI31" s="278">
        <f>IF(BW30&gt;'goal seek'!$F$28,BW31/BW30-1,#N/A)</f>
        <v>-0.14550846887674729</v>
      </c>
      <c r="CJ31" s="402">
        <f>IF(BX30&gt;'goal seek'!$F$28,BX31/BX30-1,#N/A)</f>
        <v>-0.22852385220624116</v>
      </c>
      <c r="CK31" s="402">
        <f>IF(BY30&gt;'goal seek'!$F$28,BY31/BY30-1,#N/A)</f>
        <v>-0.11582555621361723</v>
      </c>
      <c r="CL31" s="402" t="e">
        <f>IF(BZ30&gt;'goal seek'!$F$28,BZ31/BZ30-1,#N/A)</f>
        <v>#N/A</v>
      </c>
      <c r="CM31" s="622">
        <f t="shared" si="17"/>
        <v>-9.5786053668019622E-2</v>
      </c>
      <c r="CN31" s="402">
        <f t="shared" si="29"/>
        <v>-0.11628021490963547</v>
      </c>
      <c r="CO31" s="194">
        <f t="shared" si="30"/>
        <v>-5.1237393790802277E-2</v>
      </c>
      <c r="CP31" s="402">
        <f t="shared" si="31"/>
        <v>-6.5941020124033911E-2</v>
      </c>
      <c r="CR31" s="79">
        <f t="shared" si="18"/>
        <v>2040</v>
      </c>
      <c r="CS31" s="278">
        <f t="shared" si="9"/>
        <v>-7.767656910741183E-2</v>
      </c>
      <c r="CT31" s="278">
        <f t="shared" si="10"/>
        <v>-0.24132140318325279</v>
      </c>
      <c r="CU31" s="278">
        <f t="shared" si="11"/>
        <v>-0.14550846887674729</v>
      </c>
      <c r="CV31" s="402">
        <f t="shared" si="12"/>
        <v>-0.22852385220624116</v>
      </c>
      <c r="CW31" s="402">
        <f t="shared" si="13"/>
        <v>-0.11582555621361723</v>
      </c>
      <c r="CX31" s="402">
        <f t="shared" si="14"/>
        <v>0</v>
      </c>
      <c r="CZ31" s="79">
        <f t="shared" si="7"/>
        <v>2040</v>
      </c>
      <c r="DA31" s="299">
        <f>scenarios!K36</f>
        <v>0.8419280369694212</v>
      </c>
      <c r="DB31" s="407">
        <f>scenarios!T36</f>
        <v>0.66731701889318273</v>
      </c>
      <c r="DC31" s="211">
        <f>scenarios!AC36</f>
        <v>0.76998235217420752</v>
      </c>
      <c r="DD31" s="407">
        <f>scenarios!AL36</f>
        <v>0.61825695019054172</v>
      </c>
      <c r="DE31" s="407">
        <f>scenarios!AU36</f>
        <v>0.78680498569819002</v>
      </c>
      <c r="DF31" s="407">
        <f>scenarios!BM36</f>
        <v>0.16690757420455452</v>
      </c>
      <c r="DG31" s="626">
        <f>CA31/scenarios!$B36*1000000</f>
        <v>0.85590570824611267</v>
      </c>
      <c r="DH31" s="626">
        <f>CB31/scenarios!$B36*1000000</f>
        <v>0.89460339815361467</v>
      </c>
      <c r="DI31" s="626">
        <f>CC31/scenarios!$B36*1000000</f>
        <v>2.437504181991367</v>
      </c>
      <c r="DJ31" s="626">
        <f>CD31/scenarios!$B36*1000000</f>
        <v>2.4068233140916906</v>
      </c>
      <c r="DL31" s="79">
        <f t="shared" si="20"/>
        <v>2032</v>
      </c>
      <c r="DM31" s="299">
        <f t="shared" si="21"/>
        <v>14.789123837029395</v>
      </c>
      <c r="DN31" s="211">
        <f t="shared" si="22"/>
        <v>24.498353138093332</v>
      </c>
      <c r="DO31" s="211">
        <f t="shared" si="23"/>
        <v>20.234783365292255</v>
      </c>
      <c r="DP31" s="211">
        <f t="shared" si="24"/>
        <v>23.931438247852281</v>
      </c>
      <c r="DQ31" s="211">
        <f t="shared" si="25"/>
        <v>17.771726106477395</v>
      </c>
      <c r="DR31" s="293">
        <f t="shared" si="26"/>
        <v>7.6103634168143444</v>
      </c>
      <c r="DS31" s="631">
        <f t="shared" si="28"/>
        <v>14.545720092400188</v>
      </c>
      <c r="DT31" s="632">
        <f t="shared" si="27"/>
        <v>16.891858640000464</v>
      </c>
      <c r="DU31" s="632">
        <f t="shared" si="27"/>
        <v>35.741863776999708</v>
      </c>
      <c r="DV31" s="633">
        <f t="shared" si="27"/>
        <v>34.643999999999778</v>
      </c>
    </row>
    <row r="32" spans="72:126" x14ac:dyDescent="0.25">
      <c r="BT32" s="79">
        <f t="shared" si="15"/>
        <v>2041</v>
      </c>
      <c r="BU32" s="280">
        <f>scenarios!E37</f>
        <v>7.143180439053503</v>
      </c>
      <c r="BV32" s="280">
        <f>scenarios!M37</f>
        <v>4.4419247372297175</v>
      </c>
      <c r="BW32" s="280">
        <f>scenarios!V37</f>
        <v>6.0064557196926422</v>
      </c>
      <c r="BX32" s="399">
        <f>scenarios!AE37</f>
        <v>4.2636893325199043</v>
      </c>
      <c r="BY32" s="399">
        <f>scenarios!AN37</f>
        <v>6.381094154104435</v>
      </c>
      <c r="BZ32" s="399">
        <f>scenarios!BF37</f>
        <v>1.2452340190892004</v>
      </c>
      <c r="CA32" s="280">
        <f>'IPCC SR15 paths P1-P4'!C38</f>
        <v>7.3595750486001634</v>
      </c>
      <c r="CB32" s="399">
        <f>'IPCC SR15 paths P1-P4'!E38</f>
        <v>7.5858497700000953</v>
      </c>
      <c r="CC32" s="616">
        <f>'IPCC SR15 paths P1-P4'!G29</f>
        <v>21.211328703999698</v>
      </c>
      <c r="CD32" s="399">
        <f>'IPCC SR15 paths P1-P4'!I38</f>
        <v>20.051400000000285</v>
      </c>
      <c r="CF32" s="79">
        <f t="shared" si="16"/>
        <v>2041</v>
      </c>
      <c r="CG32" s="278">
        <f>IF($BU31&gt;'goal seek'!$F$31,$BU32/$BU31-1,#N/A)</f>
        <v>-7.767656910741183E-2</v>
      </c>
      <c r="CH32" s="278">
        <f>IF(BV31&gt;'goal seek'!$F$28,BV32/BV31-1,#N/A)</f>
        <v>-0.27638828740437138</v>
      </c>
      <c r="CI32" s="278">
        <f>IF(BW31&gt;'goal seek'!$F$28,BW32/BW31-1,#N/A)</f>
        <v>-0.15198389232058473</v>
      </c>
      <c r="CJ32" s="402">
        <f>IF(BX31&gt;'goal seek'!$F$28,BX32/BX31-1,#N/A)</f>
        <v>-0.25030754705738079</v>
      </c>
      <c r="CK32" s="402">
        <f>IF(BY31&gt;'goal seek'!$F$28,BY32/BY31-1,#N/A)</f>
        <v>-0.11835318548869944</v>
      </c>
      <c r="CL32" s="402" t="e">
        <f>IF(BZ31&gt;'goal seek'!$F$28,BZ32/BZ31-1,#N/A)</f>
        <v>#N/A</v>
      </c>
      <c r="CM32" s="622">
        <f t="shared" si="17"/>
        <v>-6.5254444857999361E-2</v>
      </c>
      <c r="CN32" s="402">
        <f t="shared" si="29"/>
        <v>-7.8192393782220648E-2</v>
      </c>
      <c r="CO32" s="194">
        <f t="shared" si="30"/>
        <v>-5.4004440579202173E-2</v>
      </c>
      <c r="CP32" s="402">
        <f t="shared" si="31"/>
        <v>-9.4336043360420785E-2</v>
      </c>
      <c r="CR32" s="79">
        <f t="shared" si="18"/>
        <v>2041</v>
      </c>
      <c r="CS32" s="278">
        <f t="shared" si="9"/>
        <v>-7.767656910741183E-2</v>
      </c>
      <c r="CT32" s="278">
        <f t="shared" si="10"/>
        <v>-0.27638828740437138</v>
      </c>
      <c r="CU32" s="278">
        <f t="shared" si="11"/>
        <v>-0.15198389232058473</v>
      </c>
      <c r="CV32" s="402">
        <f t="shared" si="12"/>
        <v>-0.25030754705738079</v>
      </c>
      <c r="CW32" s="402">
        <f t="shared" si="13"/>
        <v>-0.11835318548869944</v>
      </c>
      <c r="CX32" s="402">
        <f t="shared" si="14"/>
        <v>0</v>
      </c>
      <c r="CZ32" s="79">
        <f t="shared" si="7"/>
        <v>2041</v>
      </c>
      <c r="DA32" s="299">
        <f>scenarios!K37</f>
        <v>0.77158962860319136</v>
      </c>
      <c r="DB32" s="407">
        <f>scenarios!T37</f>
        <v>0.47980631142177077</v>
      </c>
      <c r="DC32" s="211">
        <f>scenarios!AC37</f>
        <v>0.64880328552826672</v>
      </c>
      <c r="DD32" s="407">
        <f>scenarios!AL37</f>
        <v>0.4605537402600367</v>
      </c>
      <c r="DE32" s="407">
        <f>scenarios!AU37</f>
        <v>0.68927085217237338</v>
      </c>
      <c r="DF32" s="407">
        <f>scenarios!BM37</f>
        <v>0.13450726360769436</v>
      </c>
      <c r="DG32" s="626">
        <f>CA32/scenarios!$B37*1000000</f>
        <v>0.79496406773943196</v>
      </c>
      <c r="DH32" s="626">
        <f>CB32/scenarios!$B37*1000000</f>
        <v>0.81940573342839185</v>
      </c>
      <c r="DI32" s="626">
        <f>CC32/scenarios!$B37*1000000</f>
        <v>2.2911980701789396</v>
      </c>
      <c r="DJ32" s="626">
        <f>CD32/scenarios!$B37*1000000</f>
        <v>2.16590528700466</v>
      </c>
      <c r="DL32" s="79">
        <f t="shared" si="20"/>
        <v>2033</v>
      </c>
      <c r="DM32" s="299">
        <f t="shared" si="21"/>
        <v>13.64035543726431</v>
      </c>
      <c r="DN32" s="211">
        <f t="shared" si="22"/>
        <v>22.211353047731443</v>
      </c>
      <c r="DO32" s="211">
        <f t="shared" si="23"/>
        <v>18.207652553847989</v>
      </c>
      <c r="DP32" s="211">
        <f t="shared" si="24"/>
        <v>21.399699625260347</v>
      </c>
      <c r="DQ32" s="211">
        <f t="shared" si="25"/>
        <v>16.066983763338975</v>
      </c>
      <c r="DR32" s="293">
        <f t="shared" si="26"/>
        <v>6.2888168284638262</v>
      </c>
      <c r="DS32" s="631">
        <f t="shared" si="28"/>
        <v>13.711673313600159</v>
      </c>
      <c r="DT32" s="632">
        <f t="shared" si="27"/>
        <v>15.809041310000339</v>
      </c>
      <c r="DU32" s="632">
        <f t="shared" si="27"/>
        <v>34.012044455999785</v>
      </c>
      <c r="DV32" s="633">
        <f t="shared" si="27"/>
        <v>33.081000000000131</v>
      </c>
    </row>
    <row r="33" spans="1:126" x14ac:dyDescent="0.25">
      <c r="BT33" s="79">
        <f t="shared" si="15"/>
        <v>2042</v>
      </c>
      <c r="BU33" s="280">
        <f>scenarios!E38</f>
        <v>6.5883226900326513</v>
      </c>
      <c r="BV33" s="280">
        <f>scenarios!M38</f>
        <v>3.0358298680017715</v>
      </c>
      <c r="BW33" s="280">
        <f>scenarios!V38</f>
        <v>5.0546768561808477</v>
      </c>
      <c r="BX33" s="399">
        <f>scenarios!AE38</f>
        <v>3.0990461285146633</v>
      </c>
      <c r="BY33" s="399">
        <f>scenarios!AN38</f>
        <v>5.6101311167465262</v>
      </c>
      <c r="BZ33" s="399">
        <f>scenarios!BF38</f>
        <v>1.0083884535049643</v>
      </c>
      <c r="CA33" s="280">
        <f>'IPCC SR15 paths P1-P4'!C39</f>
        <v>6.8458042352001485</v>
      </c>
      <c r="CB33" s="399">
        <f>'IPCC SR15 paths P1-P4'!E39</f>
        <v>6.9423795400000472</v>
      </c>
      <c r="CC33" s="616">
        <f>'IPCC SR15 paths P1-P4'!G30</f>
        <v>20.000428790999649</v>
      </c>
      <c r="CD33" s="399">
        <f>'IPCC SR15 paths P1-P4'!I39</f>
        <v>17.962800000000243</v>
      </c>
      <c r="CF33" s="79">
        <f t="shared" si="16"/>
        <v>2042</v>
      </c>
      <c r="CG33" s="278">
        <f>IF($BU32&gt;'goal seek'!$F$31,$BU33/$BU32-1,#N/A)</f>
        <v>-7.767656910741183E-2</v>
      </c>
      <c r="CH33" s="278">
        <f>IF(BV32&gt;'goal seek'!$F$28,BV33/BV32-1,#N/A)</f>
        <v>-0.31655080903169042</v>
      </c>
      <c r="CI33" s="278">
        <f>IF(BW32&gt;'goal seek'!$F$28,BW33/BW32-1,#N/A)</f>
        <v>-0.15845931576442196</v>
      </c>
      <c r="CJ33" s="402">
        <f>IF(BX32&gt;'goal seek'!$F$28,BX33/BX32-1,#N/A)</f>
        <v>-0.27315386116955187</v>
      </c>
      <c r="CK33" s="402">
        <f>IF(BY32&gt;'goal seek'!$F$28,BY33/BY32-1,#N/A)</f>
        <v>-0.12081988115815712</v>
      </c>
      <c r="CL33" s="402" t="e">
        <f>IF(BZ32&gt;'goal seek'!$F$28,BZ33/BZ32-1,#N/A)</f>
        <v>#N/A</v>
      </c>
      <c r="CM33" s="622">
        <f t="shared" si="17"/>
        <v>-6.980984771637555E-2</v>
      </c>
      <c r="CN33" s="402">
        <f t="shared" si="29"/>
        <v>-8.4825068978401363E-2</v>
      </c>
      <c r="CO33" s="194">
        <f t="shared" si="30"/>
        <v>-5.7087414461297614E-2</v>
      </c>
      <c r="CP33" s="402">
        <f t="shared" si="31"/>
        <v>-0.10416230288159489</v>
      </c>
      <c r="CR33" s="79">
        <f t="shared" si="18"/>
        <v>2042</v>
      </c>
      <c r="CS33" s="278">
        <f t="shared" si="9"/>
        <v>-7.767656910741183E-2</v>
      </c>
      <c r="CT33" s="278">
        <f t="shared" si="10"/>
        <v>-0.31655080903169042</v>
      </c>
      <c r="CU33" s="278">
        <f t="shared" si="11"/>
        <v>-0.15845931576442196</v>
      </c>
      <c r="CV33" s="402">
        <f t="shared" si="12"/>
        <v>-0.27315386116955187</v>
      </c>
      <c r="CW33" s="402">
        <f t="shared" si="13"/>
        <v>-0.12081988115815712</v>
      </c>
      <c r="CX33" s="402">
        <f t="shared" si="14"/>
        <v>0</v>
      </c>
      <c r="CZ33" s="79">
        <f t="shared" si="7"/>
        <v>2042</v>
      </c>
      <c r="DA33" s="299">
        <f>scenarios!K38</f>
        <v>0.70724244503579714</v>
      </c>
      <c r="DB33" s="407">
        <f>scenarios!T38</f>
        <v>0.325889887240425</v>
      </c>
      <c r="DC33" s="211">
        <f>scenarios!AC38</f>
        <v>0.54260882273413391</v>
      </c>
      <c r="DD33" s="407">
        <f>scenarios!AL38</f>
        <v>0.33267601851459544</v>
      </c>
      <c r="DE33" s="407">
        <f>scenarios!AU38</f>
        <v>0.60223565764043607</v>
      </c>
      <c r="DF33" s="407">
        <f>scenarios!BM38</f>
        <v>0.10824835833886315</v>
      </c>
      <c r="DG33" s="626">
        <f>CA33/scenarios!$B38*1000000</f>
        <v>0.73488254193502078</v>
      </c>
      <c r="DH33" s="626">
        <f>CB33/scenarios!$B38*1000000</f>
        <v>0.74524969574794653</v>
      </c>
      <c r="DI33" s="626">
        <f>CC33/scenarios!$B38*1000000</f>
        <v>2.147003543301071</v>
      </c>
      <c r="DJ33" s="626">
        <f>CD33/scenarios!$B38*1000000</f>
        <v>1.9282684211732541</v>
      </c>
      <c r="DL33" s="79">
        <f t="shared" si="20"/>
        <v>2034</v>
      </c>
      <c r="DM33" s="299">
        <f t="shared" si="21"/>
        <v>12.580819425491988</v>
      </c>
      <c r="DN33" s="211">
        <f t="shared" si="22"/>
        <v>19.836547256297379</v>
      </c>
      <c r="DO33" s="211">
        <f t="shared" si="23"/>
        <v>16.265698470124367</v>
      </c>
      <c r="DP33" s="211">
        <f t="shared" si="24"/>
        <v>18.828810597051955</v>
      </c>
      <c r="DQ33" s="211">
        <f t="shared" si="25"/>
        <v>14.475390224671248</v>
      </c>
      <c r="DR33" s="293">
        <f t="shared" si="26"/>
        <v>5.1799279200617256</v>
      </c>
      <c r="DS33" s="631">
        <f t="shared" si="28"/>
        <v>12.877626534800129</v>
      </c>
      <c r="DT33" s="632">
        <f t="shared" si="27"/>
        <v>14.726223980000213</v>
      </c>
      <c r="DU33" s="632">
        <f t="shared" si="27"/>
        <v>32.282225134999862</v>
      </c>
      <c r="DV33" s="633">
        <f t="shared" si="27"/>
        <v>31.518000000000029</v>
      </c>
    </row>
    <row r="34" spans="1:126" x14ac:dyDescent="0.25">
      <c r="BT34" s="79">
        <f t="shared" si="15"/>
        <v>2043</v>
      </c>
      <c r="BU34" s="280">
        <f>scenarios!E39</f>
        <v>6.0765643872984008</v>
      </c>
      <c r="BV34" s="280">
        <f>scenarios!M39</f>
        <v>1.9351914947025706</v>
      </c>
      <c r="BW34" s="280">
        <f>scenarios!V39</f>
        <v>4.2209850471246346</v>
      </c>
      <c r="BX34" s="399">
        <f>scenarios!AE39</f>
        <v>2.1784348251611947</v>
      </c>
      <c r="BY34" s="399">
        <f>scenarios!AN39</f>
        <v>4.9187955096093399</v>
      </c>
      <c r="BZ34" s="399">
        <f>scenarios!BF39</f>
        <v>0.81543478321211005</v>
      </c>
      <c r="CA34" s="280">
        <f>'IPCC SR15 paths P1-P4'!C40</f>
        <v>6.3320334218001335</v>
      </c>
      <c r="CB34" s="399">
        <f>'IPCC SR15 paths P1-P4'!E40</f>
        <v>6.2989093099999991</v>
      </c>
      <c r="CC34" s="616">
        <f>'IPCC SR15 paths P1-P4'!G31</f>
        <v>18.789528878000056</v>
      </c>
      <c r="CD34" s="399">
        <f>'IPCC SR15 paths P1-P4'!I40</f>
        <v>15.874200000000201</v>
      </c>
      <c r="CF34" s="79">
        <f t="shared" si="16"/>
        <v>2043</v>
      </c>
      <c r="CG34" s="278">
        <f>IF($BU33&gt;'goal seek'!$F$31,$BU34/$BU33-1,#N/A)</f>
        <v>-7.767656910741183E-2</v>
      </c>
      <c r="CH34" s="278">
        <f>IF(BV33&gt;'goal seek'!$F$28,BV34/BV33-1,#N/A)</f>
        <v>-0.36254942508476518</v>
      </c>
      <c r="CI34" s="278">
        <f>IF(BW33&gt;'goal seek'!$F$28,BW34/BW33-1,#N/A)</f>
        <v>-0.16493473920825952</v>
      </c>
      <c r="CJ34" s="402">
        <f>IF(BX33&gt;'goal seek'!$F$28,BX34/BX33-1,#N/A)</f>
        <v>-0.29706279454275397</v>
      </c>
      <c r="CK34" s="402">
        <f>IF(BY33&gt;'goal seek'!$F$28,BY34/BY33-1,#N/A)</f>
        <v>-0.12322984842074625</v>
      </c>
      <c r="CL34" s="402" t="e">
        <f>IF(BZ33&gt;'goal seek'!$F$28,BZ34/BZ33-1,#N/A)</f>
        <v>#N/A</v>
      </c>
      <c r="CM34" s="622">
        <f t="shared" si="17"/>
        <v>-7.5049007501306941E-2</v>
      </c>
      <c r="CN34" s="402">
        <f t="shared" si="29"/>
        <v>-9.2687273332227482E-2</v>
      </c>
      <c r="CO34" s="194">
        <f t="shared" si="30"/>
        <v>-6.0543697620348391E-2</v>
      </c>
      <c r="CP34" s="402">
        <f t="shared" si="31"/>
        <v>-0.11627363217315867</v>
      </c>
      <c r="CR34" s="79">
        <f t="shared" si="18"/>
        <v>2043</v>
      </c>
      <c r="CS34" s="278">
        <f t="shared" si="9"/>
        <v>-7.767656910741183E-2</v>
      </c>
      <c r="CT34" s="278">
        <f t="shared" si="10"/>
        <v>-0.36254942508476518</v>
      </c>
      <c r="CU34" s="278">
        <f t="shared" si="11"/>
        <v>-0.16493473920825952</v>
      </c>
      <c r="CV34" s="402">
        <f t="shared" si="12"/>
        <v>-0.29706279454275397</v>
      </c>
      <c r="CW34" s="402">
        <f t="shared" si="13"/>
        <v>-0.12322984842074625</v>
      </c>
      <c r="CX34" s="402">
        <f t="shared" si="14"/>
        <v>0</v>
      </c>
      <c r="CZ34" s="79">
        <f t="shared" si="7"/>
        <v>2043</v>
      </c>
      <c r="DA34" s="299">
        <f>scenarios!K39</f>
        <v>0.64836617152091902</v>
      </c>
      <c r="DB34" s="407">
        <f>scenarios!T39</f>
        <v>0.20648389790830263</v>
      </c>
      <c r="DC34" s="211">
        <f>scenarios!AC39</f>
        <v>0.45037684793923216</v>
      </c>
      <c r="DD34" s="407">
        <f>scenarios!AL39</f>
        <v>0.23243783122745126</v>
      </c>
      <c r="DE34" s="407">
        <f>scenarios!AU39</f>
        <v>0.52483285122855139</v>
      </c>
      <c r="DF34" s="407">
        <f>scenarios!BM39</f>
        <v>8.7006455427568158E-2</v>
      </c>
      <c r="DG34" s="626">
        <f>CA34/scenarios!$B39*1000000</f>
        <v>0.67562458092546007</v>
      </c>
      <c r="DH34" s="626">
        <f>CB34/scenarios!$B39*1000000</f>
        <v>0.6720902559049311</v>
      </c>
      <c r="DI34" s="626">
        <f>CC34/scenarios!$B39*1000000</f>
        <v>2.0048326861762917</v>
      </c>
      <c r="DJ34" s="626">
        <f>CD34/scenarios!$B39*1000000</f>
        <v>1.6937686534633078</v>
      </c>
      <c r="DL34" s="79">
        <f t="shared" si="20"/>
        <v>2035</v>
      </c>
      <c r="DM34" s="299">
        <f t="shared" si="21"/>
        <v>11.603584535959891</v>
      </c>
      <c r="DN34" s="211">
        <f t="shared" si="22"/>
        <v>17.407460879574462</v>
      </c>
      <c r="DO34" s="211">
        <f t="shared" si="23"/>
        <v>14.425538016544882</v>
      </c>
      <c r="DP34" s="211">
        <f t="shared" si="24"/>
        <v>16.276665737191337</v>
      </c>
      <c r="DQ34" s="211">
        <f t="shared" si="25"/>
        <v>12.997724671281137</v>
      </c>
      <c r="DR34" s="293">
        <f t="shared" si="26"/>
        <v>4.2541965278203868</v>
      </c>
      <c r="DS34" s="631">
        <f t="shared" si="28"/>
        <v>12.043579756000099</v>
      </c>
      <c r="DT34" s="632">
        <f t="shared" si="27"/>
        <v>13.643406650000088</v>
      </c>
      <c r="DU34" s="632">
        <f t="shared" si="27"/>
        <v>30.55240581399994</v>
      </c>
      <c r="DV34" s="633">
        <f t="shared" si="27"/>
        <v>29.954999999999927</v>
      </c>
    </row>
    <row r="35" spans="1:126" x14ac:dyDescent="0.25">
      <c r="BT35" s="79">
        <f t="shared" si="15"/>
        <v>2044</v>
      </c>
      <c r="BU35" s="280">
        <f>scenarios!E40</f>
        <v>5.6045577137327793</v>
      </c>
      <c r="BV35" s="280">
        <f>scenarios!M40</f>
        <v>0.83455312140336968</v>
      </c>
      <c r="BW35" s="280">
        <f>scenarios!V40</f>
        <v>3.4974653136449327</v>
      </c>
      <c r="BX35" s="399">
        <f>scenarios!AE40</f>
        <v>1.2578235218077261</v>
      </c>
      <c r="BY35" s="399">
        <f>scenarios!AN40</f>
        <v>4.3010595743813465</v>
      </c>
      <c r="BZ35" s="399">
        <f>scenarios!BF40</f>
        <v>0.65853513342908965</v>
      </c>
      <c r="CA35" s="280">
        <f>'IPCC SR15 paths P1-P4'!C41</f>
        <v>5.8182626084001186</v>
      </c>
      <c r="CB35" s="399">
        <f>'IPCC SR15 paths P1-P4'!E41</f>
        <v>5.655439079999951</v>
      </c>
      <c r="CC35" s="616">
        <f>'IPCC SR15 paths P1-P4'!G32</f>
        <v>17.578628965000007</v>
      </c>
      <c r="CD35" s="399">
        <f>'IPCC SR15 paths P1-P4'!I41</f>
        <v>13.785600000000159</v>
      </c>
      <c r="CF35" s="79">
        <f t="shared" si="16"/>
        <v>2044</v>
      </c>
      <c r="CG35" s="278">
        <f>IF($BU34&gt;'goal seek'!$F$31,$BU35/$BU34-1,#N/A)</f>
        <v>-7.7676569107411719E-2</v>
      </c>
      <c r="CH35" s="278" t="e">
        <f>IF(BV34&gt;'goal seek'!$F$28,BV35/BV34-1,#N/A)</f>
        <v>#N/A</v>
      </c>
      <c r="CI35" s="278">
        <f>IF(BW34&gt;'goal seek'!$F$28,BW35/BW34-1,#N/A)</f>
        <v>-0.17141016265209674</v>
      </c>
      <c r="CJ35" s="402" t="e">
        <f>IF(BX34&gt;'goal seek'!$F$28,BX35/BX34-1,#N/A)</f>
        <v>#N/A</v>
      </c>
      <c r="CK35" s="402">
        <f>IF(BY34&gt;'goal seek'!$F$28,BY35/BY34-1,#N/A)</f>
        <v>-0.12558682995078507</v>
      </c>
      <c r="CL35" s="402" t="e">
        <f>IF(BZ34&gt;'goal seek'!$F$28,BZ35/BZ34-1,#N/A)</f>
        <v>#N/A</v>
      </c>
      <c r="CM35" s="622">
        <f t="shared" si="17"/>
        <v>-8.1138360961770628E-2</v>
      </c>
      <c r="CN35" s="402">
        <f t="shared" si="29"/>
        <v>-0.10215581751248426</v>
      </c>
      <c r="CO35" s="194">
        <f t="shared" si="30"/>
        <v>-6.4445464325497026E-2</v>
      </c>
      <c r="CP35" s="402">
        <f t="shared" si="31"/>
        <v>-0.13157198472994014</v>
      </c>
      <c r="CR35" s="79">
        <f t="shared" si="18"/>
        <v>2044</v>
      </c>
      <c r="CS35" s="278">
        <f t="shared" si="9"/>
        <v>-7.7676569107411719E-2</v>
      </c>
      <c r="CT35" s="278">
        <f t="shared" si="10"/>
        <v>0</v>
      </c>
      <c r="CU35" s="278">
        <f t="shared" si="11"/>
        <v>-0.17141016265209674</v>
      </c>
      <c r="CV35" s="402">
        <f t="shared" si="12"/>
        <v>0</v>
      </c>
      <c r="CW35" s="402">
        <f t="shared" si="13"/>
        <v>-0.12558682995078507</v>
      </c>
      <c r="CX35" s="402">
        <f t="shared" si="14"/>
        <v>0</v>
      </c>
      <c r="CZ35" s="79">
        <f t="shared" si="7"/>
        <v>2044</v>
      </c>
      <c r="DA35" s="299">
        <f>scenarios!K40</f>
        <v>0.5944868521643315</v>
      </c>
      <c r="DB35" s="407">
        <f>scenarios!T40</f>
        <v>8.8522749420769292E-2</v>
      </c>
      <c r="DC35" s="211">
        <f>scenarios!AC40</f>
        <v>0.3709832695215326</v>
      </c>
      <c r="DD35" s="407">
        <f>scenarios!AL40</f>
        <v>0.13341990291678188</v>
      </c>
      <c r="DE35" s="407">
        <f>scenarios!AU40</f>
        <v>0.4562221495337675</v>
      </c>
      <c r="DF35" s="407">
        <f>scenarios!BM40</f>
        <v>6.9852162919584751E-2</v>
      </c>
      <c r="DG35" s="626">
        <f>CA35/scenarios!$B40*1000000</f>
        <v>0.61715496561985017</v>
      </c>
      <c r="DH35" s="626">
        <f>CB35/scenarios!$B40*1000000</f>
        <v>0.59988394232041531</v>
      </c>
      <c r="DI35" s="626">
        <f>CC35/scenarios!$B40*1000000</f>
        <v>1.864600978800065</v>
      </c>
      <c r="DJ35" s="626">
        <f>CD35/scenarios!$B40*1000000</f>
        <v>1.4622666707697054</v>
      </c>
      <c r="DL35" s="79">
        <f t="shared" si="20"/>
        <v>2036</v>
      </c>
      <c r="DM35" s="299">
        <f t="shared" si="21"/>
        <v>10.702257899858708</v>
      </c>
      <c r="DN35" s="211">
        <f t="shared" si="22"/>
        <v>14.966076857873905</v>
      </c>
      <c r="DO35" s="211">
        <f t="shared" si="23"/>
        <v>12.700145935283334</v>
      </c>
      <c r="DP35" s="211">
        <f t="shared" si="24"/>
        <v>13.80236407512988</v>
      </c>
      <c r="DQ35" s="211">
        <f t="shared" si="25"/>
        <v>11.632962847078664</v>
      </c>
      <c r="DR35" s="293">
        <f t="shared" si="26"/>
        <v>3.4847864207506483</v>
      </c>
      <c r="DS35" s="631">
        <f t="shared" si="28"/>
        <v>11.20953297720007</v>
      </c>
      <c r="DT35" s="632">
        <f t="shared" ref="DT35:DT98" si="32">CB27</f>
        <v>12.560589320000418</v>
      </c>
      <c r="DU35" s="632">
        <f t="shared" ref="DU35:DU98" si="33">CC27</f>
        <v>28.822586493000017</v>
      </c>
      <c r="DV35" s="633">
        <f t="shared" ref="DV35:DV98" si="34">CD27</f>
        <v>28.391999999999825</v>
      </c>
    </row>
    <row r="36" spans="1:126" ht="15.75" thickBot="1" x14ac:dyDescent="0.3">
      <c r="BT36" s="79">
        <f t="shared" si="15"/>
        <v>2045</v>
      </c>
      <c r="BU36" s="280">
        <f>scenarios!E41</f>
        <v>5.1692148991655369</v>
      </c>
      <c r="BV36" s="280">
        <f>scenarios!M41</f>
        <v>-0.26608525189583121</v>
      </c>
      <c r="BW36" s="280">
        <f>scenarios!V41</f>
        <v>2.8753166464770041</v>
      </c>
      <c r="BX36" s="399">
        <f>scenarios!AE41</f>
        <v>0.33721221845425742</v>
      </c>
      <c r="BY36" s="399">
        <f>scenarios!AN41</f>
        <v>3.7509791122174319</v>
      </c>
      <c r="BZ36" s="399">
        <f>scenarios!BF41</f>
        <v>0.53117344366821539</v>
      </c>
      <c r="CA36" s="280">
        <f>'IPCC SR15 paths P1-P4'!C42</f>
        <v>5.3044917950001036</v>
      </c>
      <c r="CB36" s="399">
        <f>'IPCC SR15 paths P1-P4'!E42</f>
        <v>5.0119688499999029</v>
      </c>
      <c r="CC36" s="616">
        <f>'IPCC SR15 paths P1-P4'!G33</f>
        <v>16.367729051999959</v>
      </c>
      <c r="CD36" s="399">
        <f>'IPCC SR15 paths P1-P4'!I42</f>
        <v>11.697000000000116</v>
      </c>
      <c r="CF36" s="79">
        <f t="shared" si="16"/>
        <v>2045</v>
      </c>
      <c r="CG36" s="278">
        <f>IF($BU35&gt;'goal seek'!$F$31,$BU36/$BU35-1,#N/A)</f>
        <v>-7.767656910741183E-2</v>
      </c>
      <c r="CH36" s="278" t="e">
        <f>IF(BV35&gt;'goal seek'!$F$28,BV36/BV35-1,#N/A)</f>
        <v>#N/A</v>
      </c>
      <c r="CI36" s="278">
        <f>IF(BW35&gt;'goal seek'!$F$28,BW36/BW35-1,#N/A)</f>
        <v>-0.17788558609593408</v>
      </c>
      <c r="CJ36" s="402" t="e">
        <f>IF(BX35&gt;'goal seek'!$F$28,BX36/BX35-1,#N/A)</f>
        <v>#N/A</v>
      </c>
      <c r="CK36" s="402">
        <f>IF(BY35&gt;'goal seek'!$F$28,BY36/BY35-1,#N/A)</f>
        <v>-0.12789417413336734</v>
      </c>
      <c r="CL36" s="402" t="e">
        <f>IF(BZ35&gt;'goal seek'!$F$28,BZ36/BZ35-1,#N/A)</f>
        <v>#N/A</v>
      </c>
      <c r="CM36" s="622">
        <f t="shared" si="17"/>
        <v>-8.8303132391834294E-2</v>
      </c>
      <c r="CN36" s="402">
        <f t="shared" si="29"/>
        <v>-0.11377900475944192</v>
      </c>
      <c r="CO36" s="194">
        <f t="shared" si="30"/>
        <v>-6.8884775679093901E-2</v>
      </c>
      <c r="CP36" s="402">
        <f t="shared" si="31"/>
        <v>-0.15150591922005707</v>
      </c>
      <c r="CR36" s="79">
        <f t="shared" si="18"/>
        <v>2045</v>
      </c>
      <c r="CS36" s="278">
        <f t="shared" si="9"/>
        <v>-7.767656910741183E-2</v>
      </c>
      <c r="CT36" s="278">
        <f t="shared" si="10"/>
        <v>0</v>
      </c>
      <c r="CU36" s="278">
        <f t="shared" si="11"/>
        <v>-0.17788558609593408</v>
      </c>
      <c r="CV36" s="402">
        <f t="shared" si="12"/>
        <v>0</v>
      </c>
      <c r="CW36" s="402">
        <f t="shared" si="13"/>
        <v>-0.12789417413336734</v>
      </c>
      <c r="CX36" s="402">
        <f t="shared" si="14"/>
        <v>0</v>
      </c>
      <c r="CZ36" s="79">
        <f t="shared" si="7"/>
        <v>2045</v>
      </c>
      <c r="DA36" s="299">
        <f>scenarios!K41</f>
        <v>0.54517213126958797</v>
      </c>
      <c r="DB36" s="407">
        <f>scenarios!T41</f>
        <v>-2.8062726488479472E-2</v>
      </c>
      <c r="DC36" s="211">
        <f>scenarios!AC41</f>
        <v>0.30324576068366593</v>
      </c>
      <c r="DD36" s="407">
        <f>scenarios!AL41</f>
        <v>3.556414415166418E-2</v>
      </c>
      <c r="DE36" s="407">
        <f>scenarios!AU41</f>
        <v>0.39559765203133573</v>
      </c>
      <c r="DF36" s="407">
        <f>scenarios!BM41</f>
        <v>5.602029786092938E-2</v>
      </c>
      <c r="DG36" s="626">
        <f>CA36/scenarios!$B41*1000000</f>
        <v>0.55943913216861618</v>
      </c>
      <c r="DH36" s="626">
        <f>CB36/scenarios!$B41*1000000</f>
        <v>0.52858814986630176</v>
      </c>
      <c r="DI36" s="626">
        <f>CC36/scenarios!$B41*1000000</f>
        <v>1.7262253369970053</v>
      </c>
      <c r="DJ36" s="626">
        <f>CD36/scenarios!$B41*1000000</f>
        <v>1.2336261006463185</v>
      </c>
      <c r="DL36" s="79">
        <f t="shared" si="20"/>
        <v>2037</v>
      </c>
      <c r="DM36" s="299">
        <f t="shared" si="21"/>
        <v>9.8709432244949884</v>
      </c>
      <c r="DN36" s="211">
        <f t="shared" si="22"/>
        <v>12.562088089886416</v>
      </c>
      <c r="DO36" s="211">
        <f t="shared" si="23"/>
        <v>11.098883613917479</v>
      </c>
      <c r="DP36" s="211">
        <f t="shared" si="24"/>
        <v>11.462194181355065</v>
      </c>
      <c r="DQ36" s="211">
        <f t="shared" si="25"/>
        <v>10.378625178573007</v>
      </c>
      <c r="DR36" s="293">
        <f t="shared" si="26"/>
        <v>2.8477861737325547</v>
      </c>
      <c r="DS36" s="631">
        <f t="shared" si="28"/>
        <v>10.375486198400267</v>
      </c>
      <c r="DT36" s="632">
        <f t="shared" si="32"/>
        <v>11.477771990000292</v>
      </c>
      <c r="DU36" s="632">
        <f t="shared" si="33"/>
        <v>27.09276717199964</v>
      </c>
      <c r="DV36" s="633">
        <f t="shared" si="34"/>
        <v>26.829000000000178</v>
      </c>
    </row>
    <row r="37" spans="1:126" ht="16.5" thickBot="1" x14ac:dyDescent="0.3">
      <c r="I37" s="985" t="s">
        <v>382</v>
      </c>
      <c r="J37" s="986"/>
      <c r="K37" s="986"/>
      <c r="L37" s="986"/>
      <c r="M37" s="986"/>
      <c r="N37" s="986"/>
      <c r="O37" s="986"/>
      <c r="P37" s="986"/>
      <c r="Q37" s="987"/>
      <c r="R37" s="812"/>
      <c r="AC37" s="811"/>
      <c r="AD37" s="811"/>
      <c r="AE37" s="811"/>
      <c r="AF37" s="811"/>
      <c r="AG37" s="811"/>
      <c r="AH37" s="811"/>
      <c r="AI37" s="811"/>
      <c r="BT37" s="79">
        <f t="shared" si="15"/>
        <v>2046</v>
      </c>
      <c r="BU37" s="280">
        <f>scenarios!E42</f>
        <v>4.7676880208194419</v>
      </c>
      <c r="BV37" s="280">
        <f>scenarios!M42</f>
        <v>-1.3667236251950321</v>
      </c>
      <c r="BW37" s="280">
        <f>scenarios!V42</f>
        <v>2.2531679793090755</v>
      </c>
      <c r="BX37" s="399">
        <f>scenarios!AE42</f>
        <v>-0.58339908489921122</v>
      </c>
      <c r="BY37" s="399">
        <f>scenarios!AN42</f>
        <v>3.2627708351819971</v>
      </c>
      <c r="BZ37" s="399">
        <f>scenarios!BF42</f>
        <v>0.42795377134786117</v>
      </c>
      <c r="CA37" s="280">
        <f>'IPCC SR15 paths P1-P4'!C43</f>
        <v>4.7907209816000886</v>
      </c>
      <c r="CB37" s="399">
        <f>'IPCC SR15 paths P1-P4'!E43</f>
        <v>4.3684986200000822</v>
      </c>
      <c r="CC37" s="616">
        <f>'IPCC SR15 paths P1-P4'!G34</f>
        <v>15.15682913899991</v>
      </c>
      <c r="CD37" s="399">
        <f>'IPCC SR15 paths P1-P4'!I43</f>
        <v>9.6084000000000742</v>
      </c>
      <c r="CF37" s="79">
        <f t="shared" si="16"/>
        <v>2046</v>
      </c>
      <c r="CG37" s="278">
        <f>IF($BU36&gt;'goal seek'!$F$31,$BU37/$BU36-1,#N/A)</f>
        <v>-7.7676569107411941E-2</v>
      </c>
      <c r="CH37" s="278" t="e">
        <f>IF(BV36&gt;'goal seek'!$F$28,BV37/BV36-1,#N/A)</f>
        <v>#N/A</v>
      </c>
      <c r="CI37" s="278" t="e">
        <f>IF(BW36&gt;'goal seek'!$F$28,BW37/BW36-1,#N/A)</f>
        <v>#N/A</v>
      </c>
      <c r="CJ37" s="402" t="e">
        <f>IF(BX36&gt;'goal seek'!$F$28,BX37/BX36-1,#N/A)</f>
        <v>#N/A</v>
      </c>
      <c r="CK37" s="402">
        <f>IF(BY36&gt;'goal seek'!$F$28,BY37/BY36-1,#N/A)</f>
        <v>-0.13015489087776477</v>
      </c>
      <c r="CL37" s="402" t="e">
        <f>IF(BZ36&gt;'goal seek'!$F$28,BZ37/BZ36-1,#N/A)</f>
        <v>#N/A</v>
      </c>
      <c r="CM37" s="622">
        <f t="shared" si="17"/>
        <v>-9.6855803205178614E-2</v>
      </c>
      <c r="CN37" s="402">
        <f t="shared" si="29"/>
        <v>-0.12838671772667409</v>
      </c>
      <c r="CO37" s="194">
        <f t="shared" si="30"/>
        <v>-7.3980935849624729E-2</v>
      </c>
      <c r="CP37" s="402">
        <f t="shared" si="31"/>
        <v>-0.17855860477045582</v>
      </c>
      <c r="CR37" s="79">
        <f t="shared" si="18"/>
        <v>2046</v>
      </c>
      <c r="CS37" s="278">
        <f t="shared" si="9"/>
        <v>-7.7676569107411941E-2</v>
      </c>
      <c r="CT37" s="278">
        <f t="shared" si="10"/>
        <v>0</v>
      </c>
      <c r="CU37" s="278">
        <f t="shared" si="11"/>
        <v>0</v>
      </c>
      <c r="CV37" s="402">
        <f t="shared" si="12"/>
        <v>0</v>
      </c>
      <c r="CW37" s="402">
        <f t="shared" si="13"/>
        <v>-0.13015489087776477</v>
      </c>
      <c r="CX37" s="402">
        <f t="shared" si="14"/>
        <v>0</v>
      </c>
      <c r="CZ37" s="79">
        <f t="shared" si="7"/>
        <v>2046</v>
      </c>
      <c r="DA37" s="299">
        <f>scenarios!K42</f>
        <v>0.50002733201754435</v>
      </c>
      <c r="DB37" s="407">
        <f>scenarios!T42</f>
        <v>-0.14333974138562858</v>
      </c>
      <c r="DC37" s="211">
        <f>scenarios!AC42</f>
        <v>0.23630857731493041</v>
      </c>
      <c r="DD37" s="407">
        <f>scenarios!AL42</f>
        <v>-6.118594309228545E-2</v>
      </c>
      <c r="DE37" s="407">
        <f>scenarios!AU42</f>
        <v>0.34219407573994343</v>
      </c>
      <c r="DF37" s="407">
        <f>scenarios!BM42</f>
        <v>4.4883092513494233E-2</v>
      </c>
      <c r="DG37" s="626">
        <f>CA37/scenarios!$B42*1000000</f>
        <v>0.50244299132186943</v>
      </c>
      <c r="DH37" s="626">
        <f>CB37/scenarios!$B42*1000000</f>
        <v>0.45816099970096807</v>
      </c>
      <c r="DI37" s="626">
        <f>CC37/scenarios!$B42*1000000</f>
        <v>1.5896234827289089</v>
      </c>
      <c r="DJ37" s="626">
        <f>CD37/scenarios!$B42*1000000</f>
        <v>1.0077132975096905</v>
      </c>
      <c r="DL37" s="79">
        <f t="shared" si="20"/>
        <v>2038</v>
      </c>
      <c r="DM37" s="299">
        <f t="shared" si="21"/>
        <v>9.1042022209621649</v>
      </c>
      <c r="DN37" s="211">
        <f t="shared" si="22"/>
        <v>10.251034104939498</v>
      </c>
      <c r="DO37" s="211">
        <f t="shared" si="23"/>
        <v>9.6276419953230956</v>
      </c>
      <c r="DP37" s="211">
        <f t="shared" si="24"/>
        <v>9.3056474481057752</v>
      </c>
      <c r="DQ37" s="211">
        <f t="shared" si="25"/>
        <v>9.2310830379311444</v>
      </c>
      <c r="DR37" s="293">
        <f t="shared" si="26"/>
        <v>2.3222251737788593</v>
      </c>
      <c r="DS37" s="631">
        <f t="shared" si="28"/>
        <v>9.5414394196002377</v>
      </c>
      <c r="DT37" s="632">
        <f t="shared" si="32"/>
        <v>10.394954660000167</v>
      </c>
      <c r="DU37" s="632">
        <f t="shared" si="33"/>
        <v>25.362947850999717</v>
      </c>
      <c r="DV37" s="633">
        <f t="shared" si="34"/>
        <v>25.266000000000076</v>
      </c>
    </row>
    <row r="38" spans="1:126" x14ac:dyDescent="0.25">
      <c r="B38" s="890"/>
      <c r="C38" s="890"/>
      <c r="BT38" s="79">
        <f t="shared" si="15"/>
        <v>2047</v>
      </c>
      <c r="BU38" s="280">
        <f>scenarios!E43</f>
        <v>4.397350372787681</v>
      </c>
      <c r="BV38" s="280">
        <f>scenarios!M43</f>
        <v>-2.467361998494233</v>
      </c>
      <c r="BW38" s="280">
        <f>scenarios!V43</f>
        <v>1.6310193121411469</v>
      </c>
      <c r="BX38" s="399">
        <f>scenarios!AE43</f>
        <v>-1.5040103882526799</v>
      </c>
      <c r="BY38" s="399">
        <f>scenarios!AN43</f>
        <v>2.8308723206342146</v>
      </c>
      <c r="BZ38" s="399">
        <f>scenarios!BF43</f>
        <v>0.3444232447171347</v>
      </c>
      <c r="CA38" s="280">
        <f>'IPCC SR15 paths P1-P4'!C44</f>
        <v>4.2769501682000737</v>
      </c>
      <c r="CB38" s="399">
        <f>'IPCC SR15 paths P1-P4'!E44</f>
        <v>3.7250283900000341</v>
      </c>
      <c r="CC38" s="616">
        <f>'IPCC SR15 paths P1-P4'!G35</f>
        <v>13.945929225999862</v>
      </c>
      <c r="CD38" s="399">
        <f>'IPCC SR15 paths P1-P4'!I44</f>
        <v>7.519800000000032</v>
      </c>
      <c r="CF38" s="79">
        <f t="shared" si="16"/>
        <v>2047</v>
      </c>
      <c r="CG38" s="278">
        <f>IF($BU37&gt;'goal seek'!$F$31,$BU38/$BU37-1,#N/A)</f>
        <v>-7.767656910741183E-2</v>
      </c>
      <c r="CH38" s="278" t="e">
        <f>IF(BV37&gt;'goal seek'!$F$28,BV38/BV37-1,#N/A)</f>
        <v>#N/A</v>
      </c>
      <c r="CI38" s="278" t="e">
        <f>IF(BW37&gt;'goal seek'!$F$28,BW38/BW37-1,#N/A)</f>
        <v>#N/A</v>
      </c>
      <c r="CJ38" s="402" t="e">
        <f>IF(BX37&gt;'goal seek'!$F$28,BX38/BX37-1,#N/A)</f>
        <v>#N/A</v>
      </c>
      <c r="CK38" s="402">
        <f>IF(BY37&gt;'goal seek'!$F$28,BY38/BY37-1,#N/A)</f>
        <v>-0.1323716976658863</v>
      </c>
      <c r="CL38" s="402" t="e">
        <f>IF(BZ37&gt;'goal seek'!$F$28,BZ38/BZ37-1,#N/A)</f>
        <v>#N/A</v>
      </c>
      <c r="CM38" s="622">
        <f t="shared" si="17"/>
        <v>-0.10724290046806628</v>
      </c>
      <c r="CN38" s="402">
        <f t="shared" si="29"/>
        <v>-0.14729779861989201</v>
      </c>
      <c r="CO38" s="194">
        <f t="shared" si="30"/>
        <v>-7.989137450156325E-2</v>
      </c>
      <c r="CP38" s="402">
        <f t="shared" si="31"/>
        <v>-0.21737229923816936</v>
      </c>
      <c r="CR38" s="79">
        <f t="shared" si="18"/>
        <v>2047</v>
      </c>
      <c r="CS38" s="278">
        <f t="shared" si="9"/>
        <v>-7.767656910741183E-2</v>
      </c>
      <c r="CT38" s="278">
        <f t="shared" si="10"/>
        <v>0</v>
      </c>
      <c r="CU38" s="278">
        <f t="shared" si="11"/>
        <v>0</v>
      </c>
      <c r="CV38" s="402">
        <f t="shared" si="12"/>
        <v>0</v>
      </c>
      <c r="CW38" s="402">
        <f t="shared" si="13"/>
        <v>-0.1323716976658863</v>
      </c>
      <c r="CX38" s="402">
        <f t="shared" si="14"/>
        <v>0</v>
      </c>
      <c r="CZ38" s="79">
        <f t="shared" si="7"/>
        <v>2047</v>
      </c>
      <c r="DA38" s="299">
        <f>scenarios!K43</f>
        <v>0.45869242906004604</v>
      </c>
      <c r="DB38" s="407">
        <f>scenarios!T43</f>
        <v>-0.25737322990305517</v>
      </c>
      <c r="DC38" s="211">
        <f>scenarios!AC43</f>
        <v>0.17013340914556016</v>
      </c>
      <c r="DD38" s="407">
        <f>scenarios!AL43</f>
        <v>-0.15688496931888085</v>
      </c>
      <c r="DE38" s="407">
        <f>scenarios!AU43</f>
        <v>0.29529138936622396</v>
      </c>
      <c r="DF38" s="407">
        <f>scenarios!BM43</f>
        <v>3.5927165531704421E-2</v>
      </c>
      <c r="DG38" s="626">
        <f>CA38/scenarios!$B43*1000000</f>
        <v>0.44613335197504095</v>
      </c>
      <c r="DH38" s="626">
        <f>CB38/scenarios!$B43*1000000</f>
        <v>0.38856178736641389</v>
      </c>
      <c r="DI38" s="626">
        <f>CC38/scenarios!$B43*1000000</f>
        <v>1.4547151374972385</v>
      </c>
      <c r="DJ38" s="626">
        <f>CD38/scenarios!$B43*1000000</f>
        <v>0.78439856632554283</v>
      </c>
      <c r="DL38" s="79">
        <f t="shared" si="20"/>
        <v>2039</v>
      </c>
      <c r="DM38" s="299">
        <f t="shared" si="21"/>
        <v>8.3970190279777448</v>
      </c>
      <c r="DN38" s="211">
        <f t="shared" si="22"/>
        <v>8.091103852417362</v>
      </c>
      <c r="DO38" s="211">
        <f t="shared" si="23"/>
        <v>8.2890816083755485</v>
      </c>
      <c r="DP38" s="211">
        <f t="shared" si="24"/>
        <v>7.3719080701785655</v>
      </c>
      <c r="DQ38" s="211">
        <f t="shared" si="25"/>
        <v>8.1858268150268643</v>
      </c>
      <c r="DR38" s="293">
        <f t="shared" si="26"/>
        <v>1.8899401284246782</v>
      </c>
      <c r="DS38" s="631">
        <f t="shared" si="28"/>
        <v>8.707392640800208</v>
      </c>
      <c r="DT38" s="632">
        <f t="shared" si="32"/>
        <v>9.3121373300004961</v>
      </c>
      <c r="DU38" s="632">
        <f t="shared" si="33"/>
        <v>23.63312853</v>
      </c>
      <c r="DV38" s="633">
        <f t="shared" si="34"/>
        <v>23.702999999999975</v>
      </c>
    </row>
    <row r="39" spans="1:126" x14ac:dyDescent="0.25">
      <c r="B39" s="890"/>
      <c r="C39" s="890"/>
      <c r="BT39" s="79">
        <f t="shared" si="15"/>
        <v>2048</v>
      </c>
      <c r="BU39" s="280">
        <f>scenarios!E44</f>
        <v>4.0557792826663359</v>
      </c>
      <c r="BV39" s="280">
        <f>scenarios!M44</f>
        <v>-3.5680003717934339</v>
      </c>
      <c r="BW39" s="280">
        <f>scenarios!V44</f>
        <v>1.0088706449732183</v>
      </c>
      <c r="BX39" s="399">
        <f>scenarios!AE44</f>
        <v>-2.4246216916061485</v>
      </c>
      <c r="BY39" s="399">
        <f>scenarios!AN44</f>
        <v>2.3989738060864321</v>
      </c>
      <c r="BZ39" s="399">
        <f>scenarios!BF44</f>
        <v>0.27691860830715598</v>
      </c>
      <c r="CA39" s="280">
        <f>'IPCC SR15 paths P1-P4'!C45</f>
        <v>3.7631793548000587</v>
      </c>
      <c r="CB39" s="399">
        <f>'IPCC SR15 paths P1-P4'!E45</f>
        <v>3.0815581599999859</v>
      </c>
      <c r="CC39" s="616">
        <f>'IPCC SR15 paths P1-P4'!G36</f>
        <v>12.735029312999814</v>
      </c>
      <c r="CD39" s="399">
        <f>'IPCC SR15 paths P1-P4'!I45</f>
        <v>5.4311999999999898</v>
      </c>
      <c r="CF39" s="79">
        <f t="shared" si="16"/>
        <v>2048</v>
      </c>
      <c r="CG39" s="278">
        <f>IF($BU38&gt;'goal seek'!$F$31,$BU39/$BU38-1,#N/A)</f>
        <v>-7.7676569107411719E-2</v>
      </c>
      <c r="CH39" s="278" t="e">
        <f>IF(BV38&gt;'goal seek'!$F$28,BV39/BV38-1,#N/A)</f>
        <v>#N/A</v>
      </c>
      <c r="CI39" s="278" t="e">
        <f>IF(BW38&gt;'goal seek'!$F$28,BW39/BW38-1,#N/A)</f>
        <v>#N/A</v>
      </c>
      <c r="CJ39" s="402" t="e">
        <f>IF(BX38&gt;'goal seek'!$F$28,BX39/BX38-1,#N/A)</f>
        <v>#N/A</v>
      </c>
      <c r="CK39" s="402" t="e">
        <f>IF(BY38&gt;'goal seek'!$F$28,BY39/BY38-1,#N/A)</f>
        <v>#N/A</v>
      </c>
      <c r="CL39" s="402" t="e">
        <f>IF(BZ38&gt;'goal seek'!$F$28,BZ39/BZ38-1,#N/A)</f>
        <v>#N/A</v>
      </c>
      <c r="CM39" s="622">
        <f t="shared" si="17"/>
        <v>-0.12012550841017444</v>
      </c>
      <c r="CN39" s="402">
        <f t="shared" si="29"/>
        <v>-0.17274236935414122</v>
      </c>
      <c r="CO39" s="194">
        <f t="shared" si="30"/>
        <v>-8.6828198636095699E-2</v>
      </c>
      <c r="CP39" s="402">
        <f t="shared" si="31"/>
        <v>-0.27774674858374337</v>
      </c>
      <c r="CR39" s="79">
        <f t="shared" si="18"/>
        <v>2048</v>
      </c>
      <c r="CS39" s="278">
        <f t="shared" si="9"/>
        <v>-7.7676569107411719E-2</v>
      </c>
      <c r="CT39" s="278">
        <f t="shared" si="10"/>
        <v>0</v>
      </c>
      <c r="CU39" s="278">
        <f t="shared" si="11"/>
        <v>0</v>
      </c>
      <c r="CV39" s="402">
        <f t="shared" si="12"/>
        <v>0</v>
      </c>
      <c r="CW39" s="402">
        <f t="shared" si="13"/>
        <v>0</v>
      </c>
      <c r="CX39" s="402">
        <f t="shared" si="14"/>
        <v>0</v>
      </c>
      <c r="CZ39" s="79">
        <f t="shared" si="7"/>
        <v>2048</v>
      </c>
      <c r="DA39" s="299">
        <f>scenarios!K44</f>
        <v>0.4208393457450702</v>
      </c>
      <c r="DB39" s="407">
        <f>scenarios!T44</f>
        <v>-0.37022600034007996</v>
      </c>
      <c r="DC39" s="211">
        <f>scenarios!AC44</f>
        <v>0.10468332534427645</v>
      </c>
      <c r="DD39" s="407">
        <f>scenarios!AL44</f>
        <v>-0.25158573365561077</v>
      </c>
      <c r="DE39" s="407">
        <f>scenarios!AU44</f>
        <v>0.24892443514560755</v>
      </c>
      <c r="DF39" s="407">
        <f>scenarios!BM44</f>
        <v>2.873387278313743E-2</v>
      </c>
      <c r="DG39" s="626">
        <f>CA39/scenarios!$B44*1000000</f>
        <v>0.39047833405625215</v>
      </c>
      <c r="DH39" s="626">
        <f>CB39/scenarios!$B44*1000000</f>
        <v>0.31975135468348564</v>
      </c>
      <c r="DI39" s="626">
        <f>CC39/scenarios!$B44*1000000</f>
        <v>1.321423339537297</v>
      </c>
      <c r="DJ39" s="626">
        <f>CD39/scenarios!$B44*1000000</f>
        <v>0.56355696287002799</v>
      </c>
      <c r="DL39" s="79">
        <f t="shared" si="20"/>
        <v>2040</v>
      </c>
      <c r="DM39" s="299">
        <f t="shared" si="21"/>
        <v>7.744767399154779</v>
      </c>
      <c r="DN39" s="211">
        <f t="shared" si="22"/>
        <v>6.1385473174505822</v>
      </c>
      <c r="DO39" s="211">
        <f t="shared" si="23"/>
        <v>7.0829500351464167</v>
      </c>
      <c r="DP39" s="211">
        <f t="shared" si="24"/>
        <v>5.6872512398710828</v>
      </c>
      <c r="DQ39" s="211">
        <f t="shared" si="25"/>
        <v>7.2376988711080346</v>
      </c>
      <c r="DR39" s="293">
        <f t="shared" si="26"/>
        <v>1.5353572783066616</v>
      </c>
      <c r="DS39" s="631">
        <f t="shared" si="28"/>
        <v>7.8733458619999999</v>
      </c>
      <c r="DT39" s="632">
        <f t="shared" si="32"/>
        <v>8.2293199999999995</v>
      </c>
      <c r="DU39" s="632">
        <f t="shared" si="33"/>
        <v>22.422228616999746</v>
      </c>
      <c r="DV39" s="633">
        <f t="shared" si="34"/>
        <v>22.14</v>
      </c>
    </row>
    <row r="40" spans="1:126" x14ac:dyDescent="0.25">
      <c r="B40" s="890"/>
      <c r="C40" s="890"/>
      <c r="F40" s="77"/>
      <c r="G40" s="186"/>
      <c r="H40" s="186"/>
      <c r="I40" s="186"/>
      <c r="J40" s="186"/>
      <c r="K40" s="186"/>
      <c r="L40" s="186"/>
      <c r="M40" s="186"/>
      <c r="N40" s="186"/>
      <c r="O40" s="186"/>
      <c r="BT40" s="79">
        <f t="shared" si="15"/>
        <v>2049</v>
      </c>
      <c r="BU40" s="280">
        <f>scenarios!E45</f>
        <v>3.7407402629318951</v>
      </c>
      <c r="BV40" s="280">
        <f>scenarios!M45</f>
        <v>-4.3499999999999996</v>
      </c>
      <c r="BW40" s="280">
        <f>scenarios!V45</f>
        <v>0.38672197780528972</v>
      </c>
      <c r="BX40" s="399">
        <f>scenarios!AE45</f>
        <v>-3.3452329949596171</v>
      </c>
      <c r="BY40" s="399">
        <f>scenarios!AN45</f>
        <v>1.9670752915386496</v>
      </c>
      <c r="BZ40" s="399">
        <f>scenarios!BF45</f>
        <v>0.22243457015738544</v>
      </c>
      <c r="CA40" s="280">
        <f>'IPCC SR15 paths P1-P4'!C46</f>
        <v>3.2494085414000438</v>
      </c>
      <c r="CB40" s="399">
        <f>'IPCC SR15 paths P1-P4'!E46</f>
        <v>2.4380879299999378</v>
      </c>
      <c r="CC40" s="616">
        <f>'IPCC SR15 paths P1-P4'!G37</f>
        <v>11.5241294</v>
      </c>
      <c r="CD40" s="399">
        <f>'IPCC SR15 paths P1-P4'!I46</f>
        <v>3.3425999999999476</v>
      </c>
      <c r="CF40" s="79">
        <f t="shared" si="16"/>
        <v>2049</v>
      </c>
      <c r="CG40" s="278">
        <f>IF($BU39&gt;'goal seek'!$F$31,$BU40/$BU39-1,#N/A)</f>
        <v>-7.767656910741183E-2</v>
      </c>
      <c r="CH40" s="278" t="e">
        <f>IF(BV39&gt;'goal seek'!$F$28,BV40/BV39-1,#N/A)</f>
        <v>#N/A</v>
      </c>
      <c r="CI40" s="278" t="e">
        <f>IF(BW39&gt;'goal seek'!$F$28,BW40/BW39-1,#N/A)</f>
        <v>#N/A</v>
      </c>
      <c r="CJ40" s="402" t="e">
        <f>IF(BX39&gt;'goal seek'!$F$28,BX40/BX39-1,#N/A)</f>
        <v>#N/A</v>
      </c>
      <c r="CK40" s="402" t="e">
        <f>IF(BY39&gt;'goal seek'!$F$28,BY40/BY39-1,#N/A)</f>
        <v>#N/A</v>
      </c>
      <c r="CL40" s="402" t="e">
        <f>IF(BZ39&gt;'goal seek'!$F$28,BZ40/BZ39-1,#N/A)</f>
        <v>#N/A</v>
      </c>
      <c r="CM40" s="622">
        <f t="shared" si="17"/>
        <v>-0.13652573129279189</v>
      </c>
      <c r="CN40" s="402">
        <f t="shared" si="29"/>
        <v>-0.20881326802543654</v>
      </c>
      <c r="CO40" s="194">
        <f t="shared" si="30"/>
        <v>-9.5084187341739179E-2</v>
      </c>
      <c r="CP40" s="402">
        <f t="shared" si="31"/>
        <v>-0.3845558992487933</v>
      </c>
      <c r="CR40" s="79">
        <f t="shared" si="18"/>
        <v>2049</v>
      </c>
      <c r="CS40" s="278">
        <f t="shared" si="9"/>
        <v>-7.767656910741183E-2</v>
      </c>
      <c r="CT40" s="278">
        <f t="shared" si="10"/>
        <v>0</v>
      </c>
      <c r="CU40" s="278">
        <f t="shared" si="11"/>
        <v>0</v>
      </c>
      <c r="CV40" s="402">
        <f t="shared" si="12"/>
        <v>0</v>
      </c>
      <c r="CW40" s="402">
        <f t="shared" si="13"/>
        <v>0</v>
      </c>
      <c r="CX40" s="402">
        <f t="shared" si="14"/>
        <v>0</v>
      </c>
      <c r="CZ40" s="79">
        <f t="shared" si="7"/>
        <v>2049</v>
      </c>
      <c r="DA40" s="299">
        <f>scenarios!K45</f>
        <v>0.38616881994772534</v>
      </c>
      <c r="DB40" s="407">
        <f>scenarios!T45</f>
        <v>-0.44906469006110433</v>
      </c>
      <c r="DC40" s="211">
        <f>scenarios!AC45</f>
        <v>3.9922571288034413E-2</v>
      </c>
      <c r="DD40" s="407">
        <f>scenarios!AL45</f>
        <v>-0.34533931449740696</v>
      </c>
      <c r="DE40" s="407">
        <f>scenarios!AU45</f>
        <v>0.20306759910842759</v>
      </c>
      <c r="DF40" s="407">
        <f>scenarios!BM45</f>
        <v>2.2962646277379598E-2</v>
      </c>
      <c r="DG40" s="626">
        <f>CA40/scenarios!$B45*1000000</f>
        <v>0.33544704356913002</v>
      </c>
      <c r="DH40" s="626">
        <f>CB40/scenarios!$B45*1000000</f>
        <v>0.25169177025911299</v>
      </c>
      <c r="DI40" s="626">
        <f>CC40/scenarios!$B45*1000000</f>
        <v>1.1896734706287493</v>
      </c>
      <c r="DJ40" s="626">
        <f>CD40/scenarios!$B45*1000000</f>
        <v>0.34506750183867213</v>
      </c>
      <c r="DL40" s="79">
        <f t="shared" si="20"/>
        <v>2041</v>
      </c>
      <c r="DM40" s="299">
        <f t="shared" si="21"/>
        <v>7.143180439053503</v>
      </c>
      <c r="DN40" s="211">
        <f t="shared" si="22"/>
        <v>4.4419247372297175</v>
      </c>
      <c r="DO40" s="211">
        <f t="shared" si="23"/>
        <v>6.0064557196926422</v>
      </c>
      <c r="DP40" s="211">
        <f t="shared" si="24"/>
        <v>4.2636893325199043</v>
      </c>
      <c r="DQ40" s="211">
        <f t="shared" si="25"/>
        <v>6.381094154104435</v>
      </c>
      <c r="DR40" s="293">
        <f t="shared" si="26"/>
        <v>1.2452340190892004</v>
      </c>
      <c r="DS40" s="631">
        <f t="shared" si="28"/>
        <v>7.3595750486001634</v>
      </c>
      <c r="DT40" s="632">
        <f t="shared" si="32"/>
        <v>7.5858497700000953</v>
      </c>
      <c r="DU40" s="632">
        <f t="shared" si="33"/>
        <v>21.211328703999698</v>
      </c>
      <c r="DV40" s="633">
        <f t="shared" si="34"/>
        <v>20.051400000000285</v>
      </c>
    </row>
    <row r="41" spans="1:126" x14ac:dyDescent="0.25">
      <c r="A41" s="186"/>
      <c r="B41" s="890"/>
      <c r="C41" s="890"/>
      <c r="D41" s="186"/>
      <c r="E41" s="77"/>
      <c r="F41" s="77"/>
      <c r="P41" s="186"/>
      <c r="Q41" s="186"/>
      <c r="R41" s="186"/>
      <c r="S41" s="186"/>
      <c r="T41" s="186"/>
      <c r="BT41" s="185">
        <f t="shared" si="15"/>
        <v>2050</v>
      </c>
      <c r="BU41" s="315">
        <f>scenarios!E46</f>
        <v>3.4257012431974543</v>
      </c>
      <c r="BV41" s="315">
        <f>scenarios!M46</f>
        <v>-4.3499999999999996</v>
      </c>
      <c r="BW41" s="315">
        <f>scenarios!V46</f>
        <v>-0.23542668936263889</v>
      </c>
      <c r="BX41" s="400">
        <f>scenarios!AE46</f>
        <v>-4.2658442983130858</v>
      </c>
      <c r="BY41" s="399">
        <f>scenarios!AN46</f>
        <v>1.5351767769908671</v>
      </c>
      <c r="BZ41" s="400">
        <f>scenarios!BF46</f>
        <v>0.17851180150263735</v>
      </c>
      <c r="CA41" s="315">
        <f>'IPCC SR15 paths P1-P4'!C47</f>
        <v>2.7356377279999999</v>
      </c>
      <c r="CB41" s="399">
        <f>'IPCC SR15 paths P1-P4'!E47</f>
        <v>1.7946177000000001</v>
      </c>
      <c r="CC41" s="616">
        <f>'IPCC SR15 paths P1-P4'!G38</f>
        <v>10.749608661799812</v>
      </c>
      <c r="CD41" s="399">
        <f>'IPCC SR15 paths P1-P4'!I47</f>
        <v>1.254</v>
      </c>
      <c r="CE41" s="121"/>
      <c r="CF41" s="185">
        <f t="shared" si="16"/>
        <v>2050</v>
      </c>
      <c r="CG41" s="278" t="e">
        <f>IF($BU40&gt;'goal seek'!$F$31,$BU41/$BU40-1,#N/A)</f>
        <v>#N/A</v>
      </c>
      <c r="CH41" s="316" t="e">
        <f>IF(BV40&gt;'goal seek'!$F$28,BV41/BV40-1,#N/A)</f>
        <v>#N/A</v>
      </c>
      <c r="CI41" s="316" t="e">
        <f>IF(BW40&gt;'goal seek'!$F$28,BW41/BW40-1,#N/A)</f>
        <v>#N/A</v>
      </c>
      <c r="CJ41" s="403" t="e">
        <f>IF(BX40&gt;'goal seek'!$F$28,BX41/BX40-1,#N/A)</f>
        <v>#N/A</v>
      </c>
      <c r="CK41" s="403" t="e">
        <f>IF(BY40&gt;'goal seek'!$F$28,BY41/BY40-1,#N/A)</f>
        <v>#N/A</v>
      </c>
      <c r="CL41" s="403" t="e">
        <f>IF(BZ40&gt;'goal seek'!$F$28,BZ41/BZ40-1,#N/A)</f>
        <v>#N/A</v>
      </c>
      <c r="CM41" s="622">
        <f t="shared" si="17"/>
        <v>-0.1581121015883955</v>
      </c>
      <c r="CN41" s="402">
        <f t="shared" si="29"/>
        <v>-0.26392412762568174</v>
      </c>
      <c r="CO41" s="194">
        <f t="shared" si="30"/>
        <v>-6.7208611715188438E-2</v>
      </c>
      <c r="CP41" s="402">
        <f t="shared" si="31"/>
        <v>-0.62484293663614565</v>
      </c>
      <c r="CQ41" s="121"/>
      <c r="CR41" s="185">
        <f t="shared" si="18"/>
        <v>2050</v>
      </c>
      <c r="CS41" s="278">
        <f t="shared" si="9"/>
        <v>0</v>
      </c>
      <c r="CT41" s="278">
        <f t="shared" si="10"/>
        <v>0</v>
      </c>
      <c r="CU41" s="278">
        <f t="shared" si="11"/>
        <v>0</v>
      </c>
      <c r="CV41" s="402">
        <f t="shared" si="12"/>
        <v>0</v>
      </c>
      <c r="CW41" s="402">
        <f t="shared" si="13"/>
        <v>0</v>
      </c>
      <c r="CX41" s="402">
        <f t="shared" si="14"/>
        <v>0</v>
      </c>
      <c r="CZ41" s="185">
        <f t="shared" si="7"/>
        <v>2050</v>
      </c>
      <c r="DA41" s="317">
        <f>scenarios!K46</f>
        <v>0.35189412247727075</v>
      </c>
      <c r="DB41" s="408">
        <f>scenarios!T46</f>
        <v>-0.44683973414662931</v>
      </c>
      <c r="DC41" s="318">
        <f>scenarios!AC46</f>
        <v>-2.4183448111683367E-2</v>
      </c>
      <c r="DD41" s="408">
        <f>scenarios!AL46</f>
        <v>-0.43819511084347901</v>
      </c>
      <c r="DE41" s="407">
        <f>scenarios!AU46</f>
        <v>0.15769608802268464</v>
      </c>
      <c r="DF41" s="407">
        <f>scenarios!BM46</f>
        <v>1.8337049638040077E-2</v>
      </c>
      <c r="DG41" s="626">
        <f>CA41/scenarios!$B46*1000000</f>
        <v>0.28100957128758824</v>
      </c>
      <c r="DH41" s="626">
        <f>CB41/scenarios!$B46*1000000</f>
        <v>0.18434632091099665</v>
      </c>
      <c r="DI41" s="626">
        <f>CC41/scenarios!$B46*1000000</f>
        <v>1.1042189141652716</v>
      </c>
      <c r="DJ41" s="626">
        <f>CD41/scenarios!$B46*1000000</f>
        <v>0.12881310956778694</v>
      </c>
      <c r="DL41" s="79">
        <f t="shared" si="20"/>
        <v>2042</v>
      </c>
      <c r="DM41" s="299">
        <f t="shared" si="21"/>
        <v>6.5883226900326513</v>
      </c>
      <c r="DN41" s="211">
        <f t="shared" si="22"/>
        <v>3.0358298680017715</v>
      </c>
      <c r="DO41" s="211">
        <f t="shared" si="23"/>
        <v>5.0546768561808477</v>
      </c>
      <c r="DP41" s="211">
        <f t="shared" si="24"/>
        <v>3.0990461285146633</v>
      </c>
      <c r="DQ41" s="211">
        <f t="shared" si="25"/>
        <v>5.6101311167465262</v>
      </c>
      <c r="DR41" s="293">
        <f t="shared" si="26"/>
        <v>1.0083884535049643</v>
      </c>
      <c r="DS41" s="631">
        <f t="shared" si="28"/>
        <v>6.8458042352001485</v>
      </c>
      <c r="DT41" s="632">
        <f t="shared" si="32"/>
        <v>6.9423795400000472</v>
      </c>
      <c r="DU41" s="632">
        <f t="shared" si="33"/>
        <v>20.000428790999649</v>
      </c>
      <c r="DV41" s="633">
        <f t="shared" si="34"/>
        <v>17.962800000000243</v>
      </c>
    </row>
    <row r="42" spans="1:126" x14ac:dyDescent="0.25">
      <c r="B42" s="890"/>
      <c r="C42" s="890"/>
      <c r="E42" s="77"/>
      <c r="F42" s="55"/>
      <c r="BT42" s="79">
        <f t="shared" si="15"/>
        <v>2051</v>
      </c>
      <c r="BU42" s="280">
        <f>scenarios!E47</f>
        <v>3.1106622234630135</v>
      </c>
      <c r="BV42" s="280">
        <f>scenarios!M47</f>
        <v>-4.3499999999999996</v>
      </c>
      <c r="BW42" s="280">
        <f>scenarios!V47</f>
        <v>-0.85757535653056749</v>
      </c>
      <c r="BX42" s="399">
        <f>scenarios!AE47</f>
        <v>-4.3499999999999996</v>
      </c>
      <c r="BY42" s="399">
        <f>scenarios!AN47</f>
        <v>1.1032782624430846</v>
      </c>
      <c r="BZ42" s="399">
        <f>scenarios!BF47</f>
        <v>0.14314232650366598</v>
      </c>
      <c r="CA42" s="280">
        <f>'IPCC SR15 paths P1-P4'!C48</f>
        <v>2.4552979802440404</v>
      </c>
      <c r="CB42" s="399">
        <f>'IPCC SR15 paths P1-P4'!E48</f>
        <v>1.3970390099999577</v>
      </c>
      <c r="CC42" s="616">
        <f>'IPCC SR15 paths P1-P4'!G39</f>
        <v>9.9750879235998582</v>
      </c>
      <c r="CD42" s="399">
        <f>'IPCC SR15 paths P1-P4'!I48</f>
        <v>-0.15540000000009968</v>
      </c>
      <c r="CF42" s="79">
        <f t="shared" si="16"/>
        <v>2051</v>
      </c>
      <c r="CG42" s="278" t="e">
        <f>IF($BU41&gt;'goal seek'!$F$31,$BU42/$BU41-1,#N/A)</f>
        <v>#N/A</v>
      </c>
      <c r="CH42" s="278" t="e">
        <f>IF(BV41&gt;'goal seek'!$F$28,BV42/BV41-1,#N/A)</f>
        <v>#N/A</v>
      </c>
      <c r="CI42" s="278" t="e">
        <f>IF(BW41&gt;'goal seek'!$F$28,BW42/BW41-1,#N/A)</f>
        <v>#N/A</v>
      </c>
      <c r="CJ42" s="402" t="e">
        <f>IF(BX41&gt;'goal seek'!$F$28,BX42/BX41-1,#N/A)</f>
        <v>#N/A</v>
      </c>
      <c r="CK42" s="402" t="e">
        <f>IF(BY41&gt;'goal seek'!$F$28,BY42/BY41-1,#N/A)</f>
        <v>#N/A</v>
      </c>
      <c r="CL42" s="402" t="e">
        <f>IF(BZ41&gt;'goal seek'!$F$28,BZ42/BZ41-1,#N/A)</f>
        <v>#N/A</v>
      </c>
      <c r="CM42" s="622">
        <f t="shared" si="17"/>
        <v>-0.1024769270019219</v>
      </c>
      <c r="CN42" s="402">
        <f t="shared" si="29"/>
        <v>-0.22153948999836703</v>
      </c>
      <c r="CO42" s="194">
        <f t="shared" si="30"/>
        <v>-7.2051063677538107E-2</v>
      </c>
      <c r="CP42" s="402">
        <f t="shared" si="31"/>
        <v>-1.1239234449761559</v>
      </c>
      <c r="CR42" s="79">
        <f t="shared" si="18"/>
        <v>2051</v>
      </c>
      <c r="CS42" s="278">
        <f t="shared" si="9"/>
        <v>0</v>
      </c>
      <c r="CT42" s="278">
        <f t="shared" si="10"/>
        <v>0</v>
      </c>
      <c r="CU42" s="278">
        <f t="shared" si="11"/>
        <v>0</v>
      </c>
      <c r="CV42" s="402">
        <f t="shared" si="12"/>
        <v>0</v>
      </c>
      <c r="CW42" s="402">
        <f t="shared" si="13"/>
        <v>0</v>
      </c>
      <c r="CX42" s="402">
        <f t="shared" si="14"/>
        <v>0</v>
      </c>
      <c r="CZ42" s="79">
        <f t="shared" ref="CZ42:CZ73" si="35">BT42</f>
        <v>2051</v>
      </c>
      <c r="DA42" s="299">
        <f>scenarios!K47</f>
        <v>0.31799659072325265</v>
      </c>
      <c r="DB42" s="407">
        <f>scenarios!T47</f>
        <v>-0.44469153841659359</v>
      </c>
      <c r="DC42" s="211">
        <f>scenarios!AC47</f>
        <v>-8.7668161977870529E-2</v>
      </c>
      <c r="DD42" s="407">
        <f>scenarios!AL47</f>
        <v>-0.44469153841659359</v>
      </c>
      <c r="DE42" s="407">
        <f>scenarios!AU47</f>
        <v>0.11278586386836817</v>
      </c>
      <c r="DF42" s="407">
        <f>scenarios!BM47</f>
        <v>1.4633145146079439E-2</v>
      </c>
      <c r="DG42" s="626">
        <f>CA42/scenarios!$B47*1000000</f>
        <v>0.25100005427721317</v>
      </c>
      <c r="DH42" s="626">
        <f>CB42/scenarios!$B47*1000000</f>
        <v>0.1428164199045692</v>
      </c>
      <c r="DI42" s="626">
        <f>CC42/scenarios!$B47*1000000</f>
        <v>1.0197326884106677</v>
      </c>
      <c r="DJ42" s="626">
        <f>CD42/scenarios!$B47*1000000</f>
        <v>-1.5886221855168497E-2</v>
      </c>
      <c r="DL42" s="79">
        <f t="shared" si="20"/>
        <v>2043</v>
      </c>
      <c r="DM42" s="299">
        <f t="shared" si="21"/>
        <v>6.0765643872984008</v>
      </c>
      <c r="DN42" s="211">
        <f t="shared" si="22"/>
        <v>1.9351914947025706</v>
      </c>
      <c r="DO42" s="211">
        <f t="shared" si="23"/>
        <v>4.2209850471246346</v>
      </c>
      <c r="DP42" s="211">
        <f t="shared" si="24"/>
        <v>2.1784348251611947</v>
      </c>
      <c r="DQ42" s="211">
        <f t="shared" si="25"/>
        <v>4.9187955096093399</v>
      </c>
      <c r="DR42" s="293">
        <f t="shared" si="26"/>
        <v>0.81543478321211005</v>
      </c>
      <c r="DS42" s="631">
        <f t="shared" si="28"/>
        <v>6.3320334218001335</v>
      </c>
      <c r="DT42" s="632">
        <f t="shared" si="32"/>
        <v>6.2989093099999991</v>
      </c>
      <c r="DU42" s="632">
        <f t="shared" si="33"/>
        <v>18.789528878000056</v>
      </c>
      <c r="DV42" s="633">
        <f t="shared" si="34"/>
        <v>15.874200000000201</v>
      </c>
    </row>
    <row r="43" spans="1:126" x14ac:dyDescent="0.25">
      <c r="B43" s="890"/>
      <c r="C43" s="890"/>
      <c r="E43" s="55"/>
      <c r="F43" s="55"/>
      <c r="BT43" s="79">
        <f t="shared" si="15"/>
        <v>2052</v>
      </c>
      <c r="BU43" s="280">
        <f>scenarios!E48</f>
        <v>2.7956232037285726</v>
      </c>
      <c r="BV43" s="280">
        <f>scenarios!M48</f>
        <v>-4.3499999999999996</v>
      </c>
      <c r="BW43" s="280">
        <f>scenarios!V48</f>
        <v>-1.4797240236984961</v>
      </c>
      <c r="BX43" s="399">
        <f>scenarios!AE48</f>
        <v>-4.3499999999999996</v>
      </c>
      <c r="BY43" s="399">
        <f>scenarios!AN48</f>
        <v>0.67137974789530208</v>
      </c>
      <c r="BZ43" s="399">
        <f>scenarios!BF48</f>
        <v>0.11469008108803347</v>
      </c>
      <c r="CA43" s="280">
        <f>'IPCC SR15 paths P1-P4'!C49</f>
        <v>2.1749582324880521</v>
      </c>
      <c r="CB43" s="399">
        <f>'IPCC SR15 paths P1-P4'!E49</f>
        <v>0.9994603200000256</v>
      </c>
      <c r="CC43" s="616">
        <f>'IPCC SR15 paths P1-P4'!G40</f>
        <v>9.2005671853999047</v>
      </c>
      <c r="CD43" s="399">
        <f>'IPCC SR15 paths P1-P4'!I49</f>
        <v>-1.5648000000001048</v>
      </c>
      <c r="CF43" s="79">
        <f t="shared" si="16"/>
        <v>2052</v>
      </c>
      <c r="CG43" s="278" t="e">
        <f>IF($BU42&gt;'goal seek'!$F$31,$BU43/$BU42-1,#N/A)</f>
        <v>#N/A</v>
      </c>
      <c r="CH43" s="278" t="e">
        <f>IF(BV42&gt;'goal seek'!$F$28,BV43/BV42-1,#N/A)</f>
        <v>#N/A</v>
      </c>
      <c r="CI43" s="278" t="e">
        <f>IF(BW42&gt;'goal seek'!$F$28,BW43/BW42-1,#N/A)</f>
        <v>#N/A</v>
      </c>
      <c r="CJ43" s="402" t="e">
        <f>IF(BX42&gt;'goal seek'!$F$28,BX43/BX42-1,#N/A)</f>
        <v>#N/A</v>
      </c>
      <c r="CK43" s="402" t="e">
        <f>IF(BY42&gt;'goal seek'!$F$28,BY43/BY42-1,#N/A)</f>
        <v>#N/A</v>
      </c>
      <c r="CL43" s="402" t="e">
        <f>IF(BZ42&gt;'goal seek'!$F$28,BZ43/BZ42-1,#N/A)</f>
        <v>#N/A</v>
      </c>
      <c r="CM43" s="622">
        <f t="shared" si="17"/>
        <v>-0.11417748477442413</v>
      </c>
      <c r="CN43" s="402">
        <f t="shared" si="29"/>
        <v>-0.28458667736124565</v>
      </c>
      <c r="CO43" s="194">
        <f t="shared" si="30"/>
        <v>-7.7645504895002548E-2</v>
      </c>
      <c r="CP43" s="402" t="e">
        <f t="shared" si="31"/>
        <v>#N/A</v>
      </c>
      <c r="CR43" s="79">
        <f t="shared" si="18"/>
        <v>2052</v>
      </c>
      <c r="CS43" s="278">
        <f t="shared" ref="CS43:CS74" si="36">IF(ISNA(CG43),0,CG43)</f>
        <v>0</v>
      </c>
      <c r="CT43" s="278">
        <f t="shared" ref="CT43:CT74" si="37">IF(ISNA(CH43),0,CH43)</f>
        <v>0</v>
      </c>
      <c r="CU43" s="278">
        <f t="shared" ref="CU43:CU74" si="38">IF(ISNA(CI43),0,CI43)</f>
        <v>0</v>
      </c>
      <c r="CV43" s="402">
        <f t="shared" ref="CV43:CV74" si="39">IF(ISNA(CJ43),0,CJ43)</f>
        <v>0</v>
      </c>
      <c r="CW43" s="402">
        <f t="shared" ref="CW43:CW74" si="40">IF(ISNA(CK43),0,CK43)</f>
        <v>0</v>
      </c>
      <c r="CX43" s="402">
        <f t="shared" ref="CX43:CX74" si="41">IF(ISNA(CL43),0,CL43)</f>
        <v>0</v>
      </c>
      <c r="CZ43" s="79">
        <f t="shared" si="35"/>
        <v>2052</v>
      </c>
      <c r="DA43" s="299">
        <f>scenarios!K48</f>
        <v>0.28445828437487358</v>
      </c>
      <c r="DB43" s="407">
        <f>scenarios!T48</f>
        <v>-0.44261813801672784</v>
      </c>
      <c r="DC43" s="211">
        <f>scenarios!AC48</f>
        <v>-0.15056383727541353</v>
      </c>
      <c r="DD43" s="407">
        <f>scenarios!AL48</f>
        <v>-0.44261813801672784</v>
      </c>
      <c r="DE43" s="407">
        <f>scenarios!AU48</f>
        <v>6.8313759520818113E-2</v>
      </c>
      <c r="DF43" s="407">
        <f>scenarios!BM48</f>
        <v>1.166986440003975E-2</v>
      </c>
      <c r="DG43" s="626">
        <f>CA43/scenarios!$B48*1000000</f>
        <v>0.22130481910988853</v>
      </c>
      <c r="DH43" s="626">
        <f>CB43/scenarios!$B48*1000000</f>
        <v>0.10169638295632513</v>
      </c>
      <c r="DI43" s="626">
        <f>CC43/scenarios!$B48*1000000</f>
        <v>0.93616963593092239</v>
      </c>
      <c r="DJ43" s="626">
        <f>CD43/scenarios!$B48*1000000</f>
        <v>-0.15922042813071774</v>
      </c>
      <c r="DL43" s="79">
        <f t="shared" si="20"/>
        <v>2044</v>
      </c>
      <c r="DM43" s="299">
        <f t="shared" si="21"/>
        <v>5.6045577137327793</v>
      </c>
      <c r="DN43" s="211">
        <f t="shared" si="22"/>
        <v>0.83455312140336968</v>
      </c>
      <c r="DO43" s="211">
        <f t="shared" si="23"/>
        <v>3.4974653136449327</v>
      </c>
      <c r="DP43" s="211">
        <f t="shared" si="24"/>
        <v>1.2578235218077261</v>
      </c>
      <c r="DQ43" s="211">
        <f t="shared" si="25"/>
        <v>4.3010595743813465</v>
      </c>
      <c r="DR43" s="293">
        <f t="shared" si="26"/>
        <v>0.65853513342908965</v>
      </c>
      <c r="DS43" s="631">
        <f t="shared" si="28"/>
        <v>5.8182626084001186</v>
      </c>
      <c r="DT43" s="632">
        <f t="shared" si="32"/>
        <v>5.655439079999951</v>
      </c>
      <c r="DU43" s="632">
        <f t="shared" si="33"/>
        <v>17.578628965000007</v>
      </c>
      <c r="DV43" s="633">
        <f t="shared" si="34"/>
        <v>13.785600000000159</v>
      </c>
    </row>
    <row r="44" spans="1:126" x14ac:dyDescent="0.25">
      <c r="E44" s="55"/>
      <c r="F44" s="209"/>
      <c r="G44" s="192"/>
      <c r="H44" s="192"/>
      <c r="I44" s="192"/>
      <c r="J44" s="192"/>
      <c r="K44" s="192"/>
      <c r="L44" s="192"/>
      <c r="M44" s="192"/>
      <c r="N44" s="192"/>
      <c r="O44" s="192"/>
      <c r="BT44" s="79">
        <f t="shared" si="15"/>
        <v>2053</v>
      </c>
      <c r="BU44" s="280">
        <f>scenarios!E49</f>
        <v>2.4805841839941318</v>
      </c>
      <c r="BV44" s="280">
        <f>scenarios!M49</f>
        <v>-4.3499999999999996</v>
      </c>
      <c r="BW44" s="280">
        <f>scenarios!V49</f>
        <v>-2.1018726908664247</v>
      </c>
      <c r="BX44" s="399">
        <f>scenarios!AE49</f>
        <v>-4.3499999999999996</v>
      </c>
      <c r="BY44" s="399">
        <f>scenarios!AN49</f>
        <v>0.23948123334751958</v>
      </c>
      <c r="BZ44" s="399">
        <f>scenarios!BF49</f>
        <v>9.1824553318918978E-2</v>
      </c>
      <c r="CA44" s="280">
        <f>'IPCC SR15 paths P1-P4'!C50</f>
        <v>1.89461848473195</v>
      </c>
      <c r="CB44" s="399">
        <f>'IPCC SR15 paths P1-P4'!E50</f>
        <v>0.60188162999997985</v>
      </c>
      <c r="CC44" s="616">
        <f>'IPCC SR15 paths P1-P4'!G41</f>
        <v>8.4260464471999512</v>
      </c>
      <c r="CD44" s="399">
        <f>'IPCC SR15 paths P1-P4'!I50</f>
        <v>-2.9742000000001099</v>
      </c>
      <c r="CF44" s="79">
        <f t="shared" si="16"/>
        <v>2053</v>
      </c>
      <c r="CG44" s="278" t="e">
        <f>IF($BU43&gt;'goal seek'!$F$31,$BU44/$BU43-1,#N/A)</f>
        <v>#N/A</v>
      </c>
      <c r="CH44" s="278" t="e">
        <f>IF(BV43&gt;'goal seek'!$F$28,BV44/BV43-1,#N/A)</f>
        <v>#N/A</v>
      </c>
      <c r="CI44" s="278" t="e">
        <f>IF(BW43&gt;'goal seek'!$F$28,BW44/BW43-1,#N/A)</f>
        <v>#N/A</v>
      </c>
      <c r="CJ44" s="402" t="e">
        <f>IF(BX43&gt;'goal seek'!$F$28,BX44/BX43-1,#N/A)</f>
        <v>#N/A</v>
      </c>
      <c r="CK44" s="402" t="e">
        <f>IF(BY43&gt;'goal seek'!$F$28,BY44/BY43-1,#N/A)</f>
        <v>#N/A</v>
      </c>
      <c r="CL44" s="402" t="e">
        <f>IF(BZ43&gt;'goal seek'!$F$28,BZ44/BZ43-1,#N/A)</f>
        <v>#N/A</v>
      </c>
      <c r="CM44" s="622">
        <f t="shared" si="17"/>
        <v>-0.12889431326476841</v>
      </c>
      <c r="CN44" s="402">
        <f t="shared" si="29"/>
        <v>-0.3977933711265651</v>
      </c>
      <c r="CO44" s="194">
        <f t="shared" si="30"/>
        <v>-8.4181846900592827E-2</v>
      </c>
      <c r="CP44" s="402" t="e">
        <f t="shared" si="31"/>
        <v>#N/A</v>
      </c>
      <c r="CR44" s="79">
        <f t="shared" si="18"/>
        <v>2053</v>
      </c>
      <c r="CS44" s="278">
        <f t="shared" si="36"/>
        <v>0</v>
      </c>
      <c r="CT44" s="278">
        <f t="shared" si="37"/>
        <v>0</v>
      </c>
      <c r="CU44" s="278">
        <f t="shared" si="38"/>
        <v>0</v>
      </c>
      <c r="CV44" s="402">
        <f t="shared" si="39"/>
        <v>0</v>
      </c>
      <c r="CW44" s="402">
        <f t="shared" si="40"/>
        <v>0</v>
      </c>
      <c r="CX44" s="402">
        <f t="shared" si="41"/>
        <v>0</v>
      </c>
      <c r="CZ44" s="79">
        <f t="shared" si="35"/>
        <v>2053</v>
      </c>
      <c r="DA44" s="299">
        <f>scenarios!K49</f>
        <v>0.25126201499526007</v>
      </c>
      <c r="DB44" s="407">
        <f>scenarios!T49</f>
        <v>-0.4406178884320287</v>
      </c>
      <c r="DC44" s="211">
        <f>scenarios!AC49</f>
        <v>-0.212901771678738</v>
      </c>
      <c r="DD44" s="407">
        <f>scenarios!AL49</f>
        <v>-0.4406178884320287</v>
      </c>
      <c r="DE44" s="407">
        <f>scenarios!AU49</f>
        <v>2.4257405829122305E-2</v>
      </c>
      <c r="DF44" s="407">
        <f>scenarios!BM49</f>
        <v>9.3010438596773139E-3</v>
      </c>
      <c r="DG44" s="626">
        <f>CA44/scenarios!$B49*1000000</f>
        <v>0.19190868876480038</v>
      </c>
      <c r="DH44" s="626">
        <f>CB44/scenarios!$B49*1000000</f>
        <v>6.0965474229107752E-2</v>
      </c>
      <c r="DI44" s="626">
        <f>CC44/scenarios!$B49*1000000</f>
        <v>0.85348661917136559</v>
      </c>
      <c r="DJ44" s="626">
        <f>CD44/scenarios!$B49*1000000</f>
        <v>-0.30126108592519268</v>
      </c>
      <c r="DL44" s="79">
        <f t="shared" si="20"/>
        <v>2045</v>
      </c>
      <c r="DM44" s="299">
        <f t="shared" si="21"/>
        <v>5.1692148991655369</v>
      </c>
      <c r="DN44" s="211">
        <f t="shared" si="22"/>
        <v>-0.26608525189583121</v>
      </c>
      <c r="DO44" s="211">
        <f t="shared" si="23"/>
        <v>2.8753166464770041</v>
      </c>
      <c r="DP44" s="211">
        <f t="shared" si="24"/>
        <v>0.33721221845425742</v>
      </c>
      <c r="DQ44" s="211">
        <f t="shared" si="25"/>
        <v>3.7509791122174319</v>
      </c>
      <c r="DR44" s="293">
        <f t="shared" si="26"/>
        <v>0.53117344366821539</v>
      </c>
      <c r="DS44" s="631">
        <f t="shared" si="28"/>
        <v>5.3044917950001036</v>
      </c>
      <c r="DT44" s="632">
        <f t="shared" si="32"/>
        <v>5.0119688499999029</v>
      </c>
      <c r="DU44" s="632">
        <f t="shared" si="33"/>
        <v>16.367729051999959</v>
      </c>
      <c r="DV44" s="633">
        <f t="shared" si="34"/>
        <v>11.697000000000116</v>
      </c>
    </row>
    <row r="45" spans="1:126" x14ac:dyDescent="0.25">
      <c r="A45" s="149"/>
      <c r="B45" s="139"/>
      <c r="C45" s="192"/>
      <c r="D45" s="192"/>
      <c r="E45" s="209"/>
      <c r="F45" s="147"/>
      <c r="G45" s="147"/>
      <c r="H45" s="147"/>
      <c r="I45" s="147"/>
      <c r="J45" s="147"/>
      <c r="K45" s="147"/>
      <c r="L45" s="147"/>
      <c r="M45" s="147"/>
      <c r="N45" s="147"/>
      <c r="O45" s="147"/>
      <c r="P45" s="192"/>
      <c r="Q45" s="192"/>
      <c r="R45" s="192"/>
      <c r="S45" s="192"/>
      <c r="BT45" s="79">
        <f t="shared" si="15"/>
        <v>2054</v>
      </c>
      <c r="BU45" s="280">
        <f>scenarios!E50</f>
        <v>2.165545164259691</v>
      </c>
      <c r="BV45" s="280">
        <f>scenarios!M50</f>
        <v>-4.3499999999999996</v>
      </c>
      <c r="BW45" s="280">
        <f>scenarios!V50</f>
        <v>-2.7240213580343533</v>
      </c>
      <c r="BX45" s="399">
        <f>scenarios!AE50</f>
        <v>-4.3499999999999996</v>
      </c>
      <c r="BY45" s="399">
        <f>scenarios!AN50</f>
        <v>-0.19241728120026291</v>
      </c>
      <c r="BZ45" s="399">
        <f>scenarios!BF50</f>
        <v>7.3465600361367511E-2</v>
      </c>
      <c r="CA45" s="280">
        <f>'IPCC SR15 paths P1-P4'!C51</f>
        <v>1.6142787369759617</v>
      </c>
      <c r="CB45" s="399">
        <f>'IPCC SR15 paths P1-P4'!E51</f>
        <v>0.2043029399999341</v>
      </c>
      <c r="CC45" s="616">
        <f>'IPCC SR15 paths P1-P4'!G42</f>
        <v>7.6515257089999977</v>
      </c>
      <c r="CD45" s="399">
        <f>'IPCC SR15 paths P1-P4'!I51</f>
        <v>-4.383600000000115</v>
      </c>
      <c r="CF45" s="79">
        <f t="shared" si="16"/>
        <v>2054</v>
      </c>
      <c r="CG45" s="278" t="e">
        <f>IF($BU44&gt;'goal seek'!$F$31,$BU45/$BU44-1,#N/A)</f>
        <v>#N/A</v>
      </c>
      <c r="CH45" s="278" t="e">
        <f>IF(BV44&gt;'goal seek'!$F$28,BV45/BV44-1,#N/A)</f>
        <v>#N/A</v>
      </c>
      <c r="CI45" s="278" t="e">
        <f>IF(BW44&gt;'goal seek'!$F$28,BW45/BW44-1,#N/A)</f>
        <v>#N/A</v>
      </c>
      <c r="CJ45" s="402" t="e">
        <f>IF(BX44&gt;'goal seek'!$F$28,BX45/BX44-1,#N/A)</f>
        <v>#N/A</v>
      </c>
      <c r="CK45" s="402" t="e">
        <f>IF(BY44&gt;'goal seek'!$F$28,BY45/BY44-1,#N/A)</f>
        <v>#N/A</v>
      </c>
      <c r="CL45" s="402" t="e">
        <f>IF(BZ44&gt;'goal seek'!$F$28,BZ45/BZ44-1,#N/A)</f>
        <v>#N/A</v>
      </c>
      <c r="CM45" s="622">
        <f t="shared" si="17"/>
        <v>-0.14796633201625853</v>
      </c>
      <c r="CN45" s="402">
        <f t="shared" si="29"/>
        <v>-0.66055960206005793</v>
      </c>
      <c r="CO45" s="194">
        <f t="shared" si="30"/>
        <v>-9.191982776896912E-2</v>
      </c>
      <c r="CP45" s="402" t="e">
        <f t="shared" si="31"/>
        <v>#N/A</v>
      </c>
      <c r="CR45" s="79">
        <f t="shared" si="18"/>
        <v>2054</v>
      </c>
      <c r="CS45" s="278">
        <f t="shared" si="36"/>
        <v>0</v>
      </c>
      <c r="CT45" s="278">
        <f t="shared" si="37"/>
        <v>0</v>
      </c>
      <c r="CU45" s="278">
        <f t="shared" si="38"/>
        <v>0</v>
      </c>
      <c r="CV45" s="402">
        <f t="shared" si="39"/>
        <v>0</v>
      </c>
      <c r="CW45" s="402">
        <f t="shared" si="40"/>
        <v>0</v>
      </c>
      <c r="CX45" s="402">
        <f t="shared" si="41"/>
        <v>0</v>
      </c>
      <c r="CZ45" s="79">
        <f t="shared" si="35"/>
        <v>2054</v>
      </c>
      <c r="DA45" s="299">
        <f>scenarios!K50</f>
        <v>0.21839113745279276</v>
      </c>
      <c r="DB45" s="407">
        <f>scenarios!T50</f>
        <v>-0.4386892795396462</v>
      </c>
      <c r="DC45" s="211">
        <f>scenarios!AC50</f>
        <v>-0.27471240620843657</v>
      </c>
      <c r="DD45" s="407">
        <f>scenarios!AL50</f>
        <v>-0.4386892795396462</v>
      </c>
      <c r="DE45" s="407">
        <f>scenarios!AU50</f>
        <v>-1.9404919186372608E-2</v>
      </c>
      <c r="DF45" s="407">
        <f>scenarios!BM50</f>
        <v>7.4088669640174449E-3</v>
      </c>
      <c r="DG45" s="626">
        <f>CA45/scenarios!$B50*1000000</f>
        <v>0.16279696002302407</v>
      </c>
      <c r="DH45" s="626">
        <f>CB45/scenarios!$B50*1000000</f>
        <v>2.0603565415264976E-2</v>
      </c>
      <c r="DI45" s="626">
        <f>CC45/scenarios!$B50*1000000</f>
        <v>0.77164190819776768</v>
      </c>
      <c r="DJ45" s="626">
        <f>CD45/scenarios!$B50*1000000</f>
        <v>-0.4420777760436882</v>
      </c>
      <c r="DL45" s="79">
        <f t="shared" si="20"/>
        <v>2046</v>
      </c>
      <c r="DM45" s="299">
        <f t="shared" si="21"/>
        <v>4.7676880208194419</v>
      </c>
      <c r="DN45" s="211">
        <f t="shared" si="22"/>
        <v>-1.3667236251950321</v>
      </c>
      <c r="DO45" s="211">
        <f t="shared" si="23"/>
        <v>2.2531679793090755</v>
      </c>
      <c r="DP45" s="211">
        <f t="shared" si="24"/>
        <v>-0.58339908489921122</v>
      </c>
      <c r="DQ45" s="211">
        <f t="shared" si="25"/>
        <v>3.2627708351819971</v>
      </c>
      <c r="DR45" s="293">
        <f t="shared" si="26"/>
        <v>0.42795377134786117</v>
      </c>
      <c r="DS45" s="631">
        <f t="shared" si="28"/>
        <v>4.7907209816000886</v>
      </c>
      <c r="DT45" s="632">
        <f t="shared" si="32"/>
        <v>4.3684986200000822</v>
      </c>
      <c r="DU45" s="632">
        <f t="shared" si="33"/>
        <v>15.15682913899991</v>
      </c>
      <c r="DV45" s="633">
        <f t="shared" si="34"/>
        <v>9.6084000000000742</v>
      </c>
    </row>
    <row r="46" spans="1:126" x14ac:dyDescent="0.25">
      <c r="A46" s="149"/>
      <c r="B46" s="139"/>
      <c r="C46" s="147"/>
      <c r="D46" s="147"/>
      <c r="E46" s="147"/>
      <c r="F46" s="55"/>
      <c r="P46" s="147"/>
      <c r="Q46" s="147"/>
      <c r="R46" s="147"/>
      <c r="S46" s="147"/>
      <c r="BT46" s="79">
        <f t="shared" si="15"/>
        <v>2055</v>
      </c>
      <c r="BU46" s="280">
        <f>scenarios!E51</f>
        <v>1.8505061445252502</v>
      </c>
      <c r="BV46" s="280">
        <f>scenarios!M51</f>
        <v>-4.3499999999999996</v>
      </c>
      <c r="BW46" s="280">
        <f>scenarios!V51</f>
        <v>-3.3461700252022819</v>
      </c>
      <c r="BX46" s="399">
        <f>scenarios!AE51</f>
        <v>-4.3499999999999996</v>
      </c>
      <c r="BY46" s="399">
        <f>scenarios!AN51</f>
        <v>-0.62431579574804541</v>
      </c>
      <c r="BZ46" s="399">
        <f>scenarios!BF51</f>
        <v>5.8737740815139106E-2</v>
      </c>
      <c r="CA46" s="280">
        <f>'IPCC SR15 paths P1-P4'!C52</f>
        <v>1.3339389892199733</v>
      </c>
      <c r="CB46" s="399">
        <f>'IPCC SR15 paths P1-P4'!E52</f>
        <v>-0.19327574999999797</v>
      </c>
      <c r="CC46" s="616">
        <f>'IPCC SR15 paths P1-P4'!G43</f>
        <v>6.8770049707998169</v>
      </c>
      <c r="CD46" s="399">
        <f>'IPCC SR15 paths P1-P4'!I52</f>
        <v>-5.7930000000001201</v>
      </c>
      <c r="CF46" s="79">
        <f t="shared" si="16"/>
        <v>2055</v>
      </c>
      <c r="CG46" s="278" t="e">
        <f>IF($BU45&gt;'goal seek'!$F$31,$BU46/$BU45-1,#N/A)</f>
        <v>#N/A</v>
      </c>
      <c r="CH46" s="278" t="e">
        <f>IF(BV45&gt;'goal seek'!$F$28,BV46/BV45-1,#N/A)</f>
        <v>#N/A</v>
      </c>
      <c r="CI46" s="278" t="e">
        <f>IF(BW45&gt;'goal seek'!$F$28,BW46/BW45-1,#N/A)</f>
        <v>#N/A</v>
      </c>
      <c r="CJ46" s="402" t="e">
        <f>IF(BX45&gt;'goal seek'!$F$28,BX46/BX45-1,#N/A)</f>
        <v>#N/A</v>
      </c>
      <c r="CK46" s="402" t="e">
        <f>IF(BY45&gt;'goal seek'!$F$28,BY46/BY45-1,#N/A)</f>
        <v>#N/A</v>
      </c>
      <c r="CL46" s="402" t="e">
        <f>IF(BZ45&gt;'goal seek'!$F$28,BZ46/BZ45-1,#N/A)</f>
        <v>#N/A</v>
      </c>
      <c r="CM46" s="622">
        <f t="shared" si="17"/>
        <v>-0.17366254125427594</v>
      </c>
      <c r="CN46" s="402">
        <f t="shared" si="29"/>
        <v>-1.9460252994893774</v>
      </c>
      <c r="CO46" s="194">
        <f t="shared" si="30"/>
        <v>-0.10122435284889153</v>
      </c>
      <c r="CP46" s="402" t="e">
        <f t="shared" si="31"/>
        <v>#N/A</v>
      </c>
      <c r="CR46" s="79">
        <f t="shared" si="18"/>
        <v>2055</v>
      </c>
      <c r="CS46" s="278">
        <f t="shared" si="36"/>
        <v>0</v>
      </c>
      <c r="CT46" s="278">
        <f t="shared" si="37"/>
        <v>0</v>
      </c>
      <c r="CU46" s="278">
        <f t="shared" si="38"/>
        <v>0</v>
      </c>
      <c r="CV46" s="402">
        <f t="shared" si="39"/>
        <v>0</v>
      </c>
      <c r="CW46" s="402">
        <f t="shared" si="40"/>
        <v>0</v>
      </c>
      <c r="CX46" s="402">
        <f t="shared" si="41"/>
        <v>0</v>
      </c>
      <c r="CZ46" s="79">
        <f t="shared" si="35"/>
        <v>2055</v>
      </c>
      <c r="DA46" s="299">
        <f>scenarios!K51</f>
        <v>0.18582934954961045</v>
      </c>
      <c r="DB46" s="407">
        <f>scenarios!T51</f>
        <v>-0.43683057899177669</v>
      </c>
      <c r="DC46" s="211">
        <f>scenarios!AC51</f>
        <v>-0.33602514701472203</v>
      </c>
      <c r="DD46" s="407">
        <f>scenarios!AL51</f>
        <v>-0.43683057899177669</v>
      </c>
      <c r="DE46" s="407">
        <f>scenarios!AU51</f>
        <v>-6.2694305869041497E-2</v>
      </c>
      <c r="DF46" s="407">
        <f>scenarios!BM51</f>
        <v>5.8984922595278462E-3</v>
      </c>
      <c r="DG46" s="626">
        <f>CA46/scenarios!$B51*1000000</f>
        <v>0.13395525080475087</v>
      </c>
      <c r="DH46" s="626">
        <f>CB46/scenarios!$B51*1000000</f>
        <v>-1.9408909833923908E-2</v>
      </c>
      <c r="DI46" s="626">
        <f>CC46/scenarios!$B51*1000000</f>
        <v>0.69059449726984146</v>
      </c>
      <c r="DJ46" s="626">
        <f>CD46/scenarios!$B51*1000000</f>
        <v>-0.58173782622975057</v>
      </c>
      <c r="DL46" s="79">
        <f t="shared" si="20"/>
        <v>2047</v>
      </c>
      <c r="DM46" s="299">
        <f t="shared" si="21"/>
        <v>4.397350372787681</v>
      </c>
      <c r="DN46" s="211">
        <f t="shared" si="22"/>
        <v>-2.467361998494233</v>
      </c>
      <c r="DO46" s="211">
        <f t="shared" si="23"/>
        <v>1.6310193121411469</v>
      </c>
      <c r="DP46" s="211">
        <f t="shared" si="24"/>
        <v>-1.5040103882526799</v>
      </c>
      <c r="DQ46" s="211">
        <f t="shared" si="25"/>
        <v>2.8308723206342146</v>
      </c>
      <c r="DR46" s="293">
        <f t="shared" si="26"/>
        <v>0.3444232447171347</v>
      </c>
      <c r="DS46" s="631">
        <f t="shared" si="28"/>
        <v>4.2769501682000737</v>
      </c>
      <c r="DT46" s="632">
        <f t="shared" si="32"/>
        <v>3.7250283900000341</v>
      </c>
      <c r="DU46" s="632">
        <f t="shared" si="33"/>
        <v>13.945929225999862</v>
      </c>
      <c r="DV46" s="633">
        <f t="shared" si="34"/>
        <v>7.519800000000032</v>
      </c>
    </row>
    <row r="47" spans="1:126" x14ac:dyDescent="0.25">
      <c r="E47" s="55"/>
      <c r="F47" s="55"/>
      <c r="BT47" s="79">
        <f t="shared" si="15"/>
        <v>2056</v>
      </c>
      <c r="BU47" s="280">
        <f>scenarios!E52</f>
        <v>1.5354671247908094</v>
      </c>
      <c r="BV47" s="280">
        <f>scenarios!M52</f>
        <v>-4.3499999999999996</v>
      </c>
      <c r="BW47" s="280">
        <f>scenarios!V52</f>
        <v>-3.9683186923702105</v>
      </c>
      <c r="BX47" s="399">
        <f>scenarios!AE52</f>
        <v>-4.3499999999999996</v>
      </c>
      <c r="BY47" s="399">
        <f>scenarios!AN52</f>
        <v>-1.0562143102958279</v>
      </c>
      <c r="BZ47" s="399">
        <f>scenarios!BF52</f>
        <v>4.6932427746303962E-2</v>
      </c>
      <c r="CA47" s="280">
        <f>'IPCC SR15 paths P1-P4'!C53</f>
        <v>1.053599241463985</v>
      </c>
      <c r="CB47" s="399">
        <f>'IPCC SR15 paths P1-P4'!E53</f>
        <v>-0.59085444000004372</v>
      </c>
      <c r="CC47" s="616">
        <f>'IPCC SR15 paths P1-P4'!G44</f>
        <v>6.1024842325998634</v>
      </c>
      <c r="CD47" s="399">
        <f>'IPCC SR15 paths P1-P4'!I53</f>
        <v>-7.2024000000001251</v>
      </c>
      <c r="CF47" s="79">
        <f t="shared" si="16"/>
        <v>2056</v>
      </c>
      <c r="CG47" s="278" t="e">
        <f>IF($BU46&gt;'goal seek'!$F$31,$BU47/$BU46-1,#N/A)</f>
        <v>#N/A</v>
      </c>
      <c r="CH47" s="278" t="e">
        <f>IF(BV46&gt;'goal seek'!$F$28,BV47/BV46-1,#N/A)</f>
        <v>#N/A</v>
      </c>
      <c r="CI47" s="278" t="e">
        <f>IF(BW46&gt;'goal seek'!$F$28,BW47/BW46-1,#N/A)</f>
        <v>#N/A</v>
      </c>
      <c r="CJ47" s="402" t="e">
        <f>IF(BX46&gt;'goal seek'!$F$28,BX47/BX46-1,#N/A)</f>
        <v>#N/A</v>
      </c>
      <c r="CK47" s="402" t="e">
        <f>IF(BY46&gt;'goal seek'!$F$28,BY47/BY46-1,#N/A)</f>
        <v>#N/A</v>
      </c>
      <c r="CL47" s="402" t="e">
        <f>IF(BZ46&gt;'goal seek'!$F$28,BZ47/BZ46-1,#N/A)</f>
        <v>#N/A</v>
      </c>
      <c r="CM47" s="622">
        <f t="shared" si="17"/>
        <v>-0.21015934763247179</v>
      </c>
      <c r="CN47" s="402" t="e">
        <f t="shared" si="29"/>
        <v>#N/A</v>
      </c>
      <c r="CO47" s="194">
        <f t="shared" si="30"/>
        <v>-0.11262471693544152</v>
      </c>
      <c r="CP47" s="402" t="e">
        <f t="shared" si="31"/>
        <v>#N/A</v>
      </c>
      <c r="CR47" s="79">
        <f t="shared" si="18"/>
        <v>2056</v>
      </c>
      <c r="CS47" s="278">
        <f t="shared" si="36"/>
        <v>0</v>
      </c>
      <c r="CT47" s="278">
        <f t="shared" si="37"/>
        <v>0</v>
      </c>
      <c r="CU47" s="278">
        <f t="shared" si="38"/>
        <v>0</v>
      </c>
      <c r="CV47" s="402">
        <f t="shared" si="39"/>
        <v>0</v>
      </c>
      <c r="CW47" s="402">
        <f t="shared" si="40"/>
        <v>0</v>
      </c>
      <c r="CX47" s="402">
        <f t="shared" si="41"/>
        <v>0</v>
      </c>
      <c r="CZ47" s="79">
        <f t="shared" si="35"/>
        <v>2056</v>
      </c>
      <c r="DA47" s="299">
        <f>scenarios!K52</f>
        <v>0.15356086593839693</v>
      </c>
      <c r="DB47" s="407">
        <f>scenarios!T52</f>
        <v>-0.43504009694967122</v>
      </c>
      <c r="DC47" s="211">
        <f>scenarios!AC52</f>
        <v>-0.3968684479668802</v>
      </c>
      <c r="DD47" s="407">
        <f>scenarios!AL52</f>
        <v>-0.43504009694967122</v>
      </c>
      <c r="DE47" s="407">
        <f>scenarios!AU52</f>
        <v>-0.10563116688522463</v>
      </c>
      <c r="DF47" s="407">
        <f>scenarios!BM52</f>
        <v>4.693675383180578E-3</v>
      </c>
      <c r="DG47" s="626">
        <f>CA47/scenarios!$B52*1000000</f>
        <v>0.10536963589714761</v>
      </c>
      <c r="DH47" s="626">
        <f>CB47/scenarios!$B52*1000000</f>
        <v>-5.9090890312819014E-2</v>
      </c>
      <c r="DI47" s="626">
        <f>CC47/scenarios!$B52*1000000</f>
        <v>0.61030467406530675</v>
      </c>
      <c r="DJ47" s="626">
        <f>CD47/scenarios!$B52*1000000</f>
        <v>-0.72030638948744052</v>
      </c>
      <c r="DL47" s="79">
        <f t="shared" si="20"/>
        <v>2048</v>
      </c>
      <c r="DM47" s="299">
        <f t="shared" si="21"/>
        <v>4.0557792826663359</v>
      </c>
      <c r="DN47" s="211">
        <f t="shared" si="22"/>
        <v>-3.5680003717934339</v>
      </c>
      <c r="DO47" s="211">
        <f t="shared" si="23"/>
        <v>1.0088706449732183</v>
      </c>
      <c r="DP47" s="211">
        <f t="shared" si="24"/>
        <v>-2.4246216916061485</v>
      </c>
      <c r="DQ47" s="211">
        <f t="shared" si="25"/>
        <v>2.3989738060864321</v>
      </c>
      <c r="DR47" s="293">
        <f t="shared" si="26"/>
        <v>0.27691860830715598</v>
      </c>
      <c r="DS47" s="631">
        <f t="shared" si="28"/>
        <v>3.7631793548000587</v>
      </c>
      <c r="DT47" s="632">
        <f t="shared" si="32"/>
        <v>3.0815581599999859</v>
      </c>
      <c r="DU47" s="632">
        <f t="shared" si="33"/>
        <v>12.735029312999814</v>
      </c>
      <c r="DV47" s="633">
        <f t="shared" si="34"/>
        <v>5.4311999999999898</v>
      </c>
    </row>
    <row r="48" spans="1:126" x14ac:dyDescent="0.25">
      <c r="E48" s="55"/>
      <c r="F48" s="55"/>
      <c r="BT48" s="79">
        <f t="shared" si="15"/>
        <v>2057</v>
      </c>
      <c r="BU48" s="280">
        <f>scenarios!E53</f>
        <v>1.2204281050563686</v>
      </c>
      <c r="BV48" s="280">
        <f>scenarios!M53</f>
        <v>-4.3499999999999996</v>
      </c>
      <c r="BW48" s="280">
        <f>scenarios!V53</f>
        <v>-4.3499999999999996</v>
      </c>
      <c r="BX48" s="399">
        <f>scenarios!AE53</f>
        <v>-4.3499999999999996</v>
      </c>
      <c r="BY48" s="399">
        <f>scenarios!AN53</f>
        <v>-1.4881128248436104</v>
      </c>
      <c r="BZ48" s="399">
        <f>scenarios!BF53</f>
        <v>3.7477005992540335E-2</v>
      </c>
      <c r="CA48" s="280">
        <f>'IPCC SR15 paths P1-P4'!C54</f>
        <v>0.77325949370799663</v>
      </c>
      <c r="CB48" s="399">
        <f>'IPCC SR15 paths P1-P4'!E54</f>
        <v>-0.98843312999997579</v>
      </c>
      <c r="CC48" s="616">
        <f>'IPCC SR15 paths P1-P4'!G45</f>
        <v>5.3279634943999099</v>
      </c>
      <c r="CD48" s="399">
        <f>'IPCC SR15 paths P1-P4'!I54</f>
        <v>-8.6118000000001302</v>
      </c>
      <c r="CF48" s="79">
        <f t="shared" si="16"/>
        <v>2057</v>
      </c>
      <c r="CG48" s="278" t="e">
        <f>IF($BU47&gt;'goal seek'!$F$31,$BU48/$BU47-1,#N/A)</f>
        <v>#N/A</v>
      </c>
      <c r="CH48" s="278" t="e">
        <f>IF(BV47&gt;'goal seek'!$F$28,BV48/BV47-1,#N/A)</f>
        <v>#N/A</v>
      </c>
      <c r="CI48" s="278" t="e">
        <f>IF(BW47&gt;'goal seek'!$F$28,BW48/BW47-1,#N/A)</f>
        <v>#N/A</v>
      </c>
      <c r="CJ48" s="402" t="e">
        <f>IF(BX47&gt;'goal seek'!$F$28,BX48/BX47-1,#N/A)</f>
        <v>#N/A</v>
      </c>
      <c r="CK48" s="402" t="e">
        <f>IF(BY47&gt;'goal seek'!$F$28,BY48/BY47-1,#N/A)</f>
        <v>#N/A</v>
      </c>
      <c r="CL48" s="402" t="e">
        <f>IF(BZ47&gt;'goal seek'!$F$28,BZ48/BZ47-1,#N/A)</f>
        <v>#N/A</v>
      </c>
      <c r="CM48" s="622">
        <f t="shared" si="17"/>
        <v>-0.26607816019917963</v>
      </c>
      <c r="CN48" s="402" t="e">
        <f t="shared" si="29"/>
        <v>#N/A</v>
      </c>
      <c r="CO48" s="194">
        <f t="shared" si="30"/>
        <v>-0.12691892492936141</v>
      </c>
      <c r="CP48" s="402" t="e">
        <f t="shared" si="31"/>
        <v>#N/A</v>
      </c>
      <c r="CR48" s="79">
        <f t="shared" si="18"/>
        <v>2057</v>
      </c>
      <c r="CS48" s="278">
        <f t="shared" si="36"/>
        <v>0</v>
      </c>
      <c r="CT48" s="278">
        <f t="shared" si="37"/>
        <v>0</v>
      </c>
      <c r="CU48" s="278">
        <f t="shared" si="38"/>
        <v>0</v>
      </c>
      <c r="CV48" s="402">
        <f t="shared" si="39"/>
        <v>0</v>
      </c>
      <c r="CW48" s="402">
        <f t="shared" si="40"/>
        <v>0</v>
      </c>
      <c r="CX48" s="402">
        <f t="shared" si="41"/>
        <v>0</v>
      </c>
      <c r="CZ48" s="79">
        <f t="shared" si="35"/>
        <v>2057</v>
      </c>
      <c r="DA48" s="299">
        <f>scenarios!K53</f>
        <v>0.12157024925829858</v>
      </c>
      <c r="DB48" s="407">
        <f>scenarios!T53</f>
        <v>-0.43331563906353454</v>
      </c>
      <c r="DC48" s="211">
        <f>scenarios!AC53</f>
        <v>-0.43331563906353454</v>
      </c>
      <c r="DD48" s="407">
        <f>scenarios!AL53</f>
        <v>-0.43331563906353454</v>
      </c>
      <c r="DE48" s="407">
        <f>scenarios!AU53</f>
        <v>-0.14823507119442544</v>
      </c>
      <c r="DF48" s="407">
        <f>scenarios!BM53</f>
        <v>3.7331891498495469E-3</v>
      </c>
      <c r="DG48" s="626">
        <f>CA48/scenarios!$B53*1000000</f>
        <v>7.702653601793695E-2</v>
      </c>
      <c r="DH48" s="626">
        <f>CB48/scenarios!$B53*1000000</f>
        <v>-9.8460582390232018E-2</v>
      </c>
      <c r="DI48" s="626">
        <f>CC48/scenarios!$B53*1000000</f>
        <v>0.53073331183519079</v>
      </c>
      <c r="DJ48" s="626">
        <f>CD48/scenarios!$B53*1000000</f>
        <v>-0.85784542999710423</v>
      </c>
      <c r="DL48" s="79">
        <f t="shared" si="20"/>
        <v>2049</v>
      </c>
      <c r="DM48" s="299">
        <f t="shared" si="21"/>
        <v>3.7407402629318951</v>
      </c>
      <c r="DN48" s="211">
        <f t="shared" si="22"/>
        <v>-4.3499999999999996</v>
      </c>
      <c r="DO48" s="211">
        <f t="shared" si="23"/>
        <v>0.38672197780528972</v>
      </c>
      <c r="DP48" s="211">
        <f t="shared" si="24"/>
        <v>-3.3452329949596171</v>
      </c>
      <c r="DQ48" s="211">
        <f t="shared" si="25"/>
        <v>1.9670752915386496</v>
      </c>
      <c r="DR48" s="293">
        <f t="shared" si="26"/>
        <v>0.22243457015738544</v>
      </c>
      <c r="DS48" s="631">
        <f t="shared" si="28"/>
        <v>3.2494085414000438</v>
      </c>
      <c r="DT48" s="632">
        <f t="shared" si="32"/>
        <v>2.4380879299999378</v>
      </c>
      <c r="DU48" s="632">
        <f t="shared" si="33"/>
        <v>11.5241294</v>
      </c>
      <c r="DV48" s="633">
        <f t="shared" si="34"/>
        <v>3.3425999999999476</v>
      </c>
    </row>
    <row r="49" spans="5:126" x14ac:dyDescent="0.25">
      <c r="E49" s="55"/>
      <c r="F49" s="55"/>
      <c r="BT49" s="79">
        <f t="shared" si="15"/>
        <v>2058</v>
      </c>
      <c r="BU49" s="280">
        <f>scenarios!E54</f>
        <v>0.90538908532192774</v>
      </c>
      <c r="BV49" s="280">
        <f>scenarios!M54</f>
        <v>-4.3499999999999996</v>
      </c>
      <c r="BW49" s="280">
        <f>scenarios!V54</f>
        <v>-4.3499999999999996</v>
      </c>
      <c r="BX49" s="399">
        <f>scenarios!AE54</f>
        <v>-4.3499999999999996</v>
      </c>
      <c r="BY49" s="399">
        <f>scenarios!AN54</f>
        <v>-1.9200113393913929</v>
      </c>
      <c r="BZ49" s="399">
        <f>scenarios!BF54</f>
        <v>2.9909240852516977E-2</v>
      </c>
      <c r="CA49" s="280">
        <f>'IPCC SR15 paths P1-P4'!C55</f>
        <v>0.49291974595200827</v>
      </c>
      <c r="CB49" s="399">
        <f>'IPCC SR15 paths P1-P4'!E55</f>
        <v>-1.3860118200000215</v>
      </c>
      <c r="CC49" s="616">
        <f>'IPCC SR15 paths P1-P4'!G46</f>
        <v>4.5534427561999564</v>
      </c>
      <c r="CD49" s="399">
        <f>'IPCC SR15 paths P1-P4'!I55</f>
        <v>-10.021200000000135</v>
      </c>
      <c r="CF49" s="79">
        <f t="shared" si="16"/>
        <v>2058</v>
      </c>
      <c r="CG49" s="278" t="e">
        <f>IF($BU48&gt;'goal seek'!$F$31,$BU49/$BU48-1,#N/A)</f>
        <v>#N/A</v>
      </c>
      <c r="CH49" s="278" t="e">
        <f>IF(BV48&gt;'goal seek'!$F$28,BV49/BV48-1,#N/A)</f>
        <v>#N/A</v>
      </c>
      <c r="CI49" s="278" t="e">
        <f>IF(BW48&gt;'goal seek'!$F$28,BW49/BW48-1,#N/A)</f>
        <v>#N/A</v>
      </c>
      <c r="CJ49" s="402" t="e">
        <f>IF(BX48&gt;'goal seek'!$F$28,BX49/BX48-1,#N/A)</f>
        <v>#N/A</v>
      </c>
      <c r="CK49" s="402" t="e">
        <f>IF(BY48&gt;'goal seek'!$F$28,BY49/BY48-1,#N/A)</f>
        <v>#N/A</v>
      </c>
      <c r="CL49" s="402" t="e">
        <f>IF(BZ48&gt;'goal seek'!$F$28,BZ49/BZ48-1,#N/A)</f>
        <v>#N/A</v>
      </c>
      <c r="CM49" s="622">
        <f t="shared" si="17"/>
        <v>-0.36254291093366398</v>
      </c>
      <c r="CN49" s="402" t="e">
        <f t="shared" si="29"/>
        <v>#N/A</v>
      </c>
      <c r="CO49" s="194">
        <f t="shared" si="30"/>
        <v>-0.14536900243667827</v>
      </c>
      <c r="CP49" s="402" t="e">
        <f t="shared" si="31"/>
        <v>#N/A</v>
      </c>
      <c r="CR49" s="79">
        <f t="shared" si="18"/>
        <v>2058</v>
      </c>
      <c r="CS49" s="278">
        <f t="shared" si="36"/>
        <v>0</v>
      </c>
      <c r="CT49" s="278">
        <f t="shared" si="37"/>
        <v>0</v>
      </c>
      <c r="CU49" s="278">
        <f t="shared" si="38"/>
        <v>0</v>
      </c>
      <c r="CV49" s="402">
        <f t="shared" si="39"/>
        <v>0</v>
      </c>
      <c r="CW49" s="402">
        <f t="shared" si="40"/>
        <v>0</v>
      </c>
      <c r="CX49" s="402">
        <f t="shared" si="41"/>
        <v>0</v>
      </c>
      <c r="CZ49" s="79">
        <f t="shared" si="35"/>
        <v>2058</v>
      </c>
      <c r="DA49" s="299">
        <f>scenarios!K54</f>
        <v>8.984258164458811E-2</v>
      </c>
      <c r="DB49" s="407">
        <f>scenarios!T54</f>
        <v>-0.4316544527538641</v>
      </c>
      <c r="DC49" s="211">
        <f>scenarios!AC54</f>
        <v>-0.4316544527538641</v>
      </c>
      <c r="DD49" s="407">
        <f>scenarios!AL54</f>
        <v>-0.4316544527538641</v>
      </c>
      <c r="DE49" s="407">
        <f>scenarios!AU54</f>
        <v>-0.19052446988188629</v>
      </c>
      <c r="DF49" s="407">
        <f>scenarios!BM54</f>
        <v>2.9679211476958001E-3</v>
      </c>
      <c r="DG49" s="626">
        <f>CA49/scenarios!$B54*1000000</f>
        <v>4.8912874296663876E-2</v>
      </c>
      <c r="DH49" s="626">
        <f>CB49/scenarios!$B54*1000000</f>
        <v>-0.13753521233850494</v>
      </c>
      <c r="DI49" s="626">
        <f>CC49/scenarios!$B54*1000000</f>
        <v>0.45184226231575603</v>
      </c>
      <c r="DJ49" s="626">
        <f>CD49/scenarios!$B54*1000000</f>
        <v>-0.99441278205450145</v>
      </c>
      <c r="DL49" s="79">
        <f t="shared" si="20"/>
        <v>2050</v>
      </c>
      <c r="DM49" s="299">
        <f t="shared" si="21"/>
        <v>3.4257012431974543</v>
      </c>
      <c r="DN49" s="211">
        <f t="shared" si="22"/>
        <v>-4.3499999999999996</v>
      </c>
      <c r="DO49" s="211">
        <f t="shared" si="23"/>
        <v>-0.23542668936263889</v>
      </c>
      <c r="DP49" s="211">
        <f t="shared" si="24"/>
        <v>-4.2658442983130858</v>
      </c>
      <c r="DQ49" s="211">
        <f t="shared" si="25"/>
        <v>1.5351767769908671</v>
      </c>
      <c r="DR49" s="293">
        <f t="shared" si="26"/>
        <v>0.17851180150263735</v>
      </c>
      <c r="DS49" s="631">
        <f t="shared" si="28"/>
        <v>2.7356377279999999</v>
      </c>
      <c r="DT49" s="632">
        <f t="shared" si="32"/>
        <v>1.7946177000000001</v>
      </c>
      <c r="DU49" s="632">
        <f t="shared" si="33"/>
        <v>10.749608661799812</v>
      </c>
      <c r="DV49" s="633">
        <f t="shared" si="34"/>
        <v>1.254</v>
      </c>
    </row>
    <row r="50" spans="5:126" x14ac:dyDescent="0.25">
      <c r="E50" s="55"/>
      <c r="F50" s="55"/>
      <c r="BT50" s="79">
        <f t="shared" si="15"/>
        <v>2059</v>
      </c>
      <c r="BU50" s="280">
        <f>scenarios!E55</f>
        <v>0.59035006558748693</v>
      </c>
      <c r="BV50" s="280">
        <f>scenarios!M55</f>
        <v>-4.3499999999999996</v>
      </c>
      <c r="BW50" s="280">
        <f>scenarios!V55</f>
        <v>-4.3499999999999996</v>
      </c>
      <c r="BX50" s="399">
        <f>scenarios!AE55</f>
        <v>-4.3499999999999996</v>
      </c>
      <c r="BY50" s="399">
        <f>scenarios!AN55</f>
        <v>-2.3519098539391754</v>
      </c>
      <c r="BZ50" s="399">
        <f>scenarios!BF55</f>
        <v>2.3856470934856572E-2</v>
      </c>
      <c r="CA50" s="280">
        <f>'IPCC SR15 paths P1-P4'!C56</f>
        <v>0.21257999819601991</v>
      </c>
      <c r="CB50" s="399">
        <f>'IPCC SR15 paths P1-P4'!E56</f>
        <v>-1.7835905100000673</v>
      </c>
      <c r="CC50" s="616">
        <f>'IPCC SR15 paths P1-P4'!G47</f>
        <v>3.7789220180000003</v>
      </c>
      <c r="CD50" s="399">
        <f>'IPCC SR15 paths P1-P4'!I56</f>
        <v>-11.43060000000014</v>
      </c>
      <c r="CF50" s="79">
        <f t="shared" si="16"/>
        <v>2059</v>
      </c>
      <c r="CG50" s="278" t="e">
        <f>IF($BU49&gt;'goal seek'!$F$31,$BU50/$BU49-1,#N/A)</f>
        <v>#N/A</v>
      </c>
      <c r="CH50" s="278" t="e">
        <f>IF(BV49&gt;'goal seek'!$F$28,BV50/BV49-1,#N/A)</f>
        <v>#N/A</v>
      </c>
      <c r="CI50" s="278" t="e">
        <f>IF(BW49&gt;'goal seek'!$F$28,BW50/BW49-1,#N/A)</f>
        <v>#N/A</v>
      </c>
      <c r="CJ50" s="402" t="e">
        <f>IF(BX49&gt;'goal seek'!$F$28,BX50/BX49-1,#N/A)</f>
        <v>#N/A</v>
      </c>
      <c r="CK50" s="402" t="e">
        <f>IF(BY49&gt;'goal seek'!$F$28,BY50/BY49-1,#N/A)</f>
        <v>#N/A</v>
      </c>
      <c r="CL50" s="402" t="e">
        <f>IF(BZ49&gt;'goal seek'!$F$28,BZ50/BZ49-1,#N/A)</f>
        <v>#N/A</v>
      </c>
      <c r="CM50" s="622">
        <f t="shared" si="17"/>
        <v>-0.56873304439153638</v>
      </c>
      <c r="CN50" s="402" t="e">
        <f t="shared" si="29"/>
        <v>#N/A</v>
      </c>
      <c r="CO50" s="194">
        <f t="shared" si="30"/>
        <v>-0.17009563525211135</v>
      </c>
      <c r="CP50" s="402" t="e">
        <f t="shared" si="31"/>
        <v>#N/A</v>
      </c>
      <c r="CR50" s="79">
        <f t="shared" si="18"/>
        <v>2059</v>
      </c>
      <c r="CS50" s="278">
        <f t="shared" si="36"/>
        <v>0</v>
      </c>
      <c r="CT50" s="278">
        <f t="shared" si="37"/>
        <v>0</v>
      </c>
      <c r="CU50" s="278">
        <f t="shared" si="38"/>
        <v>0</v>
      </c>
      <c r="CV50" s="402">
        <f t="shared" si="39"/>
        <v>0</v>
      </c>
      <c r="CW50" s="402">
        <f t="shared" si="40"/>
        <v>0</v>
      </c>
      <c r="CX50" s="402">
        <f t="shared" si="41"/>
        <v>0</v>
      </c>
      <c r="CZ50" s="79">
        <f t="shared" si="35"/>
        <v>2059</v>
      </c>
      <c r="DA50" s="299">
        <f>scenarios!K55</f>
        <v>5.8363709223822481E-2</v>
      </c>
      <c r="DB50" s="407">
        <f>scenarios!T55</f>
        <v>-0.43005353928601153</v>
      </c>
      <c r="DC50" s="211">
        <f>scenarios!AC55</f>
        <v>-0.43005353928601153</v>
      </c>
      <c r="DD50" s="407">
        <f>scenarios!AL55</f>
        <v>-0.43005353928601153</v>
      </c>
      <c r="DE50" s="407">
        <f>scenarios!AU55</f>
        <v>-0.23251658776280204</v>
      </c>
      <c r="DF50" s="407">
        <f>scenarios!BM55</f>
        <v>2.3585194851514788E-3</v>
      </c>
      <c r="DG50" s="626">
        <f>CA50/scenarios!$B55*1000000</f>
        <v>2.1016271403589037E-2</v>
      </c>
      <c r="DH50" s="626">
        <f>CB50/scenarios!$B55*1000000</f>
        <v>-0.176330899186775</v>
      </c>
      <c r="DI50" s="626">
        <f>CC50/scenarios!$B55*1000000</f>
        <v>0.37359512379924992</v>
      </c>
      <c r="DJ50" s="626">
        <f>CD50/scenarios!$B55*1000000</f>
        <v>-1.1300620657845388</v>
      </c>
      <c r="DL50" s="79">
        <f t="shared" ref="DL50:DL81" si="42">BT42</f>
        <v>2051</v>
      </c>
      <c r="DM50" s="299">
        <f t="shared" ref="DM50:DM81" si="43">BU42</f>
        <v>3.1106622234630135</v>
      </c>
      <c r="DN50" s="211">
        <f t="shared" ref="DN50:DN81" si="44">BV42</f>
        <v>-4.3499999999999996</v>
      </c>
      <c r="DO50" s="211">
        <f t="shared" ref="DO50:DO81" si="45">BW42</f>
        <v>-0.85757535653056749</v>
      </c>
      <c r="DP50" s="211">
        <f t="shared" ref="DP50:DP81" si="46">BX42</f>
        <v>-4.3499999999999996</v>
      </c>
      <c r="DQ50" s="211">
        <f t="shared" ref="DQ50:DQ81" si="47">BY42</f>
        <v>1.1032782624430846</v>
      </c>
      <c r="DR50" s="293">
        <f t="shared" ref="DR50:DR81" si="48">BZ42</f>
        <v>0.14314232650366598</v>
      </c>
      <c r="DS50" s="631">
        <f t="shared" si="28"/>
        <v>2.4552979802440404</v>
      </c>
      <c r="DT50" s="632">
        <f t="shared" si="32"/>
        <v>1.3970390099999577</v>
      </c>
      <c r="DU50" s="632">
        <f t="shared" si="33"/>
        <v>9.9750879235998582</v>
      </c>
      <c r="DV50" s="633">
        <f t="shared" si="34"/>
        <v>-0.15540000000009968</v>
      </c>
    </row>
    <row r="51" spans="5:126" ht="13.9" customHeight="1" x14ac:dyDescent="0.25">
      <c r="E51" s="55"/>
      <c r="F51" s="55"/>
      <c r="BT51" s="79">
        <f t="shared" si="15"/>
        <v>2060</v>
      </c>
      <c r="BU51" s="280">
        <f>scenarios!E56</f>
        <v>0.27531104585304611</v>
      </c>
      <c r="BV51" s="280">
        <f>scenarios!M56</f>
        <v>-4.3499999999999996</v>
      </c>
      <c r="BW51" s="280">
        <f>scenarios!V56</f>
        <v>-4.3499999999999996</v>
      </c>
      <c r="BX51" s="399">
        <f>scenarios!AE56</f>
        <v>-4.3499999999999996</v>
      </c>
      <c r="BY51" s="399">
        <f>scenarios!AN56</f>
        <v>-2.7838083684869579</v>
      </c>
      <c r="BZ51" s="399">
        <f>scenarios!BF56</f>
        <v>1.9018584686248563E-2</v>
      </c>
      <c r="CA51" s="280">
        <f>'IPCC SR15 paths P1-P4'!C57</f>
        <v>-6.7759749559999999E-2</v>
      </c>
      <c r="CB51" s="399">
        <f>'IPCC SR15 paths P1-P4'!E57</f>
        <v>-2.1811691999999998</v>
      </c>
      <c r="CC51" s="616">
        <f>'IPCC SR15 paths P1-P4'!G48</f>
        <v>3.2499613553998188</v>
      </c>
      <c r="CD51" s="399">
        <f>'IPCC SR15 paths P1-P4'!I57</f>
        <v>-12.84</v>
      </c>
      <c r="CF51" s="79">
        <f t="shared" si="16"/>
        <v>2060</v>
      </c>
      <c r="CG51" s="278" t="e">
        <f>IF($BU50&gt;'goal seek'!$F$31,$BU51/$BU50-1,#N/A)</f>
        <v>#N/A</v>
      </c>
      <c r="CH51" s="278" t="e">
        <f>IF(BV50&gt;'goal seek'!$F$28,BV51/BV50-1,#N/A)</f>
        <v>#N/A</v>
      </c>
      <c r="CI51" s="278" t="e">
        <f>IF(BW50&gt;'goal seek'!$F$28,BW51/BW50-1,#N/A)</f>
        <v>#N/A</v>
      </c>
      <c r="CJ51" s="402" t="e">
        <f>IF(BX50&gt;'goal seek'!$F$28,BX51/BX50-1,#N/A)</f>
        <v>#N/A</v>
      </c>
      <c r="CK51" s="402" t="e">
        <f>IF(BY50&gt;'goal seek'!$F$28,BY51/BY50-1,#N/A)</f>
        <v>#N/A</v>
      </c>
      <c r="CL51" s="402" t="e">
        <f>IF(BZ50&gt;'goal seek'!$F$28,BZ51/BZ50-1,#N/A)</f>
        <v>#N/A</v>
      </c>
      <c r="CM51" s="622">
        <f t="shared" si="17"/>
        <v>-1.3187494126212136</v>
      </c>
      <c r="CN51" s="402" t="e">
        <f t="shared" si="29"/>
        <v>#N/A</v>
      </c>
      <c r="CO51" s="194">
        <f t="shared" si="30"/>
        <v>-0.13997660181411598</v>
      </c>
      <c r="CP51" s="402" t="e">
        <f t="shared" si="31"/>
        <v>#N/A</v>
      </c>
      <c r="CR51" s="79">
        <f t="shared" si="18"/>
        <v>2060</v>
      </c>
      <c r="CS51" s="278">
        <f t="shared" si="36"/>
        <v>0</v>
      </c>
      <c r="CT51" s="278">
        <f t="shared" si="37"/>
        <v>0</v>
      </c>
      <c r="CU51" s="278">
        <f t="shared" si="38"/>
        <v>0</v>
      </c>
      <c r="CV51" s="402">
        <f t="shared" si="39"/>
        <v>0</v>
      </c>
      <c r="CW51" s="402">
        <f t="shared" si="40"/>
        <v>0</v>
      </c>
      <c r="CX51" s="402">
        <f t="shared" si="41"/>
        <v>0</v>
      </c>
      <c r="CZ51" s="79">
        <f t="shared" si="35"/>
        <v>2060</v>
      </c>
      <c r="DA51" s="299">
        <f>scenarios!K56</f>
        <v>2.7120369942735714E-2</v>
      </c>
      <c r="DB51" s="407">
        <f>scenarios!T56</f>
        <v>-0.42851026512707235</v>
      </c>
      <c r="DC51" s="211">
        <f>scenarios!AC56</f>
        <v>-0.42851026512707235</v>
      </c>
      <c r="DD51" s="407">
        <f>scenarios!AL56</f>
        <v>-0.42851026512707235</v>
      </c>
      <c r="DE51" s="407">
        <f>scenarios!AU56</f>
        <v>-0.27422769242374923</v>
      </c>
      <c r="DF51" s="407">
        <f>scenarios!BM56</f>
        <v>1.8734847738496666E-3</v>
      </c>
      <c r="DG51" s="626">
        <f>CA51/scenarios!$B56*1000000</f>
        <v>-6.6748846549194536E-3</v>
      </c>
      <c r="DH51" s="626">
        <f>CB51/scenarios!$B56*1000000</f>
        <v>-0.21486284877678255</v>
      </c>
      <c r="DI51" s="626">
        <f>CC51/scenarios!$B56*1000000</f>
        <v>0.32014754070232548</v>
      </c>
      <c r="DJ51" s="626">
        <f>CD51/scenarios!$B56*1000000</f>
        <v>-1.2648440929268066</v>
      </c>
      <c r="DL51" s="79">
        <f t="shared" si="42"/>
        <v>2052</v>
      </c>
      <c r="DM51" s="299">
        <f t="shared" si="43"/>
        <v>2.7956232037285726</v>
      </c>
      <c r="DN51" s="211">
        <f t="shared" si="44"/>
        <v>-4.3499999999999996</v>
      </c>
      <c r="DO51" s="211">
        <f t="shared" si="45"/>
        <v>-1.4797240236984961</v>
      </c>
      <c r="DP51" s="211">
        <f t="shared" si="46"/>
        <v>-4.3499999999999996</v>
      </c>
      <c r="DQ51" s="211">
        <f t="shared" si="47"/>
        <v>0.67137974789530208</v>
      </c>
      <c r="DR51" s="293">
        <f t="shared" si="48"/>
        <v>0.11469008108803347</v>
      </c>
      <c r="DS51" s="631">
        <f t="shared" si="28"/>
        <v>2.1749582324880521</v>
      </c>
      <c r="DT51" s="632">
        <f t="shared" si="32"/>
        <v>0.9994603200000256</v>
      </c>
      <c r="DU51" s="632">
        <f t="shared" si="33"/>
        <v>9.2005671853999047</v>
      </c>
      <c r="DV51" s="633">
        <f t="shared" si="34"/>
        <v>-1.5648000000001048</v>
      </c>
    </row>
    <row r="52" spans="5:126" x14ac:dyDescent="0.25">
      <c r="E52" s="55"/>
      <c r="F52" s="55"/>
      <c r="BT52" s="79">
        <f t="shared" si="15"/>
        <v>2061</v>
      </c>
      <c r="BU52" s="280">
        <f>scenarios!E57</f>
        <v>-3.9727973881394707E-2</v>
      </c>
      <c r="BV52" s="280">
        <f>scenarios!M57</f>
        <v>-4.3499999999999996</v>
      </c>
      <c r="BW52" s="280">
        <f>scenarios!V57</f>
        <v>-4.3499999999999996</v>
      </c>
      <c r="BX52" s="399">
        <f>scenarios!AE57</f>
        <v>-4.3499999999999996</v>
      </c>
      <c r="BY52" s="399">
        <f>scenarios!AN57</f>
        <v>-3.2157068830347404</v>
      </c>
      <c r="BZ52" s="399">
        <f>scenarios!BF57</f>
        <v>1.5154148224542634E-2</v>
      </c>
      <c r="CA52" s="280">
        <f>'IPCC SR15 paths P1-P4'!C58</f>
        <v>-0.22799994500405774</v>
      </c>
      <c r="CB52" s="399">
        <f>'IPCC SR15 paths P1-P4'!E58</f>
        <v>-2.3387602199999833</v>
      </c>
      <c r="CC52" s="616">
        <f>'IPCC SR15 paths P1-P4'!G49</f>
        <v>2.721000692799862</v>
      </c>
      <c r="CD52" s="399">
        <f>'IPCC SR15 paths P1-P4'!I58</f>
        <v>-13.180999999999926</v>
      </c>
      <c r="CF52" s="79">
        <f t="shared" si="16"/>
        <v>2061</v>
      </c>
      <c r="CG52" s="278" t="e">
        <f>IF($BU51&gt;'goal seek'!$F$31,$BU52/$BU51-1,#N/A)</f>
        <v>#N/A</v>
      </c>
      <c r="CH52" s="278" t="e">
        <f>IF(BV51&gt;'goal seek'!$F$28,BV52/BV51-1,#N/A)</f>
        <v>#N/A</v>
      </c>
      <c r="CI52" s="278" t="e">
        <f>IF(BW51&gt;'goal seek'!$F$28,BW52/BW51-1,#N/A)</f>
        <v>#N/A</v>
      </c>
      <c r="CJ52" s="402" t="e">
        <f>IF(BX51&gt;'goal seek'!$F$28,BX52/BX51-1,#N/A)</f>
        <v>#N/A</v>
      </c>
      <c r="CK52" s="402" t="e">
        <f>IF(BY51&gt;'goal seek'!$F$28,BY52/BY51-1,#N/A)</f>
        <v>#N/A</v>
      </c>
      <c r="CL52" s="402" t="e">
        <f>IF(BZ51&gt;'goal seek'!$F$28,BZ52/BZ51-1,#N/A)</f>
        <v>#N/A</v>
      </c>
      <c r="CM52" s="622" t="e">
        <f t="shared" si="17"/>
        <v>#N/A</v>
      </c>
      <c r="CN52" s="402" t="e">
        <f t="shared" si="29"/>
        <v>#N/A</v>
      </c>
      <c r="CO52" s="194">
        <f t="shared" si="30"/>
        <v>-0.16275906226425962</v>
      </c>
      <c r="CP52" s="402" t="e">
        <f t="shared" si="31"/>
        <v>#N/A</v>
      </c>
      <c r="CR52" s="79">
        <f t="shared" si="18"/>
        <v>2061</v>
      </c>
      <c r="CS52" s="278">
        <f t="shared" si="36"/>
        <v>0</v>
      </c>
      <c r="CT52" s="278">
        <f t="shared" si="37"/>
        <v>0</v>
      </c>
      <c r="CU52" s="278">
        <f t="shared" si="38"/>
        <v>0</v>
      </c>
      <c r="CV52" s="402">
        <f t="shared" si="39"/>
        <v>0</v>
      </c>
      <c r="CW52" s="402">
        <f t="shared" si="40"/>
        <v>0</v>
      </c>
      <c r="CX52" s="402">
        <f t="shared" si="41"/>
        <v>0</v>
      </c>
      <c r="CZ52" s="79">
        <f t="shared" si="35"/>
        <v>2061</v>
      </c>
      <c r="DA52" s="299">
        <f>scenarios!K57</f>
        <v>-3.8999419532009414E-3</v>
      </c>
      <c r="DB52" s="407">
        <f>scenarios!T57</f>
        <v>-0.42702272074259945</v>
      </c>
      <c r="DC52" s="211">
        <f>scenarios!AC57</f>
        <v>-0.42702272074259945</v>
      </c>
      <c r="DD52" s="407">
        <f>scenarios!AL57</f>
        <v>-0.42702272074259945</v>
      </c>
      <c r="DE52" s="407">
        <f>scenarios!AU57</f>
        <v>-0.31567354075958598</v>
      </c>
      <c r="DF52" s="407">
        <f>scenarios!BM57</f>
        <v>1.4876242770990411E-3</v>
      </c>
      <c r="DG52" s="626">
        <f>CA52/scenarios!$B57*1000000</f>
        <v>-2.2381875136734664E-2</v>
      </c>
      <c r="DH52" s="626">
        <f>CB52/scenarios!$B57*1000000</f>
        <v>-0.22958706949631111</v>
      </c>
      <c r="DI52" s="626">
        <f>CC52/scenarios!$B57*1000000</f>
        <v>0.26711014229468855</v>
      </c>
      <c r="DJ52" s="626">
        <f>CD52/scenarios!$B57*1000000</f>
        <v>-1.2939279269214188</v>
      </c>
      <c r="DL52" s="79">
        <f t="shared" si="42"/>
        <v>2053</v>
      </c>
      <c r="DM52" s="299">
        <f t="shared" si="43"/>
        <v>2.4805841839941318</v>
      </c>
      <c r="DN52" s="211">
        <f t="shared" si="44"/>
        <v>-4.3499999999999996</v>
      </c>
      <c r="DO52" s="211">
        <f t="shared" si="45"/>
        <v>-2.1018726908664247</v>
      </c>
      <c r="DP52" s="211">
        <f t="shared" si="46"/>
        <v>-4.3499999999999996</v>
      </c>
      <c r="DQ52" s="211">
        <f t="shared" si="47"/>
        <v>0.23948123334751958</v>
      </c>
      <c r="DR52" s="293">
        <f t="shared" si="48"/>
        <v>9.1824553318918978E-2</v>
      </c>
      <c r="DS52" s="631">
        <f t="shared" si="28"/>
        <v>1.89461848473195</v>
      </c>
      <c r="DT52" s="632">
        <f t="shared" si="32"/>
        <v>0.60188162999997985</v>
      </c>
      <c r="DU52" s="632">
        <f t="shared" si="33"/>
        <v>8.4260464471999512</v>
      </c>
      <c r="DV52" s="633">
        <f t="shared" si="34"/>
        <v>-2.9742000000001099</v>
      </c>
    </row>
    <row r="53" spans="5:126" x14ac:dyDescent="0.25">
      <c r="E53" s="55"/>
      <c r="BT53" s="79">
        <f t="shared" si="15"/>
        <v>2062</v>
      </c>
      <c r="BU53" s="280">
        <f>scenarios!E58</f>
        <v>-0.35476699361583552</v>
      </c>
      <c r="BV53" s="280">
        <f>scenarios!M58</f>
        <v>-4.3499999999999996</v>
      </c>
      <c r="BW53" s="280">
        <f>scenarios!V58</f>
        <v>-4.3499999999999996</v>
      </c>
      <c r="BX53" s="399">
        <f>scenarios!AE58</f>
        <v>-4.3499999999999996</v>
      </c>
      <c r="BY53" s="399">
        <f>scenarios!AN58</f>
        <v>-3.6476053975825229</v>
      </c>
      <c r="BZ53" s="399">
        <f>scenarios!BF58</f>
        <v>1.2069122650795593E-2</v>
      </c>
      <c r="CA53" s="280">
        <f>'IPCC SR15 paths P1-P4'!C59</f>
        <v>-0.38824014044803334</v>
      </c>
      <c r="CB53" s="399">
        <f>'IPCC SR15 paths P1-P4'!E59</f>
        <v>-2.4963512399999672</v>
      </c>
      <c r="CC53" s="616">
        <f>'IPCC SR15 paths P1-P4'!G50</f>
        <v>2.1920400301999052</v>
      </c>
      <c r="CD53" s="399">
        <f>'IPCC SR15 paths P1-P4'!I59</f>
        <v>-13.521999999999935</v>
      </c>
      <c r="CF53" s="79">
        <f t="shared" si="16"/>
        <v>2062</v>
      </c>
      <c r="CG53" s="278" t="e">
        <f>IF($BU52&gt;'goal seek'!$F$31,$BU53/$BU52-1,#N/A)</f>
        <v>#N/A</v>
      </c>
      <c r="CH53" s="278" t="e">
        <f>IF(BV52&gt;'goal seek'!$F$28,BV53/BV52-1,#N/A)</f>
        <v>#N/A</v>
      </c>
      <c r="CI53" s="278" t="e">
        <f>IF(BW52&gt;'goal seek'!$F$28,BW53/BW52-1,#N/A)</f>
        <v>#N/A</v>
      </c>
      <c r="CJ53" s="402" t="e">
        <f>IF(BX52&gt;'goal seek'!$F$28,BX53/BX52-1,#N/A)</f>
        <v>#N/A</v>
      </c>
      <c r="CK53" s="402" t="e">
        <f>IF(BY52&gt;'goal seek'!$F$28,BY53/BY52-1,#N/A)</f>
        <v>#N/A</v>
      </c>
      <c r="CL53" s="402" t="e">
        <f>IF(BZ52&gt;'goal seek'!$F$28,BZ53/BZ52-1,#N/A)</f>
        <v>#N/A</v>
      </c>
      <c r="CM53" s="622" t="e">
        <f t="shared" si="17"/>
        <v>#N/A</v>
      </c>
      <c r="CN53" s="402" t="e">
        <f t="shared" si="29"/>
        <v>#N/A</v>
      </c>
      <c r="CO53" s="194">
        <f t="shared" si="30"/>
        <v>-0.19439931198829119</v>
      </c>
      <c r="CP53" s="402" t="e">
        <f t="shared" si="31"/>
        <v>#N/A</v>
      </c>
      <c r="CR53" s="79">
        <f t="shared" si="18"/>
        <v>2062</v>
      </c>
      <c r="CS53" s="278">
        <f t="shared" si="36"/>
        <v>0</v>
      </c>
      <c r="CT53" s="278">
        <f t="shared" si="37"/>
        <v>0</v>
      </c>
      <c r="CU53" s="278">
        <f t="shared" si="38"/>
        <v>0</v>
      </c>
      <c r="CV53" s="402">
        <f t="shared" si="39"/>
        <v>0</v>
      </c>
      <c r="CW53" s="402">
        <f t="shared" si="40"/>
        <v>0</v>
      </c>
      <c r="CX53" s="402">
        <f t="shared" si="41"/>
        <v>0</v>
      </c>
      <c r="CZ53" s="79">
        <f t="shared" si="35"/>
        <v>2062</v>
      </c>
      <c r="DA53" s="299">
        <f>scenarios!K58</f>
        <v>-3.4709214853405231E-2</v>
      </c>
      <c r="DB53" s="407">
        <f>scenarios!T58</f>
        <v>-0.42558943568411306</v>
      </c>
      <c r="DC53" s="211">
        <f>scenarios!AC58</f>
        <v>-0.42558943568411306</v>
      </c>
      <c r="DD53" s="407">
        <f>scenarios!AL58</f>
        <v>-0.42558943568411306</v>
      </c>
      <c r="DE53" s="407">
        <f>scenarios!AU58</f>
        <v>-0.35686949948401625</v>
      </c>
      <c r="DF53" s="407">
        <f>scenarios!BM58</f>
        <v>1.180802551299872E-3</v>
      </c>
      <c r="DG53" s="626">
        <f>CA53/scenarios!$B58*1000000</f>
        <v>-3.7984115467402137E-2</v>
      </c>
      <c r="DH53" s="626">
        <f>CB53/scenarios!$B58*1000000</f>
        <v>-0.24423464724159125</v>
      </c>
      <c r="DI53" s="626">
        <f>CC53/scenarios!$B58*1000000</f>
        <v>0.2144618573447733</v>
      </c>
      <c r="DJ53" s="626">
        <f>CD53/scenarios!$B58*1000000</f>
        <v>-1.3229472067403558</v>
      </c>
      <c r="DL53" s="79">
        <f t="shared" si="42"/>
        <v>2054</v>
      </c>
      <c r="DM53" s="299">
        <f t="shared" si="43"/>
        <v>2.165545164259691</v>
      </c>
      <c r="DN53" s="211">
        <f t="shared" si="44"/>
        <v>-4.3499999999999996</v>
      </c>
      <c r="DO53" s="211">
        <f t="shared" si="45"/>
        <v>-2.7240213580343533</v>
      </c>
      <c r="DP53" s="211">
        <f t="shared" si="46"/>
        <v>-4.3499999999999996</v>
      </c>
      <c r="DQ53" s="211">
        <f t="shared" si="47"/>
        <v>-0.19241728120026291</v>
      </c>
      <c r="DR53" s="293">
        <f t="shared" si="48"/>
        <v>7.3465600361367511E-2</v>
      </c>
      <c r="DS53" s="631">
        <f t="shared" si="28"/>
        <v>1.6142787369759617</v>
      </c>
      <c r="DT53" s="632">
        <f t="shared" si="32"/>
        <v>0.2043029399999341</v>
      </c>
      <c r="DU53" s="632">
        <f t="shared" si="33"/>
        <v>7.6515257089999977</v>
      </c>
      <c r="DV53" s="633">
        <f t="shared" si="34"/>
        <v>-4.383600000000115</v>
      </c>
    </row>
    <row r="54" spans="5:126" x14ac:dyDescent="0.25">
      <c r="BT54" s="79">
        <f>BT53+1</f>
        <v>2063</v>
      </c>
      <c r="BU54" s="280">
        <f>scenarios!E59</f>
        <v>-0.66980601335027634</v>
      </c>
      <c r="BV54" s="280">
        <f>scenarios!M59</f>
        <v>-4.3499999999999996</v>
      </c>
      <c r="BW54" s="280">
        <f>scenarios!V59</f>
        <v>-4.3499999999999996</v>
      </c>
      <c r="BX54" s="399">
        <f>scenarios!AE59</f>
        <v>-4.3499999999999996</v>
      </c>
      <c r="BY54" s="399">
        <f>scenarios!AN59</f>
        <v>-4.0795039121303054</v>
      </c>
      <c r="BZ54" s="399">
        <f>scenarios!BF59</f>
        <v>9.6077035150404153E-3</v>
      </c>
      <c r="CA54" s="280">
        <f>'IPCC SR15 paths P1-P4'!C60</f>
        <v>-0.54848033589200895</v>
      </c>
      <c r="CB54" s="399">
        <f>'IPCC SR15 paths P1-P4'!E60</f>
        <v>-2.6539422599999511</v>
      </c>
      <c r="CC54" s="616">
        <f>'IPCC SR15 paths P1-P4'!G51</f>
        <v>1.6630793675999485</v>
      </c>
      <c r="CD54" s="399">
        <f>'IPCC SR15 paths P1-P4'!I60</f>
        <v>-13.862999999999943</v>
      </c>
      <c r="CF54" s="79">
        <f t="shared" si="16"/>
        <v>2063</v>
      </c>
      <c r="CG54" s="278" t="e">
        <f>IF($BU53&gt;'goal seek'!$F$31,$BU54/$BU53-1,#N/A)</f>
        <v>#N/A</v>
      </c>
      <c r="CH54" s="278" t="e">
        <f>IF(BV53&gt;'goal seek'!$F$28,BV54/BV53-1,#N/A)</f>
        <v>#N/A</v>
      </c>
      <c r="CI54" s="278" t="e">
        <f>IF(BW53&gt;'goal seek'!$F$28,BW54/BW53-1,#N/A)</f>
        <v>#N/A</v>
      </c>
      <c r="CJ54" s="402" t="e">
        <f>IF(BX53&gt;'goal seek'!$F$28,BX54/BX53-1,#N/A)</f>
        <v>#N/A</v>
      </c>
      <c r="CK54" s="402" t="e">
        <f>IF(BY53&gt;'goal seek'!$F$28,BY54/BY53-1,#N/A)</f>
        <v>#N/A</v>
      </c>
      <c r="CL54" s="402" t="e">
        <f>IF(BZ53&gt;'goal seek'!$F$28,BZ54/BZ53-1,#N/A)</f>
        <v>#N/A</v>
      </c>
      <c r="CM54" s="622" t="e">
        <f t="shared" si="17"/>
        <v>#N/A</v>
      </c>
      <c r="CN54" s="402" t="e">
        <f t="shared" si="29"/>
        <v>#N/A</v>
      </c>
      <c r="CO54" s="194">
        <f t="shared" si="30"/>
        <v>-0.24130976410668814</v>
      </c>
      <c r="CP54" s="402" t="e">
        <f t="shared" si="31"/>
        <v>#N/A</v>
      </c>
      <c r="CR54" s="79">
        <f t="shared" si="18"/>
        <v>2063</v>
      </c>
      <c r="CS54" s="278">
        <f t="shared" si="36"/>
        <v>0</v>
      </c>
      <c r="CT54" s="278">
        <f t="shared" si="37"/>
        <v>0</v>
      </c>
      <c r="CU54" s="278">
        <f t="shared" si="38"/>
        <v>0</v>
      </c>
      <c r="CV54" s="402">
        <f t="shared" si="39"/>
        <v>0</v>
      </c>
      <c r="CW54" s="402">
        <f t="shared" si="40"/>
        <v>0</v>
      </c>
      <c r="CX54" s="402">
        <f t="shared" si="41"/>
        <v>0</v>
      </c>
      <c r="CZ54" s="79">
        <f t="shared" si="35"/>
        <v>2063</v>
      </c>
      <c r="DA54" s="299">
        <f>scenarios!K59</f>
        <v>-6.5319000244401001E-2</v>
      </c>
      <c r="DB54" s="407">
        <f>scenarios!T59</f>
        <v>-0.42420886853781348</v>
      </c>
      <c r="DC54" s="211">
        <f>scenarios!AC59</f>
        <v>-0.42420886853781348</v>
      </c>
      <c r="DD54" s="407">
        <f>scenarios!AL59</f>
        <v>-0.42420886853781348</v>
      </c>
      <c r="DE54" s="407">
        <f>scenarios!AU59</f>
        <v>-0.39783028477250132</v>
      </c>
      <c r="DF54" s="407">
        <f>scenarios!BM59</f>
        <v>9.3693633042806162E-4</v>
      </c>
      <c r="DG54" s="626">
        <f>CA54/scenarios!$B59*1000000</f>
        <v>-5.3487407518158392E-2</v>
      </c>
      <c r="DH54" s="626">
        <f>CB54/scenarios!$B59*1000000</f>
        <v>-0.25881053868488896</v>
      </c>
      <c r="DI54" s="626">
        <f>CC54/scenarios!$B59*1000000</f>
        <v>0.16218230271681761</v>
      </c>
      <c r="DJ54" s="626">
        <f>CD54/scenarios!$B59*1000000</f>
        <v>-1.3519097803539504</v>
      </c>
      <c r="DL54" s="79">
        <f t="shared" si="42"/>
        <v>2055</v>
      </c>
      <c r="DM54" s="299">
        <f t="shared" si="43"/>
        <v>1.8505061445252502</v>
      </c>
      <c r="DN54" s="211">
        <f t="shared" si="44"/>
        <v>-4.3499999999999996</v>
      </c>
      <c r="DO54" s="211">
        <f t="shared" si="45"/>
        <v>-3.3461700252022819</v>
      </c>
      <c r="DP54" s="211">
        <f t="shared" si="46"/>
        <v>-4.3499999999999996</v>
      </c>
      <c r="DQ54" s="211">
        <f t="shared" si="47"/>
        <v>-0.62431579574804541</v>
      </c>
      <c r="DR54" s="293">
        <f t="shared" si="48"/>
        <v>5.8737740815139106E-2</v>
      </c>
      <c r="DS54" s="631">
        <f t="shared" si="28"/>
        <v>1.3339389892199733</v>
      </c>
      <c r="DT54" s="632">
        <f t="shared" si="32"/>
        <v>-0.19327574999999797</v>
      </c>
      <c r="DU54" s="632">
        <f t="shared" si="33"/>
        <v>6.8770049707998169</v>
      </c>
      <c r="DV54" s="633">
        <f t="shared" si="34"/>
        <v>-5.7930000000001201</v>
      </c>
    </row>
    <row r="55" spans="5:126" x14ac:dyDescent="0.25">
      <c r="BT55" s="79">
        <f t="shared" si="15"/>
        <v>2064</v>
      </c>
      <c r="BU55" s="280">
        <f>scenarios!E60</f>
        <v>-0.98484503308471716</v>
      </c>
      <c r="BV55" s="280">
        <f>scenarios!M60</f>
        <v>-4.3499999999999996</v>
      </c>
      <c r="BW55" s="280">
        <f>scenarios!V60</f>
        <v>-4.3499999999999996</v>
      </c>
      <c r="BX55" s="399">
        <f>scenarios!AE60</f>
        <v>-4.3499999999999996</v>
      </c>
      <c r="BY55" s="399">
        <f>scenarios!AN60</f>
        <v>-4.3499999999999996</v>
      </c>
      <c r="BZ55" s="399">
        <f>scenarios!BF60</f>
        <v>7.6448952630430445E-3</v>
      </c>
      <c r="CA55" s="280">
        <f>'IPCC SR15 paths P1-P4'!C61</f>
        <v>-0.7087205313360414</v>
      </c>
      <c r="CB55" s="399">
        <f>'IPCC SR15 paths P1-P4'!E61</f>
        <v>-2.8115332799999919</v>
      </c>
      <c r="CC55" s="616">
        <f>'IPCC SR15 paths P1-P4'!G52</f>
        <v>1.1341187049999917</v>
      </c>
      <c r="CD55" s="399">
        <f>'IPCC SR15 paths P1-P4'!I61</f>
        <v>-14.203999999999951</v>
      </c>
      <c r="CF55" s="79">
        <f t="shared" si="16"/>
        <v>2064</v>
      </c>
      <c r="CG55" s="278" t="e">
        <f>IF($BU54&gt;'goal seek'!$F$31,$BU55/$BU54-1,#N/A)</f>
        <v>#N/A</v>
      </c>
      <c r="CH55" s="278" t="e">
        <f>IF(BV54&gt;'goal seek'!$F$28,BV55/BV54-1,#N/A)</f>
        <v>#N/A</v>
      </c>
      <c r="CI55" s="278" t="e">
        <f>IF(BW54&gt;'goal seek'!$F$28,BW55/BW54-1,#N/A)</f>
        <v>#N/A</v>
      </c>
      <c r="CJ55" s="402" t="e">
        <f>IF(BX54&gt;'goal seek'!$F$28,BX55/BX54-1,#N/A)</f>
        <v>#N/A</v>
      </c>
      <c r="CK55" s="402" t="e">
        <f>IF(BY54&gt;'goal seek'!$F$28,BY55/BY54-1,#N/A)</f>
        <v>#N/A</v>
      </c>
      <c r="CL55" s="402" t="e">
        <f>IF(BZ54&gt;'goal seek'!$F$28,BZ55/BZ54-1,#N/A)</f>
        <v>#N/A</v>
      </c>
      <c r="CM55" s="622" t="e">
        <f t="shared" si="17"/>
        <v>#N/A</v>
      </c>
      <c r="CN55" s="402" t="e">
        <f t="shared" si="29"/>
        <v>#N/A</v>
      </c>
      <c r="CO55" s="194">
        <f t="shared" si="30"/>
        <v>-0.31806098548580974</v>
      </c>
      <c r="CP55" s="402" t="e">
        <f t="shared" si="31"/>
        <v>#N/A</v>
      </c>
      <c r="CR55" s="79">
        <f t="shared" si="18"/>
        <v>2064</v>
      </c>
      <c r="CS55" s="278">
        <f t="shared" si="36"/>
        <v>0</v>
      </c>
      <c r="CT55" s="278">
        <f t="shared" si="37"/>
        <v>0</v>
      </c>
      <c r="CU55" s="278">
        <f t="shared" si="38"/>
        <v>0</v>
      </c>
      <c r="CV55" s="402">
        <f t="shared" si="39"/>
        <v>0</v>
      </c>
      <c r="CW55" s="402">
        <f t="shared" si="40"/>
        <v>0</v>
      </c>
      <c r="CX55" s="402">
        <f t="shared" si="41"/>
        <v>0</v>
      </c>
      <c r="CZ55" s="79">
        <f t="shared" si="35"/>
        <v>2064</v>
      </c>
      <c r="DA55" s="299">
        <f>scenarios!K60</f>
        <v>-9.5740431780751492E-2</v>
      </c>
      <c r="DB55" s="407">
        <f>scenarios!T60</f>
        <v>-0.42287960466410141</v>
      </c>
      <c r="DC55" s="211">
        <f>scenarios!AC60</f>
        <v>-0.42287960466410141</v>
      </c>
      <c r="DD55" s="407">
        <f>scenarios!AL60</f>
        <v>-0.42287960466410141</v>
      </c>
      <c r="DE55" s="407">
        <f>scenarios!AU60</f>
        <v>-0.42287960466410141</v>
      </c>
      <c r="DF55" s="407">
        <f>scenarios!BM60</f>
        <v>7.4318857161703548E-4</v>
      </c>
      <c r="DG55" s="626">
        <f>CA55/scenarios!$B60*1000000</f>
        <v>-6.8897346691659089E-2</v>
      </c>
      <c r="DH55" s="626">
        <f>CB55/scenarios!$B60*1000000</f>
        <v>-0.27331955906812894</v>
      </c>
      <c r="DI55" s="626">
        <f>CC55/scenarios!$B60*1000000</f>
        <v>0.11025187807185266</v>
      </c>
      <c r="DJ55" s="626">
        <f>CD55/scenarios!$B60*1000000</f>
        <v>-1.3808234263560633</v>
      </c>
      <c r="DL55" s="79">
        <f t="shared" si="42"/>
        <v>2056</v>
      </c>
      <c r="DM55" s="299">
        <f t="shared" si="43"/>
        <v>1.5354671247908094</v>
      </c>
      <c r="DN55" s="211">
        <f t="shared" si="44"/>
        <v>-4.3499999999999996</v>
      </c>
      <c r="DO55" s="211">
        <f t="shared" si="45"/>
        <v>-3.9683186923702105</v>
      </c>
      <c r="DP55" s="211">
        <f t="shared" si="46"/>
        <v>-4.3499999999999996</v>
      </c>
      <c r="DQ55" s="211">
        <f t="shared" si="47"/>
        <v>-1.0562143102958279</v>
      </c>
      <c r="DR55" s="293">
        <f t="shared" si="48"/>
        <v>4.6932427746303962E-2</v>
      </c>
      <c r="DS55" s="631">
        <f t="shared" si="28"/>
        <v>1.053599241463985</v>
      </c>
      <c r="DT55" s="632">
        <f t="shared" si="32"/>
        <v>-0.59085444000004372</v>
      </c>
      <c r="DU55" s="632">
        <f t="shared" si="33"/>
        <v>6.1024842325998634</v>
      </c>
      <c r="DV55" s="633">
        <f t="shared" si="34"/>
        <v>-7.2024000000001251</v>
      </c>
    </row>
    <row r="56" spans="5:126" x14ac:dyDescent="0.25">
      <c r="BT56" s="79">
        <f t="shared" si="15"/>
        <v>2065</v>
      </c>
      <c r="BU56" s="280">
        <f>scenarios!E61</f>
        <v>-1.299884052819158</v>
      </c>
      <c r="BV56" s="280">
        <f>scenarios!M61</f>
        <v>-4.3499999999999996</v>
      </c>
      <c r="BW56" s="280">
        <f>scenarios!V61</f>
        <v>-4.3499999999999996</v>
      </c>
      <c r="BX56" s="399">
        <f>scenarios!AE61</f>
        <v>-4.3499999999999996</v>
      </c>
      <c r="BY56" s="399">
        <f>scenarios!AN61</f>
        <v>-4.3499999999999996</v>
      </c>
      <c r="BZ56" s="399">
        <f>scenarios!BF61</f>
        <v>6.0805010261560204E-3</v>
      </c>
      <c r="CA56" s="280">
        <f>'IPCC SR15 paths P1-P4'!C62</f>
        <v>-0.86896072678001701</v>
      </c>
      <c r="CB56" s="399">
        <f>'IPCC SR15 paths P1-P4'!E62</f>
        <v>-2.9691242999999758</v>
      </c>
      <c r="CC56" s="616">
        <f>'IPCC SR15 paths P1-P4'!G53</f>
        <v>0.60515804239980753</v>
      </c>
      <c r="CD56" s="399">
        <f>'IPCC SR15 paths P1-P4'!I62</f>
        <v>-14.544999999999959</v>
      </c>
      <c r="CF56" s="79">
        <f t="shared" si="16"/>
        <v>2065</v>
      </c>
      <c r="CG56" s="278" t="e">
        <f>IF($BU55&gt;'goal seek'!$F$31,$BU56/$BU55-1,#N/A)</f>
        <v>#N/A</v>
      </c>
      <c r="CH56" s="278" t="e">
        <f>IF(BV55&gt;'goal seek'!$F$28,BV56/BV55-1,#N/A)</f>
        <v>#N/A</v>
      </c>
      <c r="CI56" s="278" t="e">
        <f>IF(BW55&gt;'goal seek'!$F$28,BW56/BW55-1,#N/A)</f>
        <v>#N/A</v>
      </c>
      <c r="CJ56" s="402" t="e">
        <f>IF(BX55&gt;'goal seek'!$F$28,BX56/BX55-1,#N/A)</f>
        <v>#N/A</v>
      </c>
      <c r="CK56" s="402" t="e">
        <f>IF(BY55&gt;'goal seek'!$F$28,BY56/BY55-1,#N/A)</f>
        <v>#N/A</v>
      </c>
      <c r="CL56" s="402" t="e">
        <f>IF(BZ55&gt;'goal seek'!$F$28,BZ56/BZ55-1,#N/A)</f>
        <v>#N/A</v>
      </c>
      <c r="CM56" s="622" t="e">
        <f t="shared" si="17"/>
        <v>#N/A</v>
      </c>
      <c r="CN56" s="402" t="e">
        <f t="shared" si="29"/>
        <v>#N/A</v>
      </c>
      <c r="CO56" s="194">
        <f t="shared" si="30"/>
        <v>-0.46640678816789993</v>
      </c>
      <c r="CP56" s="402" t="e">
        <f t="shared" si="31"/>
        <v>#N/A</v>
      </c>
      <c r="CR56" s="79">
        <f t="shared" si="18"/>
        <v>2065</v>
      </c>
      <c r="CS56" s="278">
        <f t="shared" si="36"/>
        <v>0</v>
      </c>
      <c r="CT56" s="278">
        <f t="shared" si="37"/>
        <v>0</v>
      </c>
      <c r="CU56" s="278">
        <f t="shared" si="38"/>
        <v>0</v>
      </c>
      <c r="CV56" s="402">
        <f t="shared" si="39"/>
        <v>0</v>
      </c>
      <c r="CW56" s="402">
        <f t="shared" si="40"/>
        <v>0</v>
      </c>
      <c r="CX56" s="402">
        <f t="shared" si="41"/>
        <v>0</v>
      </c>
      <c r="CZ56" s="79">
        <f t="shared" si="35"/>
        <v>2065</v>
      </c>
      <c r="DA56" s="299">
        <f>scenarios!K61</f>
        <v>-0.12598424542683759</v>
      </c>
      <c r="DB56" s="407">
        <f>scenarios!T61</f>
        <v>-0.42160026997653038</v>
      </c>
      <c r="DC56" s="211">
        <f>scenarios!AC61</f>
        <v>-0.42160026997653038</v>
      </c>
      <c r="DD56" s="407">
        <f>scenarios!AL61</f>
        <v>-0.42160026997653038</v>
      </c>
      <c r="DE56" s="407">
        <f>scenarios!AU61</f>
        <v>-0.42160026997653038</v>
      </c>
      <c r="DF56" s="407">
        <f>scenarios!BM61</f>
        <v>5.8931974119998804E-4</v>
      </c>
      <c r="DG56" s="626">
        <f>CA56/scenarios!$B61*1000000</f>
        <v>-8.421932804815109E-2</v>
      </c>
      <c r="DH56" s="626">
        <f>CB56/scenarios!$B61*1000000</f>
        <v>-0.28776634631583142</v>
      </c>
      <c r="DI56" s="626">
        <f>CC56/scenarios!$B61*1000000</f>
        <v>5.8651676794075278E-2</v>
      </c>
      <c r="DJ56" s="626">
        <f>CD56/scenarios!$B61*1000000</f>
        <v>-1.4096956153583029</v>
      </c>
      <c r="DL56" s="79">
        <f t="shared" si="42"/>
        <v>2057</v>
      </c>
      <c r="DM56" s="299">
        <f t="shared" si="43"/>
        <v>1.2204281050563686</v>
      </c>
      <c r="DN56" s="211">
        <f t="shared" si="44"/>
        <v>-4.3499999999999996</v>
      </c>
      <c r="DO56" s="211">
        <f t="shared" si="45"/>
        <v>-4.3499999999999996</v>
      </c>
      <c r="DP56" s="211">
        <f t="shared" si="46"/>
        <v>-4.3499999999999996</v>
      </c>
      <c r="DQ56" s="211">
        <f t="shared" si="47"/>
        <v>-1.4881128248436104</v>
      </c>
      <c r="DR56" s="293">
        <f t="shared" si="48"/>
        <v>3.7477005992540335E-2</v>
      </c>
      <c r="DS56" s="631">
        <f t="shared" si="28"/>
        <v>0.77325949370799663</v>
      </c>
      <c r="DT56" s="632">
        <f t="shared" si="32"/>
        <v>-0.98843312999997579</v>
      </c>
      <c r="DU56" s="632">
        <f t="shared" si="33"/>
        <v>5.3279634943999099</v>
      </c>
      <c r="DV56" s="633">
        <f t="shared" si="34"/>
        <v>-8.6118000000001302</v>
      </c>
    </row>
    <row r="57" spans="5:126" x14ac:dyDescent="0.25">
      <c r="BT57" s="79">
        <f t="shared" si="15"/>
        <v>2066</v>
      </c>
      <c r="BU57" s="280">
        <f>scenarios!E62</f>
        <v>-1.6149230725535988</v>
      </c>
      <c r="BV57" s="280">
        <f>scenarios!M62</f>
        <v>-4.3499999999999996</v>
      </c>
      <c r="BW57" s="280">
        <f>scenarios!V62</f>
        <v>-4.3499999999999996</v>
      </c>
      <c r="BX57" s="399">
        <f>scenarios!AE62</f>
        <v>-4.3499999999999996</v>
      </c>
      <c r="BY57" s="399">
        <f>scenarios!AN62</f>
        <v>-4.3499999999999996</v>
      </c>
      <c r="BZ57" s="399">
        <f>scenarios!BF62</f>
        <v>4.8342646991232363E-3</v>
      </c>
      <c r="CA57" s="280">
        <f>'IPCC SR15 paths P1-P4'!C63</f>
        <v>-1.0292009222240495</v>
      </c>
      <c r="CB57" s="399">
        <f>'IPCC SR15 paths P1-P4'!E63</f>
        <v>-3.1267153199999598</v>
      </c>
      <c r="CC57" s="616">
        <f>'IPCC SR15 paths P1-P4'!G54</f>
        <v>7.6197379799850751E-2</v>
      </c>
      <c r="CD57" s="399">
        <f>'IPCC SR15 paths P1-P4'!I63</f>
        <v>-14.885999999999967</v>
      </c>
      <c r="CF57" s="79">
        <f t="shared" si="16"/>
        <v>2066</v>
      </c>
      <c r="CG57" s="278" t="e">
        <f>IF($BU56&gt;'goal seek'!$F$31,$BU57/$BU56-1,#N/A)</f>
        <v>#N/A</v>
      </c>
      <c r="CH57" s="278" t="e">
        <f>IF(BV56&gt;'goal seek'!$F$28,BV57/BV56-1,#N/A)</f>
        <v>#N/A</v>
      </c>
      <c r="CI57" s="278" t="e">
        <f>IF(BW56&gt;'goal seek'!$F$28,BW57/BW56-1,#N/A)</f>
        <v>#N/A</v>
      </c>
      <c r="CJ57" s="402" t="e">
        <f>IF(BX56&gt;'goal seek'!$F$28,BX57/BX56-1,#N/A)</f>
        <v>#N/A</v>
      </c>
      <c r="CK57" s="402" t="e">
        <f>IF(BY56&gt;'goal seek'!$F$28,BY57/BY56-1,#N/A)</f>
        <v>#N/A</v>
      </c>
      <c r="CL57" s="402" t="e">
        <f>IF(BZ56&gt;'goal seek'!$F$28,BZ57/BZ56-1,#N/A)</f>
        <v>#N/A</v>
      </c>
      <c r="CM57" s="622" t="e">
        <f t="shared" si="17"/>
        <v>#N/A</v>
      </c>
      <c r="CN57" s="402" t="e">
        <f t="shared" si="29"/>
        <v>#N/A</v>
      </c>
      <c r="CO57" s="194">
        <f t="shared" si="30"/>
        <v>-0.87408680962466712</v>
      </c>
      <c r="CP57" s="402" t="e">
        <f t="shared" si="31"/>
        <v>#N/A</v>
      </c>
      <c r="CR57" s="79">
        <f t="shared" si="18"/>
        <v>2066</v>
      </c>
      <c r="CS57" s="278">
        <f t="shared" si="36"/>
        <v>0</v>
      </c>
      <c r="CT57" s="278">
        <f t="shared" si="37"/>
        <v>0</v>
      </c>
      <c r="CU57" s="278">
        <f t="shared" si="38"/>
        <v>0</v>
      </c>
      <c r="CV57" s="402">
        <f t="shared" si="39"/>
        <v>0</v>
      </c>
      <c r="CW57" s="402">
        <f t="shared" si="40"/>
        <v>0</v>
      </c>
      <c r="CX57" s="402">
        <f t="shared" si="41"/>
        <v>0</v>
      </c>
      <c r="CZ57" s="79">
        <f t="shared" si="35"/>
        <v>2066</v>
      </c>
      <c r="DA57" s="299">
        <f>scenarios!K62</f>
        <v>-0.15606073689232022</v>
      </c>
      <c r="DB57" s="407">
        <f>scenarios!T62</f>
        <v>-0.42036937673330671</v>
      </c>
      <c r="DC57" s="211">
        <f>scenarios!AC62</f>
        <v>-0.42036937673330671</v>
      </c>
      <c r="DD57" s="407">
        <f>scenarios!AL62</f>
        <v>-0.42036937673330671</v>
      </c>
      <c r="DE57" s="407">
        <f>scenarios!AU62</f>
        <v>-0.42036937673330671</v>
      </c>
      <c r="DF57" s="407">
        <f>scenarios!BM62</f>
        <v>4.6716708931822095E-4</v>
      </c>
      <c r="DG57" s="626">
        <f>CA57/scenarios!$B62*1000000</f>
        <v>-9.9458517289348999E-2</v>
      </c>
      <c r="DH57" s="626">
        <f>CB57/scenarios!$B62*1000000</f>
        <v>-0.30215525753812983</v>
      </c>
      <c r="DI57" s="626">
        <f>CC57/scenarios!$B62*1000000</f>
        <v>7.3634586333734047E-3</v>
      </c>
      <c r="DJ57" s="626">
        <f>CD57/scenarios!$B62*1000000</f>
        <v>-1.4385329981728712</v>
      </c>
      <c r="DL57" s="79">
        <f t="shared" si="42"/>
        <v>2058</v>
      </c>
      <c r="DM57" s="299">
        <f t="shared" si="43"/>
        <v>0.90538908532192774</v>
      </c>
      <c r="DN57" s="211">
        <f t="shared" si="44"/>
        <v>-4.3499999999999996</v>
      </c>
      <c r="DO57" s="211">
        <f t="shared" si="45"/>
        <v>-4.3499999999999996</v>
      </c>
      <c r="DP57" s="211">
        <f t="shared" si="46"/>
        <v>-4.3499999999999996</v>
      </c>
      <c r="DQ57" s="211">
        <f t="shared" si="47"/>
        <v>-1.9200113393913929</v>
      </c>
      <c r="DR57" s="293">
        <f t="shared" si="48"/>
        <v>2.9909240852516977E-2</v>
      </c>
      <c r="DS57" s="631">
        <f t="shared" si="28"/>
        <v>0.49291974595200827</v>
      </c>
      <c r="DT57" s="632">
        <f t="shared" si="32"/>
        <v>-1.3860118200000215</v>
      </c>
      <c r="DU57" s="632">
        <f t="shared" si="33"/>
        <v>4.5534427561999564</v>
      </c>
      <c r="DV57" s="633">
        <f t="shared" si="34"/>
        <v>-10.021200000000135</v>
      </c>
    </row>
    <row r="58" spans="5:126" x14ac:dyDescent="0.25">
      <c r="BT58" s="79">
        <f t="shared" si="15"/>
        <v>2067</v>
      </c>
      <c r="BU58" s="280">
        <f>scenarios!E63</f>
        <v>-1.9299620922880396</v>
      </c>
      <c r="BV58" s="280">
        <f>scenarios!M63</f>
        <v>-4.3499999999999996</v>
      </c>
      <c r="BW58" s="280">
        <f>scenarios!V63</f>
        <v>-4.3499999999999996</v>
      </c>
      <c r="BX58" s="399">
        <f>scenarios!AE63</f>
        <v>-4.3499999999999996</v>
      </c>
      <c r="BY58" s="399">
        <f>scenarios!AN63</f>
        <v>-4.3499999999999996</v>
      </c>
      <c r="BZ58" s="399">
        <f>scenarios!BF63</f>
        <v>3.8419494262553113E-3</v>
      </c>
      <c r="CA58" s="280">
        <f>'IPCC SR15 paths P1-P4'!C64</f>
        <v>-1.1894411176680251</v>
      </c>
      <c r="CB58" s="399">
        <f>'IPCC SR15 paths P1-P4'!E64</f>
        <v>-3.2843063399999437</v>
      </c>
      <c r="CC58" s="616">
        <f>'IPCC SR15 paths P1-P4'!G55</f>
        <v>-0.45276328280010603</v>
      </c>
      <c r="CD58" s="399">
        <f>'IPCC SR15 paths P1-P4'!I64</f>
        <v>-15.226999999999975</v>
      </c>
      <c r="CF58" s="79">
        <f t="shared" si="16"/>
        <v>2067</v>
      </c>
      <c r="CG58" s="278" t="e">
        <f>IF($BU57&gt;'goal seek'!$F$31,$BU58/$BU57-1,#N/A)</f>
        <v>#N/A</v>
      </c>
      <c r="CH58" s="278" t="e">
        <f>IF(BV57&gt;'goal seek'!$F$28,BV58/BV57-1,#N/A)</f>
        <v>#N/A</v>
      </c>
      <c r="CI58" s="278" t="e">
        <f>IF(BW57&gt;'goal seek'!$F$28,BW58/BW57-1,#N/A)</f>
        <v>#N/A</v>
      </c>
      <c r="CJ58" s="402" t="e">
        <f>IF(BX57&gt;'goal seek'!$F$28,BX58/BX57-1,#N/A)</f>
        <v>#N/A</v>
      </c>
      <c r="CK58" s="402" t="e">
        <f>IF(BY57&gt;'goal seek'!$F$28,BY58/BY57-1,#N/A)</f>
        <v>#N/A</v>
      </c>
      <c r="CL58" s="402" t="e">
        <f>IF(BZ57&gt;'goal seek'!$F$28,BZ58/BZ57-1,#N/A)</f>
        <v>#N/A</v>
      </c>
      <c r="CM58" s="622" t="e">
        <f t="shared" si="17"/>
        <v>#N/A</v>
      </c>
      <c r="CN58" s="402" t="e">
        <f t="shared" si="29"/>
        <v>#N/A</v>
      </c>
      <c r="CO58" s="194">
        <f t="shared" si="30"/>
        <v>-6.9419796847265456</v>
      </c>
      <c r="CP58" s="402" t="e">
        <f t="shared" si="31"/>
        <v>#N/A</v>
      </c>
      <c r="CR58" s="79">
        <f t="shared" si="18"/>
        <v>2067</v>
      </c>
      <c r="CS58" s="278">
        <f t="shared" si="36"/>
        <v>0</v>
      </c>
      <c r="CT58" s="278">
        <f t="shared" si="37"/>
        <v>0</v>
      </c>
      <c r="CU58" s="278">
        <f t="shared" si="38"/>
        <v>0</v>
      </c>
      <c r="CV58" s="402">
        <f t="shared" si="39"/>
        <v>0</v>
      </c>
      <c r="CW58" s="402">
        <f t="shared" si="40"/>
        <v>0</v>
      </c>
      <c r="CX58" s="402">
        <f t="shared" si="41"/>
        <v>0</v>
      </c>
      <c r="CZ58" s="79">
        <f t="shared" si="35"/>
        <v>2067</v>
      </c>
      <c r="DA58" s="299">
        <f>scenarios!K63</f>
        <v>-0.18597979212623786</v>
      </c>
      <c r="DB58" s="407">
        <f>scenarios!T63</f>
        <v>-0.41918548503199965</v>
      </c>
      <c r="DC58" s="211">
        <f>scenarios!AC63</f>
        <v>-0.41918548503199965</v>
      </c>
      <c r="DD58" s="407">
        <f>scenarios!AL63</f>
        <v>-0.41918548503199965</v>
      </c>
      <c r="DE58" s="407">
        <f>scenarios!AU63</f>
        <v>-0.41918548503199965</v>
      </c>
      <c r="DF58" s="407">
        <f>scenarios!BM63</f>
        <v>3.7022745602603344E-4</v>
      </c>
      <c r="DG58" s="626">
        <f>CA58/scenarios!$B63*1000000</f>
        <v>-0.11461987398314365</v>
      </c>
      <c r="DH58" s="626">
        <f>CB58/scenarios!$B63*1000000</f>
        <v>-0.31649047037391903</v>
      </c>
      <c r="DI58" s="626">
        <f>CC58/scenarios!$B63*1000000</f>
        <v>-4.3630298001205256E-2</v>
      </c>
      <c r="DJ58" s="626">
        <f>CD58/scenarios!$B63*1000000</f>
        <v>-1.4673419265706318</v>
      </c>
      <c r="DL58" s="79">
        <f t="shared" si="42"/>
        <v>2059</v>
      </c>
      <c r="DM58" s="299">
        <f t="shared" si="43"/>
        <v>0.59035006558748693</v>
      </c>
      <c r="DN58" s="211">
        <f t="shared" si="44"/>
        <v>-4.3499999999999996</v>
      </c>
      <c r="DO58" s="211">
        <f t="shared" si="45"/>
        <v>-4.3499999999999996</v>
      </c>
      <c r="DP58" s="211">
        <f t="shared" si="46"/>
        <v>-4.3499999999999996</v>
      </c>
      <c r="DQ58" s="211">
        <f t="shared" si="47"/>
        <v>-2.3519098539391754</v>
      </c>
      <c r="DR58" s="293">
        <f t="shared" si="48"/>
        <v>2.3856470934856572E-2</v>
      </c>
      <c r="DS58" s="631">
        <f t="shared" si="28"/>
        <v>0.21257999819601991</v>
      </c>
      <c r="DT58" s="632">
        <f t="shared" si="32"/>
        <v>-1.7835905100000673</v>
      </c>
      <c r="DU58" s="632">
        <f t="shared" si="33"/>
        <v>3.7789220180000003</v>
      </c>
      <c r="DV58" s="633">
        <f t="shared" si="34"/>
        <v>-11.43060000000014</v>
      </c>
    </row>
    <row r="59" spans="5:126" x14ac:dyDescent="0.25">
      <c r="BT59" s="79">
        <f t="shared" si="15"/>
        <v>2068</v>
      </c>
      <c r="BU59" s="280">
        <f>scenarios!E64</f>
        <v>-2.2450011120224804</v>
      </c>
      <c r="BV59" s="280">
        <f>scenarios!M64</f>
        <v>-4.3499999999999996</v>
      </c>
      <c r="BW59" s="280">
        <f>scenarios!V64</f>
        <v>-4.3499999999999996</v>
      </c>
      <c r="BX59" s="399">
        <f>scenarios!AE64</f>
        <v>-4.3499999999999996</v>
      </c>
      <c r="BY59" s="399">
        <f>scenarios!AN64</f>
        <v>-4.3499999999999996</v>
      </c>
      <c r="BZ59" s="399">
        <f>scenarios!BF64</f>
        <v>3.0521757811871712E-3</v>
      </c>
      <c r="CA59" s="280">
        <f>'IPCC SR15 paths P1-P4'!C65</f>
        <v>-1.3496813131120575</v>
      </c>
      <c r="CB59" s="399">
        <f>'IPCC SR15 paths P1-P4'!E65</f>
        <v>-3.4418973599999845</v>
      </c>
      <c r="CC59" s="616">
        <f>'IPCC SR15 paths P1-P4'!G56</f>
        <v>-0.9817239454000628</v>
      </c>
      <c r="CD59" s="399">
        <f>'IPCC SR15 paths P1-P4'!I65</f>
        <v>-15.567999999999984</v>
      </c>
      <c r="CF59" s="79">
        <f t="shared" si="16"/>
        <v>2068</v>
      </c>
      <c r="CG59" s="278" t="e">
        <f>IF($BU58&gt;'goal seek'!$F$31,$BU59/$BU58-1,#N/A)</f>
        <v>#N/A</v>
      </c>
      <c r="CH59" s="278" t="e">
        <f>IF(BV58&gt;'goal seek'!$F$28,BV59/BV58-1,#N/A)</f>
        <v>#N/A</v>
      </c>
      <c r="CI59" s="278" t="e">
        <f>IF(BW58&gt;'goal seek'!$F$28,BW59/BW58-1,#N/A)</f>
        <v>#N/A</v>
      </c>
      <c r="CJ59" s="402" t="e">
        <f>IF(BX58&gt;'goal seek'!$F$28,BX59/BX58-1,#N/A)</f>
        <v>#N/A</v>
      </c>
      <c r="CK59" s="402" t="e">
        <f>IF(BY58&gt;'goal seek'!$F$28,BY59/BY58-1,#N/A)</f>
        <v>#N/A</v>
      </c>
      <c r="CL59" s="402" t="e">
        <f>IF(BZ58&gt;'goal seek'!$F$28,BZ59/BZ58-1,#N/A)</f>
        <v>#N/A</v>
      </c>
      <c r="CM59" s="622" t="e">
        <f t="shared" si="17"/>
        <v>#N/A</v>
      </c>
      <c r="CN59" s="402" t="e">
        <f t="shared" si="29"/>
        <v>#N/A</v>
      </c>
      <c r="CO59" s="194" t="e">
        <f t="shared" si="30"/>
        <v>#N/A</v>
      </c>
      <c r="CP59" s="402" t="e">
        <f t="shared" si="31"/>
        <v>#N/A</v>
      </c>
      <c r="CR59" s="79">
        <f t="shared" si="18"/>
        <v>2068</v>
      </c>
      <c r="CS59" s="278">
        <f t="shared" si="36"/>
        <v>0</v>
      </c>
      <c r="CT59" s="278">
        <f t="shared" si="37"/>
        <v>0</v>
      </c>
      <c r="CU59" s="278">
        <f t="shared" si="38"/>
        <v>0</v>
      </c>
      <c r="CV59" s="402">
        <f t="shared" si="39"/>
        <v>0</v>
      </c>
      <c r="CW59" s="402">
        <f t="shared" si="40"/>
        <v>0</v>
      </c>
      <c r="CX59" s="402">
        <f t="shared" si="41"/>
        <v>0</v>
      </c>
      <c r="CZ59" s="79">
        <f t="shared" si="35"/>
        <v>2068</v>
      </c>
      <c r="DA59" s="299">
        <f>scenarios!K64</f>
        <v>-0.2157509841537274</v>
      </c>
      <c r="DB59" s="407">
        <f>scenarios!T64</f>
        <v>-0.41804735687779748</v>
      </c>
      <c r="DC59" s="211">
        <f>scenarios!AC64</f>
        <v>-0.41804735687779748</v>
      </c>
      <c r="DD59" s="407">
        <f>scenarios!AL64</f>
        <v>-0.41804735687779748</v>
      </c>
      <c r="DE59" s="407">
        <f>scenarios!AU64</f>
        <v>-0.41804735687779748</v>
      </c>
      <c r="DF59" s="407">
        <f>scenarios!BM64</f>
        <v>2.9332276277051119E-4</v>
      </c>
      <c r="DG59" s="626">
        <f>CA59/scenarios!$B64*1000000</f>
        <v>-0.12970820817789672</v>
      </c>
      <c r="DH59" s="626">
        <f>CB59/scenarios!$B64*1000000</f>
        <v>-0.33077611356153164</v>
      </c>
      <c r="DI59" s="626">
        <f>CC59/scenarios!$B64*1000000</f>
        <v>-9.4346459898422858E-2</v>
      </c>
      <c r="DJ59" s="626">
        <f>CD59/scenarios!$B64*1000000</f>
        <v>-1.4961290234192055</v>
      </c>
      <c r="DL59" s="79">
        <f t="shared" si="42"/>
        <v>2060</v>
      </c>
      <c r="DM59" s="299">
        <f t="shared" si="43"/>
        <v>0.27531104585304611</v>
      </c>
      <c r="DN59" s="211">
        <f t="shared" si="44"/>
        <v>-4.3499999999999996</v>
      </c>
      <c r="DO59" s="211">
        <f t="shared" si="45"/>
        <v>-4.3499999999999996</v>
      </c>
      <c r="DP59" s="211">
        <f t="shared" si="46"/>
        <v>-4.3499999999999996</v>
      </c>
      <c r="DQ59" s="211">
        <f t="shared" si="47"/>
        <v>-2.7838083684869579</v>
      </c>
      <c r="DR59" s="293">
        <f t="shared" si="48"/>
        <v>1.9018584686248563E-2</v>
      </c>
      <c r="DS59" s="631">
        <f t="shared" si="28"/>
        <v>-6.7759749559999999E-2</v>
      </c>
      <c r="DT59" s="632">
        <f t="shared" si="32"/>
        <v>-2.1811691999999998</v>
      </c>
      <c r="DU59" s="632">
        <f t="shared" si="33"/>
        <v>3.2499613553998188</v>
      </c>
      <c r="DV59" s="633">
        <f t="shared" si="34"/>
        <v>-12.84</v>
      </c>
    </row>
    <row r="60" spans="5:126" x14ac:dyDescent="0.25">
      <c r="BT60" s="79">
        <f>BT59+1</f>
        <v>2069</v>
      </c>
      <c r="BU60" s="280">
        <f>scenarios!E65</f>
        <v>-2.5600401317569212</v>
      </c>
      <c r="BV60" s="280">
        <f>scenarios!M65</f>
        <v>-4.3499999999999996</v>
      </c>
      <c r="BW60" s="280">
        <f>scenarios!V65</f>
        <v>-4.3499999999999996</v>
      </c>
      <c r="BX60" s="399">
        <f>scenarios!AE65</f>
        <v>-4.3499999999999996</v>
      </c>
      <c r="BY60" s="399">
        <f>scenarios!AN65</f>
        <v>-4.3499999999999996</v>
      </c>
      <c r="BZ60" s="399">
        <f>scenarios!BF65</f>
        <v>2.4238753176652125E-3</v>
      </c>
      <c r="CA60" s="280">
        <f>'IPCC SR15 paths P1-P4'!C66</f>
        <v>-1.5099215085560331</v>
      </c>
      <c r="CB60" s="399">
        <f>'IPCC SR15 paths P1-P4'!E66</f>
        <v>-3.5994883799999684</v>
      </c>
      <c r="CC60" s="616">
        <f>'IPCC SR15 paths P1-P4'!G57</f>
        <v>-1.510684608</v>
      </c>
      <c r="CD60" s="399">
        <f>'IPCC SR15 paths P1-P4'!I66</f>
        <v>-15.908999999999878</v>
      </c>
      <c r="CF60" s="79">
        <f>CF59+1</f>
        <v>2069</v>
      </c>
      <c r="CG60" s="278" t="e">
        <f>IF($BU59&gt;'goal seek'!$F$31,$BU60/$BU59-1,#N/A)</f>
        <v>#N/A</v>
      </c>
      <c r="CH60" s="278" t="e">
        <f>IF(BV59&gt;'goal seek'!$F$28,BV60/BV59-1,#N/A)</f>
        <v>#N/A</v>
      </c>
      <c r="CI60" s="278" t="e">
        <f>IF(BW59&gt;'goal seek'!$F$28,BW60/BW59-1,#N/A)</f>
        <v>#N/A</v>
      </c>
      <c r="CJ60" s="402" t="e">
        <f>IF(BX59&gt;'goal seek'!$F$28,BX60/BX59-1,#N/A)</f>
        <v>#N/A</v>
      </c>
      <c r="CK60" s="402" t="e">
        <f>IF(BY59&gt;'goal seek'!$F$28,BY60/BY59-1,#N/A)</f>
        <v>#N/A</v>
      </c>
      <c r="CL60" s="402" t="e">
        <f>IF(BZ59&gt;'goal seek'!$F$28,BZ60/BZ59-1,#N/A)</f>
        <v>#N/A</v>
      </c>
      <c r="CM60" s="622" t="e">
        <f t="shared" si="17"/>
        <v>#N/A</v>
      </c>
      <c r="CN60" s="402" t="e">
        <f t="shared" si="29"/>
        <v>#N/A</v>
      </c>
      <c r="CO60" s="194" t="e">
        <f t="shared" si="30"/>
        <v>#N/A</v>
      </c>
      <c r="CP60" s="402" t="e">
        <f t="shared" si="31"/>
        <v>#N/A</v>
      </c>
      <c r="CR60" s="79">
        <f>CR59+1</f>
        <v>2069</v>
      </c>
      <c r="CS60" s="278">
        <f t="shared" si="36"/>
        <v>0</v>
      </c>
      <c r="CT60" s="278">
        <f t="shared" si="37"/>
        <v>0</v>
      </c>
      <c r="CU60" s="278">
        <f t="shared" si="38"/>
        <v>0</v>
      </c>
      <c r="CV60" s="402">
        <f t="shared" si="39"/>
        <v>0</v>
      </c>
      <c r="CW60" s="402">
        <f t="shared" si="40"/>
        <v>0</v>
      </c>
      <c r="CX60" s="402">
        <f t="shared" si="41"/>
        <v>0</v>
      </c>
      <c r="CZ60" s="79">
        <f t="shared" si="35"/>
        <v>2069</v>
      </c>
      <c r="DA60" s="299">
        <f>scenarios!K65</f>
        <v>-0.24538355739202058</v>
      </c>
      <c r="DB60" s="407">
        <f>scenarios!T65</f>
        <v>-0.41695380529942494</v>
      </c>
      <c r="DC60" s="211">
        <f>scenarios!AC65</f>
        <v>-0.41695380529942494</v>
      </c>
      <c r="DD60" s="407">
        <f>scenarios!AL65</f>
        <v>-0.41695380529942494</v>
      </c>
      <c r="DE60" s="407">
        <f>scenarios!AU65</f>
        <v>-0.41695380529942494</v>
      </c>
      <c r="DF60" s="407">
        <f>scenarios!BM65</f>
        <v>2.3233196259123283E-4</v>
      </c>
      <c r="DG60" s="626">
        <f>CA60/scenarios!$B65*1000000</f>
        <v>-0.14472816521744514</v>
      </c>
      <c r="DH60" s="626">
        <f>CB60/scenarios!$B65*1000000</f>
        <v>-0.3450161786602412</v>
      </c>
      <c r="DI60" s="626">
        <f>CC60/scenarios!$B65*1000000</f>
        <v>-0.14480130940525748</v>
      </c>
      <c r="DJ60" s="626">
        <f>CD60/scenarios!$B65*1000000</f>
        <v>-1.524900710001954</v>
      </c>
      <c r="DL60" s="79">
        <f t="shared" si="42"/>
        <v>2061</v>
      </c>
      <c r="DM60" s="299">
        <f t="shared" si="43"/>
        <v>-3.9727973881394707E-2</v>
      </c>
      <c r="DN60" s="211">
        <f t="shared" si="44"/>
        <v>-4.3499999999999996</v>
      </c>
      <c r="DO60" s="211">
        <f t="shared" si="45"/>
        <v>-4.3499999999999996</v>
      </c>
      <c r="DP60" s="211">
        <f t="shared" si="46"/>
        <v>-4.3499999999999996</v>
      </c>
      <c r="DQ60" s="211">
        <f t="shared" si="47"/>
        <v>-3.2157068830347404</v>
      </c>
      <c r="DR60" s="293">
        <f t="shared" si="48"/>
        <v>1.5154148224542634E-2</v>
      </c>
      <c r="DS60" s="631">
        <f t="shared" si="28"/>
        <v>-0.22799994500405774</v>
      </c>
      <c r="DT60" s="632">
        <f t="shared" si="32"/>
        <v>-2.3387602199999833</v>
      </c>
      <c r="DU60" s="632">
        <f t="shared" si="33"/>
        <v>2.721000692799862</v>
      </c>
      <c r="DV60" s="633">
        <f t="shared" si="34"/>
        <v>-13.180999999999926</v>
      </c>
    </row>
    <row r="61" spans="5:126" x14ac:dyDescent="0.25">
      <c r="BT61" s="79">
        <f t="shared" si="15"/>
        <v>2070</v>
      </c>
      <c r="BU61" s="280">
        <f>scenarios!E66</f>
        <v>-2.8750791514913621</v>
      </c>
      <c r="BV61" s="280">
        <f>scenarios!M66</f>
        <v>-4.3499999999999996</v>
      </c>
      <c r="BW61" s="280">
        <f>scenarios!V66</f>
        <v>-4.3499999999999996</v>
      </c>
      <c r="BX61" s="399">
        <f>scenarios!AE66</f>
        <v>-4.3499999999999996</v>
      </c>
      <c r="BY61" s="399">
        <f>scenarios!AN66</f>
        <v>-4.3499999999999996</v>
      </c>
      <c r="BZ61" s="399">
        <f>scenarios!BF66</f>
        <v>1.9242418703228478E-3</v>
      </c>
      <c r="CA61" s="280">
        <f>'IPCC SR15 paths P1-P4'!C67</f>
        <v>-1.6701617040000001</v>
      </c>
      <c r="CB61" s="399">
        <f>'IPCC SR15 paths P1-P4'!E67</f>
        <v>-3.7570794000000003</v>
      </c>
      <c r="CC61" s="616">
        <f>'IPCC SR15 paths P1-P4'!G58</f>
        <v>-2.0136529858000358</v>
      </c>
      <c r="CD61" s="399">
        <f>'IPCC SR15 paths P1-P4'!I67</f>
        <v>-16.25</v>
      </c>
      <c r="CF61" s="79">
        <f t="shared" si="16"/>
        <v>2070</v>
      </c>
      <c r="CG61" s="278" t="e">
        <f>IF($BU60&gt;'goal seek'!$F$31,$BU61/$BU60-1,#N/A)</f>
        <v>#N/A</v>
      </c>
      <c r="CH61" s="278" t="e">
        <f>IF(BV60&gt;'goal seek'!$F$28,BV61/BV60-1,#N/A)</f>
        <v>#N/A</v>
      </c>
      <c r="CI61" s="278" t="e">
        <f>IF(BW60&gt;'goal seek'!$F$28,BW61/BW60-1,#N/A)</f>
        <v>#N/A</v>
      </c>
      <c r="CJ61" s="402" t="e">
        <f>IF(BX60&gt;'goal seek'!$F$28,BX61/BX60-1,#N/A)</f>
        <v>#N/A</v>
      </c>
      <c r="CK61" s="402" t="e">
        <f>IF(BY60&gt;'goal seek'!$F$28,BY61/BY60-1,#N/A)</f>
        <v>#N/A</v>
      </c>
      <c r="CL61" s="402" t="e">
        <f>IF(BZ60&gt;'goal seek'!$F$28,BZ61/BZ60-1,#N/A)</f>
        <v>#N/A</v>
      </c>
      <c r="CM61" s="622" t="e">
        <f t="shared" si="17"/>
        <v>#N/A</v>
      </c>
      <c r="CN61" s="402" t="e">
        <f t="shared" si="29"/>
        <v>#N/A</v>
      </c>
      <c r="CO61" s="194" t="e">
        <f t="shared" si="30"/>
        <v>#N/A</v>
      </c>
      <c r="CP61" s="402" t="e">
        <f t="shared" si="31"/>
        <v>#N/A</v>
      </c>
      <c r="CR61" s="79">
        <f t="shared" si="18"/>
        <v>2070</v>
      </c>
      <c r="CS61" s="278">
        <f t="shared" si="36"/>
        <v>0</v>
      </c>
      <c r="CT61" s="278">
        <f t="shared" si="37"/>
        <v>0</v>
      </c>
      <c r="CU61" s="278">
        <f t="shared" si="38"/>
        <v>0</v>
      </c>
      <c r="CV61" s="402">
        <f t="shared" si="39"/>
        <v>0</v>
      </c>
      <c r="CW61" s="402">
        <f t="shared" si="40"/>
        <v>0</v>
      </c>
      <c r="CX61" s="402">
        <f t="shared" si="41"/>
        <v>0</v>
      </c>
      <c r="CZ61" s="79">
        <f t="shared" si="35"/>
        <v>2070</v>
      </c>
      <c r="DA61" s="299">
        <f>scenarios!K66</f>
        <v>-0.27488643554696779</v>
      </c>
      <c r="DB61" s="407">
        <f>scenarios!T66</f>
        <v>-0.41590367834188041</v>
      </c>
      <c r="DC61" s="211">
        <f>scenarios!AC66</f>
        <v>-0.41590367834188041</v>
      </c>
      <c r="DD61" s="407">
        <f>scenarios!AL66</f>
        <v>-0.41590367834188041</v>
      </c>
      <c r="DE61" s="407">
        <f>scenarios!AU66</f>
        <v>-0.41590367834188041</v>
      </c>
      <c r="DF61" s="407">
        <f>scenarios!BM66</f>
        <v>1.8397684411189242E-4</v>
      </c>
      <c r="DG61" s="626">
        <f>CA61/scenarios!$B66*1000000</f>
        <v>-0.1596842289929524</v>
      </c>
      <c r="DH61" s="626">
        <f>CB61/scenarios!$B66*1000000</f>
        <v>-0.35921451546724259</v>
      </c>
      <c r="DI61" s="626">
        <f>CC61/scenarios!$B66*1000000</f>
        <v>-0.19252544452835524</v>
      </c>
      <c r="DJ61" s="626">
        <f>CD61/scenarios!$B66*1000000</f>
        <v>-1.5536631662196683</v>
      </c>
      <c r="DL61" s="79">
        <f t="shared" si="42"/>
        <v>2062</v>
      </c>
      <c r="DM61" s="299">
        <f t="shared" si="43"/>
        <v>-0.35476699361583552</v>
      </c>
      <c r="DN61" s="211">
        <f t="shared" si="44"/>
        <v>-4.3499999999999996</v>
      </c>
      <c r="DO61" s="211">
        <f t="shared" si="45"/>
        <v>-4.3499999999999996</v>
      </c>
      <c r="DP61" s="211">
        <f t="shared" si="46"/>
        <v>-4.3499999999999996</v>
      </c>
      <c r="DQ61" s="211">
        <f t="shared" si="47"/>
        <v>-3.6476053975825229</v>
      </c>
      <c r="DR61" s="293">
        <f t="shared" si="48"/>
        <v>1.2069122650795593E-2</v>
      </c>
      <c r="DS61" s="631">
        <f t="shared" si="28"/>
        <v>-0.38824014044803334</v>
      </c>
      <c r="DT61" s="632">
        <f t="shared" si="32"/>
        <v>-2.4963512399999672</v>
      </c>
      <c r="DU61" s="632">
        <f t="shared" si="33"/>
        <v>2.1920400301999052</v>
      </c>
      <c r="DV61" s="633">
        <f t="shared" si="34"/>
        <v>-13.521999999999935</v>
      </c>
    </row>
    <row r="62" spans="5:126" x14ac:dyDescent="0.25">
      <c r="BT62" s="79">
        <f t="shared" si="15"/>
        <v>2071</v>
      </c>
      <c r="BU62" s="280">
        <f>scenarios!E67</f>
        <v>-3.1901181712258029</v>
      </c>
      <c r="BV62" s="280">
        <f>scenarios!M67</f>
        <v>-4.3499999999999996</v>
      </c>
      <c r="BW62" s="280">
        <f>scenarios!V67</f>
        <v>-4.3499999999999996</v>
      </c>
      <c r="BX62" s="399">
        <f>scenarios!AE67</f>
        <v>-4.3499999999999996</v>
      </c>
      <c r="BY62" s="399">
        <f>scenarios!AN67</f>
        <v>-4.3499999999999996</v>
      </c>
      <c r="BZ62" s="399">
        <f>scenarios!BF67</f>
        <v>1.5270849293665132E-3</v>
      </c>
      <c r="CA62" s="280">
        <f>'IPCC SR15 paths P1-P4'!C68</f>
        <v>-1.7493659771000125</v>
      </c>
      <c r="CB62" s="399">
        <f>'IPCC SR15 paths P1-P4'!E68</f>
        <v>-3.8151933400000075</v>
      </c>
      <c r="CC62" s="616">
        <f>'IPCC SR15 paths P1-P4'!G59</f>
        <v>-2.5166213636000521</v>
      </c>
      <c r="CD62" s="399">
        <f>'IPCC SR15 paths P1-P4'!I68</f>
        <v>-16.41799999999995</v>
      </c>
      <c r="CF62" s="79">
        <f t="shared" si="16"/>
        <v>2071</v>
      </c>
      <c r="CG62" s="278" t="e">
        <f>IF($BU61&gt;'goal seek'!$F$31,$BU62/$BU61-1,#N/A)</f>
        <v>#N/A</v>
      </c>
      <c r="CH62" s="278" t="e">
        <f>IF(BV61&gt;'goal seek'!$F$28,BV62/BV61-1,#N/A)</f>
        <v>#N/A</v>
      </c>
      <c r="CI62" s="278" t="e">
        <f>IF(BW61&gt;'goal seek'!$F$28,BW62/BW61-1,#N/A)</f>
        <v>#N/A</v>
      </c>
      <c r="CJ62" s="402" t="e">
        <f>IF(BX61&gt;'goal seek'!$F$28,BX62/BX61-1,#N/A)</f>
        <v>#N/A</v>
      </c>
      <c r="CK62" s="402" t="e">
        <f>IF(BY61&gt;'goal seek'!$F$28,BY62/BY61-1,#N/A)</f>
        <v>#N/A</v>
      </c>
      <c r="CL62" s="402" t="e">
        <f>IF(BZ61&gt;'goal seek'!$F$28,BZ62/BZ61-1,#N/A)</f>
        <v>#N/A</v>
      </c>
      <c r="CM62" s="622" t="e">
        <f t="shared" si="17"/>
        <v>#N/A</v>
      </c>
      <c r="CN62" s="402" t="e">
        <f t="shared" si="29"/>
        <v>#N/A</v>
      </c>
      <c r="CO62" s="194" t="e">
        <f t="shared" si="30"/>
        <v>#N/A</v>
      </c>
      <c r="CP62" s="402" t="e">
        <f t="shared" si="31"/>
        <v>#N/A</v>
      </c>
      <c r="CR62" s="79">
        <f t="shared" si="18"/>
        <v>2071</v>
      </c>
      <c r="CS62" s="278">
        <f t="shared" si="36"/>
        <v>0</v>
      </c>
      <c r="CT62" s="278">
        <f t="shared" si="37"/>
        <v>0</v>
      </c>
      <c r="CU62" s="278">
        <f t="shared" si="38"/>
        <v>0</v>
      </c>
      <c r="CV62" s="402">
        <f t="shared" si="39"/>
        <v>0</v>
      </c>
      <c r="CW62" s="402">
        <f t="shared" si="40"/>
        <v>0</v>
      </c>
      <c r="CX62" s="402">
        <f t="shared" si="41"/>
        <v>0</v>
      </c>
      <c r="CZ62" s="79">
        <f t="shared" si="35"/>
        <v>2071</v>
      </c>
      <c r="DA62" s="299">
        <f>scenarios!K67</f>
        <v>-0.30426821528643644</v>
      </c>
      <c r="DB62" s="407">
        <f>scenarios!T67</f>
        <v>-0.4148958331494717</v>
      </c>
      <c r="DC62" s="211">
        <f>scenarios!AC67</f>
        <v>-0.4148958331494717</v>
      </c>
      <c r="DD62" s="407">
        <f>scenarios!AL67</f>
        <v>-0.4148958331494717</v>
      </c>
      <c r="DE62" s="407">
        <f>scenarios!AU67</f>
        <v>-0.4148958331494717</v>
      </c>
      <c r="DF62" s="407">
        <f>scenarios!BM67</f>
        <v>1.4565084461138429E-4</v>
      </c>
      <c r="DG62" s="626">
        <f>CA62/scenarios!$B67*1000000</f>
        <v>-0.16685164472465502</v>
      </c>
      <c r="DH62" s="626">
        <f>CB62/scenarios!$B67*1000000</f>
        <v>-0.36388685504037216</v>
      </c>
      <c r="DI62" s="626">
        <f>CC62/scenarios!$B67*1000000</f>
        <v>-0.24003119939600073</v>
      </c>
      <c r="DJ62" s="626">
        <f>CD62/scenarios!$B67*1000000</f>
        <v>-1.5659217904937943</v>
      </c>
      <c r="DL62" s="79">
        <f t="shared" si="42"/>
        <v>2063</v>
      </c>
      <c r="DM62" s="299">
        <f t="shared" si="43"/>
        <v>-0.66980601335027634</v>
      </c>
      <c r="DN62" s="211">
        <f t="shared" si="44"/>
        <v>-4.3499999999999996</v>
      </c>
      <c r="DO62" s="211">
        <f t="shared" si="45"/>
        <v>-4.3499999999999996</v>
      </c>
      <c r="DP62" s="211">
        <f t="shared" si="46"/>
        <v>-4.3499999999999996</v>
      </c>
      <c r="DQ62" s="211">
        <f t="shared" si="47"/>
        <v>-4.0795039121303054</v>
      </c>
      <c r="DR62" s="293">
        <f t="shared" si="48"/>
        <v>9.6077035150404153E-3</v>
      </c>
      <c r="DS62" s="631">
        <f t="shared" si="28"/>
        <v>-0.54848033589200895</v>
      </c>
      <c r="DT62" s="632">
        <f t="shared" si="32"/>
        <v>-2.6539422599999511</v>
      </c>
      <c r="DU62" s="632">
        <f t="shared" si="33"/>
        <v>1.6630793675999485</v>
      </c>
      <c r="DV62" s="633">
        <f t="shared" si="34"/>
        <v>-13.862999999999943</v>
      </c>
    </row>
    <row r="63" spans="5:126" x14ac:dyDescent="0.25">
      <c r="BS63" s="297"/>
      <c r="BT63" s="79">
        <f>BT62+1</f>
        <v>2072</v>
      </c>
      <c r="BU63" s="280">
        <f>scenarios!E68</f>
        <v>-3.5051571909602437</v>
      </c>
      <c r="BV63" s="280">
        <f>scenarios!M68</f>
        <v>-4.3499999999999996</v>
      </c>
      <c r="BW63" s="280">
        <f>scenarios!V68</f>
        <v>-4.3499999999999996</v>
      </c>
      <c r="BX63" s="399">
        <f>scenarios!AE68</f>
        <v>-4.3499999999999996</v>
      </c>
      <c r="BY63" s="399">
        <f>scenarios!AN68</f>
        <v>-4.3499999999999996</v>
      </c>
      <c r="BZ63" s="399">
        <f>scenarios!BF68</f>
        <v>1.211507400511235E-3</v>
      </c>
      <c r="CA63" s="280">
        <f>'IPCC SR15 paths P1-P4'!C69</f>
        <v>-1.8285702502000163</v>
      </c>
      <c r="CB63" s="399">
        <f>'IPCC SR15 paths P1-P4'!E69</f>
        <v>-3.8733072800000059</v>
      </c>
      <c r="CC63" s="616">
        <f>'IPCC SR15 paths P1-P4'!G60</f>
        <v>-3.0195897414000683</v>
      </c>
      <c r="CD63" s="399">
        <f>'IPCC SR15 paths P1-P4'!I69</f>
        <v>-16.585999999999956</v>
      </c>
      <c r="CF63" s="79">
        <f t="shared" si="16"/>
        <v>2072</v>
      </c>
      <c r="CG63" s="278" t="e">
        <f>IF($BU62&gt;'goal seek'!$F$31,$BU63/$BU62-1,#N/A)</f>
        <v>#N/A</v>
      </c>
      <c r="CH63" s="278" t="e">
        <f>IF(BV62&gt;'goal seek'!$F$28,BV63/BV62-1,#N/A)</f>
        <v>#N/A</v>
      </c>
      <c r="CI63" s="278" t="e">
        <f>IF(BW62&gt;'goal seek'!$F$28,BW63/BW62-1,#N/A)</f>
        <v>#N/A</v>
      </c>
      <c r="CJ63" s="402" t="e">
        <f>IF(BX62&gt;'goal seek'!$F$28,BX63/BX62-1,#N/A)</f>
        <v>#N/A</v>
      </c>
      <c r="CK63" s="402" t="e">
        <f>IF(BY62&gt;'goal seek'!$F$28,BY63/BY62-1,#N/A)</f>
        <v>#N/A</v>
      </c>
      <c r="CL63" s="402" t="e">
        <f>IF(BZ62&gt;'goal seek'!$F$28,BZ63/BZ62-1,#N/A)</f>
        <v>#N/A</v>
      </c>
      <c r="CM63" s="622" t="e">
        <f t="shared" si="17"/>
        <v>#N/A</v>
      </c>
      <c r="CN63" s="402" t="e">
        <f t="shared" si="29"/>
        <v>#N/A</v>
      </c>
      <c r="CO63" s="194" t="e">
        <f t="shared" si="30"/>
        <v>#N/A</v>
      </c>
      <c r="CP63" s="402" t="e">
        <f t="shared" si="31"/>
        <v>#N/A</v>
      </c>
      <c r="CR63" s="79">
        <f t="shared" si="18"/>
        <v>2072</v>
      </c>
      <c r="CS63" s="278">
        <f t="shared" si="36"/>
        <v>0</v>
      </c>
      <c r="CT63" s="278">
        <f t="shared" si="37"/>
        <v>0</v>
      </c>
      <c r="CU63" s="278">
        <f t="shared" si="38"/>
        <v>0</v>
      </c>
      <c r="CV63" s="402">
        <f t="shared" si="39"/>
        <v>0</v>
      </c>
      <c r="CW63" s="402">
        <f t="shared" si="40"/>
        <v>0</v>
      </c>
      <c r="CX63" s="402">
        <f t="shared" si="41"/>
        <v>0</v>
      </c>
      <c r="CZ63" s="79">
        <f t="shared" si="35"/>
        <v>2072</v>
      </c>
      <c r="DA63" s="299">
        <f>scenarios!K68</f>
        <v>-0.33353713840975524</v>
      </c>
      <c r="DB63" s="407">
        <f>scenarios!T68</f>
        <v>-0.41392909733813177</v>
      </c>
      <c r="DC63" s="211">
        <f>scenarios!AC68</f>
        <v>-0.41392909733813177</v>
      </c>
      <c r="DD63" s="407">
        <f>scenarios!AL68</f>
        <v>-0.41392909733813177</v>
      </c>
      <c r="DE63" s="407">
        <f>scenarios!AU68</f>
        <v>-0.41392909733813177</v>
      </c>
      <c r="DF63" s="407">
        <f>scenarios!BM68</f>
        <v>1.1528233671542113E-4</v>
      </c>
      <c r="DG63" s="626">
        <f>CA63/scenarios!$B68*1000000</f>
        <v>-0.17399963978957575</v>
      </c>
      <c r="DH63" s="626">
        <f>CB63/scenarios!$B68*1000000</f>
        <v>-0.36856887037324521</v>
      </c>
      <c r="DI63" s="626">
        <f>CC63/scenarios!$B68*1000000</f>
        <v>-0.2873324266641869</v>
      </c>
      <c r="DJ63" s="626">
        <f>CD63/scenarios!$B68*1000000</f>
        <v>-1.5782593122874102</v>
      </c>
      <c r="DL63" s="79">
        <f t="shared" si="42"/>
        <v>2064</v>
      </c>
      <c r="DM63" s="299">
        <f t="shared" si="43"/>
        <v>-0.98484503308471716</v>
      </c>
      <c r="DN63" s="211">
        <f t="shared" si="44"/>
        <v>-4.3499999999999996</v>
      </c>
      <c r="DO63" s="211">
        <f t="shared" si="45"/>
        <v>-4.3499999999999996</v>
      </c>
      <c r="DP63" s="211">
        <f t="shared" si="46"/>
        <v>-4.3499999999999996</v>
      </c>
      <c r="DQ63" s="211">
        <f t="shared" si="47"/>
        <v>-4.3499999999999996</v>
      </c>
      <c r="DR63" s="293">
        <f t="shared" si="48"/>
        <v>7.6448952630430445E-3</v>
      </c>
      <c r="DS63" s="631">
        <f t="shared" si="28"/>
        <v>-0.7087205313360414</v>
      </c>
      <c r="DT63" s="632">
        <f t="shared" si="32"/>
        <v>-2.8115332799999919</v>
      </c>
      <c r="DU63" s="632">
        <f t="shared" si="33"/>
        <v>1.1341187049999917</v>
      </c>
      <c r="DV63" s="633">
        <f t="shared" si="34"/>
        <v>-14.203999999999951</v>
      </c>
    </row>
    <row r="64" spans="5:126" x14ac:dyDescent="0.25">
      <c r="BS64" s="297"/>
      <c r="BT64" s="79">
        <f>BT63+1</f>
        <v>2073</v>
      </c>
      <c r="BU64" s="280">
        <f>scenarios!E69</f>
        <v>-3.8201962106946845</v>
      </c>
      <c r="BV64" s="280">
        <f>scenarios!M69</f>
        <v>-4.3499999999999996</v>
      </c>
      <c r="BW64" s="280">
        <f>scenarios!V69</f>
        <v>-4.3499999999999996</v>
      </c>
      <c r="BX64" s="399">
        <f>scenarios!AE69</f>
        <v>-4.3499999999999996</v>
      </c>
      <c r="BY64" s="399">
        <f>scenarios!AN69</f>
        <v>-4.3499999999999996</v>
      </c>
      <c r="BZ64" s="399">
        <f>scenarios!BF69</f>
        <v>9.6084476937006134E-4</v>
      </c>
      <c r="CA64" s="280">
        <f>'IPCC SR15 paths P1-P4'!C70</f>
        <v>-1.9077745233000201</v>
      </c>
      <c r="CB64" s="399">
        <f>'IPCC SR15 paths P1-P4'!E70</f>
        <v>-3.9314212200000043</v>
      </c>
      <c r="CC64" s="616">
        <f>'IPCC SR15 paths P1-P4'!G61</f>
        <v>-3.5225581192000845</v>
      </c>
      <c r="CD64" s="399">
        <f>'IPCC SR15 paths P1-P4'!I70</f>
        <v>-16.753999999999962</v>
      </c>
      <c r="CF64" s="79">
        <f>CF63+1</f>
        <v>2073</v>
      </c>
      <c r="CG64" s="278" t="e">
        <f>IF($BU63&gt;'goal seek'!$F$31,$BU64/$BU63-1,#N/A)</f>
        <v>#N/A</v>
      </c>
      <c r="CH64" s="278" t="e">
        <f>IF(BV63&gt;'goal seek'!$F$28,BV64/BV63-1,#N/A)</f>
        <v>#N/A</v>
      </c>
      <c r="CI64" s="278" t="e">
        <f>IF(BW63&gt;'goal seek'!$F$28,BW64/BW63-1,#N/A)</f>
        <v>#N/A</v>
      </c>
      <c r="CJ64" s="402" t="e">
        <f>IF(BX63&gt;'goal seek'!$F$28,BX64/BX63-1,#N/A)</f>
        <v>#N/A</v>
      </c>
      <c r="CK64" s="402" t="e">
        <f>IF(BY63&gt;'goal seek'!$F$28,BY64/BY63-1,#N/A)</f>
        <v>#N/A</v>
      </c>
      <c r="CL64" s="402" t="e">
        <f>IF(BZ63&gt;'goal seek'!$F$28,BZ64/BZ63-1,#N/A)</f>
        <v>#N/A</v>
      </c>
      <c r="CM64" s="622" t="e">
        <f t="shared" si="17"/>
        <v>#N/A</v>
      </c>
      <c r="CN64" s="402" t="e">
        <f t="shared" si="29"/>
        <v>#N/A</v>
      </c>
      <c r="CO64" s="194" t="e">
        <f t="shared" si="30"/>
        <v>#N/A</v>
      </c>
      <c r="CP64" s="402" t="e">
        <f t="shared" si="31"/>
        <v>#N/A</v>
      </c>
      <c r="CR64" s="79">
        <f>CR63+1</f>
        <v>2073</v>
      </c>
      <c r="CS64" s="278">
        <f t="shared" si="36"/>
        <v>0</v>
      </c>
      <c r="CT64" s="278">
        <f t="shared" si="37"/>
        <v>0</v>
      </c>
      <c r="CU64" s="278">
        <f t="shared" si="38"/>
        <v>0</v>
      </c>
      <c r="CV64" s="402">
        <f t="shared" si="39"/>
        <v>0</v>
      </c>
      <c r="CW64" s="402">
        <f t="shared" si="40"/>
        <v>0</v>
      </c>
      <c r="CX64" s="402">
        <f t="shared" si="41"/>
        <v>0</v>
      </c>
      <c r="CZ64" s="79">
        <f t="shared" si="35"/>
        <v>2073</v>
      </c>
      <c r="DA64" s="299">
        <f>scenarios!K69</f>
        <v>-0.36270108782675631</v>
      </c>
      <c r="DB64" s="407">
        <f>scenarios!T69</f>
        <v>-0.41300227659235433</v>
      </c>
      <c r="DC64" s="211">
        <f>scenarios!AC69</f>
        <v>-0.41300227659235433</v>
      </c>
      <c r="DD64" s="407">
        <f>scenarios!AL69</f>
        <v>-0.41300227659235433</v>
      </c>
      <c r="DE64" s="407">
        <f>scenarios!AU69</f>
        <v>-0.41300227659235433</v>
      </c>
      <c r="DF64" s="407">
        <f>scenarios!BM69</f>
        <v>9.1225534988894475E-5</v>
      </c>
      <c r="DG64" s="626">
        <f>CA64/scenarios!$B69*1000000</f>
        <v>-0.1811299359420234</v>
      </c>
      <c r="DH64" s="626">
        <f>CB64/scenarios!$B69*1000000</f>
        <v>-0.37326112967896385</v>
      </c>
      <c r="DI64" s="626">
        <f>CC64/scenarios!$B69*1000000</f>
        <v>-0.33444241900195787</v>
      </c>
      <c r="DJ64" s="626">
        <f>CD64/scenarios!$B69*1000000</f>
        <v>-1.5906758947191468</v>
      </c>
      <c r="DL64" s="79">
        <f t="shared" si="42"/>
        <v>2065</v>
      </c>
      <c r="DM64" s="299">
        <f t="shared" si="43"/>
        <v>-1.299884052819158</v>
      </c>
      <c r="DN64" s="211">
        <f t="shared" si="44"/>
        <v>-4.3499999999999996</v>
      </c>
      <c r="DO64" s="211">
        <f t="shared" si="45"/>
        <v>-4.3499999999999996</v>
      </c>
      <c r="DP64" s="211">
        <f t="shared" si="46"/>
        <v>-4.3499999999999996</v>
      </c>
      <c r="DQ64" s="211">
        <f t="shared" si="47"/>
        <v>-4.3499999999999996</v>
      </c>
      <c r="DR64" s="293">
        <f t="shared" si="48"/>
        <v>6.0805010261560204E-3</v>
      </c>
      <c r="DS64" s="631">
        <f t="shared" si="28"/>
        <v>-0.86896072678001701</v>
      </c>
      <c r="DT64" s="632">
        <f t="shared" si="32"/>
        <v>-2.9691242999999758</v>
      </c>
      <c r="DU64" s="632">
        <f t="shared" si="33"/>
        <v>0.60515804239980753</v>
      </c>
      <c r="DV64" s="633">
        <f t="shared" si="34"/>
        <v>-14.544999999999959</v>
      </c>
    </row>
    <row r="65" spans="71:126" x14ac:dyDescent="0.25">
      <c r="BS65" s="297"/>
      <c r="BT65" s="79">
        <f t="shared" si="15"/>
        <v>2074</v>
      </c>
      <c r="BU65" s="280">
        <f>scenarios!E70</f>
        <v>-4.1352352304291253</v>
      </c>
      <c r="BV65" s="280">
        <f>scenarios!M70</f>
        <v>-4.3499999999999996</v>
      </c>
      <c r="BW65" s="280">
        <f>scenarios!V70</f>
        <v>-4.3499999999999996</v>
      </c>
      <c r="BX65" s="399">
        <f>scenarios!AE70</f>
        <v>-4.3499999999999996</v>
      </c>
      <c r="BY65" s="399">
        <f>scenarios!AN70</f>
        <v>-4.3499999999999996</v>
      </c>
      <c r="BZ65" s="399">
        <f>scenarios!BF70</f>
        <v>7.61814689302157E-4</v>
      </c>
      <c r="CA65" s="280">
        <f>'IPCC SR15 paths P1-P4'!C71</f>
        <v>-1.9869787964000238</v>
      </c>
      <c r="CB65" s="399">
        <f>'IPCC SR15 paths P1-P4'!E71</f>
        <v>-3.9895351600000026</v>
      </c>
      <c r="CC65" s="616">
        <f>'IPCC SR15 paths P1-P4'!G62</f>
        <v>-4.0255264970001008</v>
      </c>
      <c r="CD65" s="399">
        <f>'IPCC SR15 paths P1-P4'!I71</f>
        <v>-16.921999999999969</v>
      </c>
      <c r="CF65" s="79">
        <f t="shared" si="16"/>
        <v>2074</v>
      </c>
      <c r="CG65" s="278" t="e">
        <f>IF($BU64&gt;'goal seek'!$F$31,$BU65/$BU64-1,#N/A)</f>
        <v>#N/A</v>
      </c>
      <c r="CH65" s="278" t="e">
        <f>IF(BV64&gt;'goal seek'!$F$28,BV65/BV64-1,#N/A)</f>
        <v>#N/A</v>
      </c>
      <c r="CI65" s="278" t="e">
        <f>IF(BW64&gt;'goal seek'!$F$28,BW65/BW64-1,#N/A)</f>
        <v>#N/A</v>
      </c>
      <c r="CJ65" s="402" t="e">
        <f>IF(BX64&gt;'goal seek'!$F$28,BX65/BX64-1,#N/A)</f>
        <v>#N/A</v>
      </c>
      <c r="CK65" s="402" t="e">
        <f>IF(BY64&gt;'goal seek'!$F$28,BY65/BY64-1,#N/A)</f>
        <v>#N/A</v>
      </c>
      <c r="CL65" s="402" t="e">
        <f>IF(BZ64&gt;'goal seek'!$F$28,BZ65/BZ64-1,#N/A)</f>
        <v>#N/A</v>
      </c>
      <c r="CM65" s="622" t="e">
        <f t="shared" si="17"/>
        <v>#N/A</v>
      </c>
      <c r="CN65" s="402" t="e">
        <f t="shared" si="29"/>
        <v>#N/A</v>
      </c>
      <c r="CO65" s="194" t="e">
        <f t="shared" si="30"/>
        <v>#N/A</v>
      </c>
      <c r="CP65" s="402" t="e">
        <f t="shared" si="31"/>
        <v>#N/A</v>
      </c>
      <c r="CR65" s="79">
        <f t="shared" si="18"/>
        <v>2074</v>
      </c>
      <c r="CS65" s="278">
        <f t="shared" si="36"/>
        <v>0</v>
      </c>
      <c r="CT65" s="278">
        <f t="shared" si="37"/>
        <v>0</v>
      </c>
      <c r="CU65" s="278">
        <f t="shared" si="38"/>
        <v>0</v>
      </c>
      <c r="CV65" s="402">
        <f t="shared" si="39"/>
        <v>0</v>
      </c>
      <c r="CW65" s="402">
        <f t="shared" si="40"/>
        <v>0</v>
      </c>
      <c r="CX65" s="402">
        <f t="shared" si="41"/>
        <v>0</v>
      </c>
      <c r="CZ65" s="79">
        <f t="shared" si="35"/>
        <v>2074</v>
      </c>
      <c r="DA65" s="299">
        <f>scenarios!K70</f>
        <v>-0.39176759961197793</v>
      </c>
      <c r="DB65" s="407">
        <f>scenarios!T70</f>
        <v>-0.41211417569956599</v>
      </c>
      <c r="DC65" s="211">
        <f>scenarios!AC70</f>
        <v>-0.41211417569956599</v>
      </c>
      <c r="DD65" s="407">
        <f>scenarios!AL70</f>
        <v>-0.41211417569956599</v>
      </c>
      <c r="DE65" s="407">
        <f>scenarios!AU70</f>
        <v>-0.41211417569956599</v>
      </c>
      <c r="DF65" s="407">
        <f>scenarios!BM70</f>
        <v>7.2173478785650451E-5</v>
      </c>
      <c r="DG65" s="626">
        <f>CA65/scenarios!$B70*1000000</f>
        <v>-0.18824416754273832</v>
      </c>
      <c r="DH65" s="626">
        <f>CB65/scenarios!$B70*1000000</f>
        <v>-0.37796413652593958</v>
      </c>
      <c r="DI65" s="626">
        <f>CC65/scenarios!$B70*1000000</f>
        <v>-0.38137391587769148</v>
      </c>
      <c r="DJ65" s="626">
        <f>CD65/scenarios!$B70*1000000</f>
        <v>-1.6031715129167916</v>
      </c>
      <c r="DL65" s="79">
        <f t="shared" si="42"/>
        <v>2066</v>
      </c>
      <c r="DM65" s="299">
        <f t="shared" si="43"/>
        <v>-1.6149230725535988</v>
      </c>
      <c r="DN65" s="211">
        <f t="shared" si="44"/>
        <v>-4.3499999999999996</v>
      </c>
      <c r="DO65" s="211">
        <f t="shared" si="45"/>
        <v>-4.3499999999999996</v>
      </c>
      <c r="DP65" s="211">
        <f t="shared" si="46"/>
        <v>-4.3499999999999996</v>
      </c>
      <c r="DQ65" s="211">
        <f t="shared" si="47"/>
        <v>-4.3499999999999996</v>
      </c>
      <c r="DR65" s="293">
        <f t="shared" si="48"/>
        <v>4.8342646991232363E-3</v>
      </c>
      <c r="DS65" s="631">
        <f t="shared" si="28"/>
        <v>-1.0292009222240495</v>
      </c>
      <c r="DT65" s="632">
        <f t="shared" si="32"/>
        <v>-3.1267153199999598</v>
      </c>
      <c r="DU65" s="632">
        <f t="shared" si="33"/>
        <v>7.6197379799850751E-2</v>
      </c>
      <c r="DV65" s="633">
        <f t="shared" si="34"/>
        <v>-14.885999999999967</v>
      </c>
    </row>
    <row r="66" spans="71:126" x14ac:dyDescent="0.25">
      <c r="BS66" s="297"/>
      <c r="BT66" s="79">
        <f t="shared" si="15"/>
        <v>2075</v>
      </c>
      <c r="BU66" s="280">
        <f>scenarios!E71</f>
        <v>-4.3499999999999996</v>
      </c>
      <c r="BV66" s="280">
        <f>scenarios!M71</f>
        <v>-4.3499999999999996</v>
      </c>
      <c r="BW66" s="280">
        <f>scenarios!V71</f>
        <v>-4.3499999999999996</v>
      </c>
      <c r="BX66" s="399">
        <f>scenarios!AE71</f>
        <v>-4.3499999999999996</v>
      </c>
      <c r="BY66" s="399">
        <f>scenarios!AN71</f>
        <v>-4.3499999999999996</v>
      </c>
      <c r="BZ66" s="399">
        <f>scenarios!BF71</f>
        <v>6.0383578242502933E-4</v>
      </c>
      <c r="CA66" s="280">
        <f>'IPCC SR15 paths P1-P4'!C72</f>
        <v>-2.0661830694999992</v>
      </c>
      <c r="CB66" s="399">
        <f>'IPCC SR15 paths P1-P4'!E72</f>
        <v>-4.047649100000001</v>
      </c>
      <c r="CC66" s="616">
        <f>'IPCC SR15 paths P1-P4'!G63</f>
        <v>-4.528494874800117</v>
      </c>
      <c r="CD66" s="399">
        <f>'IPCC SR15 paths P1-P4'!I72</f>
        <v>-17.089999999999975</v>
      </c>
      <c r="CF66" s="79">
        <f t="shared" si="16"/>
        <v>2075</v>
      </c>
      <c r="CG66" s="278" t="e">
        <f>IF($BU65&gt;'goal seek'!$F$31,$BU66/$BU65-1,#N/A)</f>
        <v>#N/A</v>
      </c>
      <c r="CH66" s="278" t="e">
        <f>IF(BV65&gt;'goal seek'!$F$28,BV66/BV65-1,#N/A)</f>
        <v>#N/A</v>
      </c>
      <c r="CI66" s="278" t="e">
        <f>IF(BW65&gt;'goal seek'!$F$28,BW66/BW65-1,#N/A)</f>
        <v>#N/A</v>
      </c>
      <c r="CJ66" s="402" t="e">
        <f>IF(BX65&gt;'goal seek'!$F$28,BX66/BX65-1,#N/A)</f>
        <v>#N/A</v>
      </c>
      <c r="CK66" s="402" t="e">
        <f>IF(BY65&gt;'goal seek'!$F$28,BY66/BY65-1,#N/A)</f>
        <v>#N/A</v>
      </c>
      <c r="CL66" s="402" t="e">
        <f>IF(BZ65&gt;'goal seek'!$F$28,BZ66/BZ65-1,#N/A)</f>
        <v>#N/A</v>
      </c>
      <c r="CM66" s="622" t="e">
        <f t="shared" si="17"/>
        <v>#N/A</v>
      </c>
      <c r="CN66" s="402" t="e">
        <f t="shared" si="29"/>
        <v>#N/A</v>
      </c>
      <c r="CO66" s="194" t="e">
        <f t="shared" si="30"/>
        <v>#N/A</v>
      </c>
      <c r="CP66" s="402" t="e">
        <f t="shared" si="31"/>
        <v>#N/A</v>
      </c>
      <c r="CR66" s="79">
        <f t="shared" si="18"/>
        <v>2075</v>
      </c>
      <c r="CS66" s="278">
        <f t="shared" si="36"/>
        <v>0</v>
      </c>
      <c r="CT66" s="278">
        <f t="shared" si="37"/>
        <v>0</v>
      </c>
      <c r="CU66" s="278">
        <f t="shared" si="38"/>
        <v>0</v>
      </c>
      <c r="CV66" s="402">
        <f t="shared" si="39"/>
        <v>0</v>
      </c>
      <c r="CW66" s="402">
        <f t="shared" si="40"/>
        <v>0</v>
      </c>
      <c r="CX66" s="402">
        <f t="shared" si="41"/>
        <v>0</v>
      </c>
      <c r="CZ66" s="79">
        <f t="shared" si="35"/>
        <v>2075</v>
      </c>
      <c r="DA66" s="299">
        <f>scenarios!K71</f>
        <v>-0.41126367481488102</v>
      </c>
      <c r="DB66" s="407">
        <f>scenarios!T71</f>
        <v>-0.41126367481488102</v>
      </c>
      <c r="DC66" s="211">
        <f>scenarios!AC71</f>
        <v>-0.41126367481488102</v>
      </c>
      <c r="DD66" s="407">
        <f>scenarios!AL71</f>
        <v>-0.41126367481488102</v>
      </c>
      <c r="DE66" s="407">
        <f>scenarios!AU71</f>
        <v>-0.41126367481488102</v>
      </c>
      <c r="DF66" s="407">
        <f>scenarios!BM71</f>
        <v>5.7088671922950926E-5</v>
      </c>
      <c r="DG66" s="626">
        <f>CA66/scenarios!$B71*1000000</f>
        <v>-0.19534391770180698</v>
      </c>
      <c r="DH66" s="626">
        <f>CB66/scenarios!$B71*1000000</f>
        <v>-0.3826784007418727</v>
      </c>
      <c r="DI66" s="626">
        <f>CC66/scenarios!$B71*1000000</f>
        <v>-0.42813918243463234</v>
      </c>
      <c r="DJ66" s="626">
        <f>CD66/scenarios!$B71*1000000</f>
        <v>-1.6157462534681164</v>
      </c>
      <c r="DL66" s="79">
        <f t="shared" si="42"/>
        <v>2067</v>
      </c>
      <c r="DM66" s="299">
        <f t="shared" si="43"/>
        <v>-1.9299620922880396</v>
      </c>
      <c r="DN66" s="211">
        <f t="shared" si="44"/>
        <v>-4.3499999999999996</v>
      </c>
      <c r="DO66" s="211">
        <f t="shared" si="45"/>
        <v>-4.3499999999999996</v>
      </c>
      <c r="DP66" s="211">
        <f t="shared" si="46"/>
        <v>-4.3499999999999996</v>
      </c>
      <c r="DQ66" s="211">
        <f t="shared" si="47"/>
        <v>-4.3499999999999996</v>
      </c>
      <c r="DR66" s="293">
        <f t="shared" si="48"/>
        <v>3.8419494262553113E-3</v>
      </c>
      <c r="DS66" s="631">
        <f t="shared" si="28"/>
        <v>-1.1894411176680251</v>
      </c>
      <c r="DT66" s="632">
        <f t="shared" si="32"/>
        <v>-3.2843063399999437</v>
      </c>
      <c r="DU66" s="632">
        <f t="shared" si="33"/>
        <v>-0.45276328280010603</v>
      </c>
      <c r="DV66" s="633">
        <f t="shared" si="34"/>
        <v>-15.226999999999975</v>
      </c>
    </row>
    <row r="67" spans="71:126" x14ac:dyDescent="0.25">
      <c r="BT67" s="79">
        <f t="shared" si="15"/>
        <v>2076</v>
      </c>
      <c r="BU67" s="280">
        <f>scenarios!E72</f>
        <v>-4.3499999999999996</v>
      </c>
      <c r="BV67" s="280">
        <f>scenarios!M72</f>
        <v>-4.3499999999999996</v>
      </c>
      <c r="BW67" s="280">
        <f>scenarios!V72</f>
        <v>-4.3499999999999996</v>
      </c>
      <c r="BX67" s="399">
        <f>scenarios!AE72</f>
        <v>-4.3499999999999996</v>
      </c>
      <c r="BY67" s="399">
        <f>scenarios!AN72</f>
        <v>-4.3499999999999996</v>
      </c>
      <c r="BZ67" s="399">
        <f>scenarios!BF72</f>
        <v>4.784823845500471E-4</v>
      </c>
      <c r="CA67" s="280">
        <f>'IPCC SR15 paths P1-P4'!C73</f>
        <v>-2.145387342600003</v>
      </c>
      <c r="CB67" s="399">
        <f>'IPCC SR15 paths P1-P4'!E73</f>
        <v>-4.1057630399999994</v>
      </c>
      <c r="CC67" s="616">
        <f>'IPCC SR15 paths P1-P4'!G64</f>
        <v>-5.0314632526001333</v>
      </c>
      <c r="CD67" s="399">
        <f>'IPCC SR15 paths P1-P4'!I73</f>
        <v>-17.257999999999981</v>
      </c>
      <c r="CF67" s="79">
        <f t="shared" si="16"/>
        <v>2076</v>
      </c>
      <c r="CG67" s="278" t="e">
        <f>IF($BU66&gt;'goal seek'!$F$31,$BU67/$BU66-1,#N/A)</f>
        <v>#N/A</v>
      </c>
      <c r="CH67" s="278" t="e">
        <f>IF(BV66&gt;'goal seek'!$F$28,BV67/BV66-1,#N/A)</f>
        <v>#N/A</v>
      </c>
      <c r="CI67" s="278" t="e">
        <f>IF(BW66&gt;'goal seek'!$F$28,BW67/BW66-1,#N/A)</f>
        <v>#N/A</v>
      </c>
      <c r="CJ67" s="402" t="e">
        <f>IF(BX66&gt;'goal seek'!$F$28,BX67/BX66-1,#N/A)</f>
        <v>#N/A</v>
      </c>
      <c r="CK67" s="402" t="e">
        <f>IF(BY66&gt;'goal seek'!$F$28,BY67/BY66-1,#N/A)</f>
        <v>#N/A</v>
      </c>
      <c r="CL67" s="402" t="e">
        <f>IF(BZ66&gt;'goal seek'!$F$28,BZ67/BZ66-1,#N/A)</f>
        <v>#N/A</v>
      </c>
      <c r="CM67" s="622" t="e">
        <f t="shared" si="17"/>
        <v>#N/A</v>
      </c>
      <c r="CN67" s="402" t="e">
        <f t="shared" si="29"/>
        <v>#N/A</v>
      </c>
      <c r="CO67" s="194" t="e">
        <f t="shared" si="30"/>
        <v>#N/A</v>
      </c>
      <c r="CP67" s="402" t="e">
        <f t="shared" si="31"/>
        <v>#N/A</v>
      </c>
      <c r="CR67" s="79">
        <f t="shared" si="18"/>
        <v>2076</v>
      </c>
      <c r="CS67" s="278">
        <f t="shared" si="36"/>
        <v>0</v>
      </c>
      <c r="CT67" s="278">
        <f t="shared" si="37"/>
        <v>0</v>
      </c>
      <c r="CU67" s="278">
        <f t="shared" si="38"/>
        <v>0</v>
      </c>
      <c r="CV67" s="402">
        <f t="shared" si="39"/>
        <v>0</v>
      </c>
      <c r="CW67" s="402">
        <f t="shared" si="40"/>
        <v>0</v>
      </c>
      <c r="CX67" s="402">
        <f t="shared" si="41"/>
        <v>0</v>
      </c>
      <c r="CZ67" s="79">
        <f t="shared" si="35"/>
        <v>2076</v>
      </c>
      <c r="DA67" s="299">
        <f>scenarios!K72</f>
        <v>-0.41044969219470817</v>
      </c>
      <c r="DB67" s="407">
        <f>scenarios!T72</f>
        <v>-0.41044969219470817</v>
      </c>
      <c r="DC67" s="211">
        <f>scenarios!AC72</f>
        <v>-0.41044969219470817</v>
      </c>
      <c r="DD67" s="407">
        <f>scenarios!AL72</f>
        <v>-0.41044969219470817</v>
      </c>
      <c r="DE67" s="407">
        <f>scenarios!AU72</f>
        <v>-0.41044969219470817</v>
      </c>
      <c r="DF67" s="407">
        <f>scenarios!BM72</f>
        <v>4.5147804013599269E-5</v>
      </c>
      <c r="DG67" s="626">
        <f>CA67/scenarios!$B72*1000000</f>
        <v>-0.20243070676059635</v>
      </c>
      <c r="DH67" s="626">
        <f>CB67/scenarios!$B72*1000000</f>
        <v>-0.38740440827411698</v>
      </c>
      <c r="DI67" s="626">
        <f>CC67/scenarios!$B72*1000000</f>
        <v>-0.47475000995832412</v>
      </c>
      <c r="DJ67" s="626">
        <f>CD67/scenarios!$B72*1000000</f>
        <v>-1.6284001811255784</v>
      </c>
      <c r="DL67" s="79">
        <f t="shared" si="42"/>
        <v>2068</v>
      </c>
      <c r="DM67" s="299">
        <f t="shared" si="43"/>
        <v>-2.2450011120224804</v>
      </c>
      <c r="DN67" s="211">
        <f t="shared" si="44"/>
        <v>-4.3499999999999996</v>
      </c>
      <c r="DO67" s="211">
        <f t="shared" si="45"/>
        <v>-4.3499999999999996</v>
      </c>
      <c r="DP67" s="211">
        <f t="shared" si="46"/>
        <v>-4.3499999999999996</v>
      </c>
      <c r="DQ67" s="211">
        <f t="shared" si="47"/>
        <v>-4.3499999999999996</v>
      </c>
      <c r="DR67" s="293">
        <f t="shared" si="48"/>
        <v>3.0521757811871712E-3</v>
      </c>
      <c r="DS67" s="631">
        <f t="shared" si="28"/>
        <v>-1.3496813131120575</v>
      </c>
      <c r="DT67" s="632">
        <f t="shared" si="32"/>
        <v>-3.4418973599999845</v>
      </c>
      <c r="DU67" s="632">
        <f t="shared" si="33"/>
        <v>-0.9817239454000628</v>
      </c>
      <c r="DV67" s="633">
        <f t="shared" si="34"/>
        <v>-15.567999999999984</v>
      </c>
    </row>
    <row r="68" spans="71:126" x14ac:dyDescent="0.25">
      <c r="BT68" s="79">
        <f t="shared" si="15"/>
        <v>2077</v>
      </c>
      <c r="BU68" s="280">
        <f>scenarios!E73</f>
        <v>-4.3499999999999996</v>
      </c>
      <c r="BV68" s="280">
        <f>scenarios!M73</f>
        <v>-4.3499999999999996</v>
      </c>
      <c r="BW68" s="280">
        <f>scenarios!V73</f>
        <v>-4.3499999999999996</v>
      </c>
      <c r="BX68" s="399">
        <f>scenarios!AE73</f>
        <v>-4.3499999999999996</v>
      </c>
      <c r="BY68" s="399">
        <f>scenarios!AN73</f>
        <v>-4.3499999999999996</v>
      </c>
      <c r="BZ68" s="399">
        <f>scenarios!BF73</f>
        <v>3.7904840791133545E-4</v>
      </c>
      <c r="CA68" s="280">
        <f>'IPCC SR15 paths P1-P4'!C74</f>
        <v>-2.2245916157000067</v>
      </c>
      <c r="CB68" s="399">
        <f>'IPCC SR15 paths P1-P4'!E74</f>
        <v>-4.1638769799999977</v>
      </c>
      <c r="CC68" s="616">
        <f>'IPCC SR15 paths P1-P4'!G65</f>
        <v>-5.5344316304001495</v>
      </c>
      <c r="CD68" s="399">
        <f>'IPCC SR15 paths P1-P4'!I74</f>
        <v>-17.425999999999988</v>
      </c>
      <c r="CF68" s="79">
        <f t="shared" si="16"/>
        <v>2077</v>
      </c>
      <c r="CG68" s="278" t="e">
        <f>IF($BU67&gt;'goal seek'!$F$31,$BU68/$BU67-1,#N/A)</f>
        <v>#N/A</v>
      </c>
      <c r="CH68" s="278" t="e">
        <f>IF(BV67&gt;'goal seek'!$F$28,BV68/BV67-1,#N/A)</f>
        <v>#N/A</v>
      </c>
      <c r="CI68" s="278" t="e">
        <f>IF(BW67&gt;'goal seek'!$F$28,BW68/BW67-1,#N/A)</f>
        <v>#N/A</v>
      </c>
      <c r="CJ68" s="402" t="e">
        <f>IF(BX67&gt;'goal seek'!$F$28,BX68/BX67-1,#N/A)</f>
        <v>#N/A</v>
      </c>
      <c r="CK68" s="402" t="e">
        <f>IF(BY67&gt;'goal seek'!$F$28,BY68/BY67-1,#N/A)</f>
        <v>#N/A</v>
      </c>
      <c r="CL68" s="402" t="e">
        <f>IF(BZ67&gt;'goal seek'!$F$28,BZ68/BZ67-1,#N/A)</f>
        <v>#N/A</v>
      </c>
      <c r="CM68" s="622" t="e">
        <f t="shared" si="17"/>
        <v>#N/A</v>
      </c>
      <c r="CN68" s="402" t="e">
        <f t="shared" si="29"/>
        <v>#N/A</v>
      </c>
      <c r="CO68" s="194" t="e">
        <f t="shared" si="30"/>
        <v>#N/A</v>
      </c>
      <c r="CP68" s="402" t="e">
        <f t="shared" si="31"/>
        <v>#N/A</v>
      </c>
      <c r="CR68" s="79">
        <f t="shared" si="18"/>
        <v>2077</v>
      </c>
      <c r="CS68" s="278">
        <f t="shared" si="36"/>
        <v>0</v>
      </c>
      <c r="CT68" s="278">
        <f t="shared" si="37"/>
        <v>0</v>
      </c>
      <c r="CU68" s="278">
        <f t="shared" si="38"/>
        <v>0</v>
      </c>
      <c r="CV68" s="402">
        <f t="shared" si="39"/>
        <v>0</v>
      </c>
      <c r="CW68" s="402">
        <f t="shared" si="40"/>
        <v>0</v>
      </c>
      <c r="CX68" s="402">
        <f t="shared" si="41"/>
        <v>0</v>
      </c>
      <c r="CZ68" s="79">
        <f t="shared" si="35"/>
        <v>2077</v>
      </c>
      <c r="DA68" s="299">
        <f>scenarios!K73</f>
        <v>-0.40967131961440889</v>
      </c>
      <c r="DB68" s="407">
        <f>scenarios!T73</f>
        <v>-0.40967131961440889</v>
      </c>
      <c r="DC68" s="211">
        <f>scenarios!AC73</f>
        <v>-0.40967131961440889</v>
      </c>
      <c r="DD68" s="407">
        <f>scenarios!AL73</f>
        <v>-0.40967131961440889</v>
      </c>
      <c r="DE68" s="407">
        <f>scenarios!AU73</f>
        <v>-0.40967131961440889</v>
      </c>
      <c r="DF68" s="407">
        <f>scenarios!BM73</f>
        <v>3.5697761256730471E-5</v>
      </c>
      <c r="DG68" s="626">
        <f>CA68/scenarios!$B73*1000000</f>
        <v>-0.20950606501309696</v>
      </c>
      <c r="DH68" s="626">
        <f>CB68/scenarios!$B73*1000000</f>
        <v>-0.39214275335831233</v>
      </c>
      <c r="DI68" s="626">
        <f>CC68/scenarios!$B73*1000000</f>
        <v>-0.52121791019350661</v>
      </c>
      <c r="DJ68" s="626">
        <f>CD68/scenarios!$B73*1000000</f>
        <v>-1.6411338886438354</v>
      </c>
      <c r="DL68" s="79">
        <f t="shared" si="42"/>
        <v>2069</v>
      </c>
      <c r="DM68" s="299">
        <f t="shared" si="43"/>
        <v>-2.5600401317569212</v>
      </c>
      <c r="DN68" s="211">
        <f t="shared" si="44"/>
        <v>-4.3499999999999996</v>
      </c>
      <c r="DO68" s="211">
        <f t="shared" si="45"/>
        <v>-4.3499999999999996</v>
      </c>
      <c r="DP68" s="211">
        <f t="shared" si="46"/>
        <v>-4.3499999999999996</v>
      </c>
      <c r="DQ68" s="211">
        <f t="shared" si="47"/>
        <v>-4.3499999999999996</v>
      </c>
      <c r="DR68" s="293">
        <f t="shared" si="48"/>
        <v>2.4238753176652125E-3</v>
      </c>
      <c r="DS68" s="631">
        <f t="shared" si="28"/>
        <v>-1.5099215085560331</v>
      </c>
      <c r="DT68" s="632">
        <f t="shared" si="32"/>
        <v>-3.5994883799999684</v>
      </c>
      <c r="DU68" s="632">
        <f t="shared" si="33"/>
        <v>-1.510684608</v>
      </c>
      <c r="DV68" s="633">
        <f t="shared" si="34"/>
        <v>-15.908999999999878</v>
      </c>
    </row>
    <row r="69" spans="71:126" x14ac:dyDescent="0.25">
      <c r="BT69" s="79">
        <f t="shared" si="15"/>
        <v>2078</v>
      </c>
      <c r="BU69" s="280">
        <f>scenarios!E74</f>
        <v>-4.3499999999999996</v>
      </c>
      <c r="BV69" s="280">
        <f>scenarios!M74</f>
        <v>-4.3499999999999996</v>
      </c>
      <c r="BW69" s="280">
        <f>scenarios!V74</f>
        <v>-4.3499999999999996</v>
      </c>
      <c r="BX69" s="399">
        <f>scenarios!AE74</f>
        <v>-4.3499999999999996</v>
      </c>
      <c r="BY69" s="399">
        <f>scenarios!AN74</f>
        <v>-4.3499999999999996</v>
      </c>
      <c r="BZ69" s="399">
        <f>scenarios!BF74</f>
        <v>3.0019871513347349E-4</v>
      </c>
      <c r="CA69" s="280">
        <f>'IPCC SR15 paths P1-P4'!C75</f>
        <v>-2.3037958888000105</v>
      </c>
      <c r="CB69" s="399">
        <f>'IPCC SR15 paths P1-P4'!E75</f>
        <v>-4.2219909199999961</v>
      </c>
      <c r="CC69" s="616">
        <f>'IPCC SR15 paths P1-P4'!G66</f>
        <v>-6.0374000081999384</v>
      </c>
      <c r="CD69" s="399">
        <f>'IPCC SR15 paths P1-P4'!I75</f>
        <v>-17.593999999999994</v>
      </c>
      <c r="CF69" s="79">
        <f t="shared" si="16"/>
        <v>2078</v>
      </c>
      <c r="CG69" s="278" t="e">
        <f>IF($BU68&gt;'goal seek'!$F$31,$BU69/$BU68-1,#N/A)</f>
        <v>#N/A</v>
      </c>
      <c r="CH69" s="278" t="e">
        <f>IF(BV68&gt;'goal seek'!$F$28,BV69/BV68-1,#N/A)</f>
        <v>#N/A</v>
      </c>
      <c r="CI69" s="278" t="e">
        <f>IF(BW68&gt;'goal seek'!$F$28,BW69/BW68-1,#N/A)</f>
        <v>#N/A</v>
      </c>
      <c r="CJ69" s="402" t="e">
        <f>IF(BX68&gt;'goal seek'!$F$28,BX69/BX68-1,#N/A)</f>
        <v>#N/A</v>
      </c>
      <c r="CK69" s="402" t="e">
        <f>IF(BY68&gt;'goal seek'!$F$28,BY69/BY68-1,#N/A)</f>
        <v>#N/A</v>
      </c>
      <c r="CL69" s="402" t="e">
        <f>IF(BZ68&gt;'goal seek'!$F$28,BZ69/BZ68-1,#N/A)</f>
        <v>#N/A</v>
      </c>
      <c r="CM69" s="622" t="e">
        <f t="shared" si="17"/>
        <v>#N/A</v>
      </c>
      <c r="CN69" s="402" t="e">
        <f t="shared" si="29"/>
        <v>#N/A</v>
      </c>
      <c r="CO69" s="194" t="e">
        <f t="shared" si="30"/>
        <v>#N/A</v>
      </c>
      <c r="CP69" s="402" t="e">
        <f t="shared" si="31"/>
        <v>#N/A</v>
      </c>
      <c r="CR69" s="79">
        <f t="shared" si="18"/>
        <v>2078</v>
      </c>
      <c r="CS69" s="278">
        <f t="shared" si="36"/>
        <v>0</v>
      </c>
      <c r="CT69" s="278">
        <f t="shared" si="37"/>
        <v>0</v>
      </c>
      <c r="CU69" s="278">
        <f t="shared" si="38"/>
        <v>0</v>
      </c>
      <c r="CV69" s="402">
        <f t="shared" si="39"/>
        <v>0</v>
      </c>
      <c r="CW69" s="402">
        <f t="shared" si="40"/>
        <v>0</v>
      </c>
      <c r="CX69" s="402">
        <f t="shared" si="41"/>
        <v>0</v>
      </c>
      <c r="CZ69" s="79">
        <f t="shared" si="35"/>
        <v>2078</v>
      </c>
      <c r="DA69" s="299">
        <f>scenarios!K74</f>
        <v>-0.4089278288137877</v>
      </c>
      <c r="DB69" s="407">
        <f>scenarios!T74</f>
        <v>-0.4089278288137877</v>
      </c>
      <c r="DC69" s="211">
        <f>scenarios!AC74</f>
        <v>-0.4089278288137877</v>
      </c>
      <c r="DD69" s="407">
        <f>scenarios!AL74</f>
        <v>-0.4089278288137877</v>
      </c>
      <c r="DE69" s="407">
        <f>scenarios!AU74</f>
        <v>-0.4089278288137877</v>
      </c>
      <c r="DF69" s="407">
        <f>scenarios!BM74</f>
        <v>2.8220599722349443E-5</v>
      </c>
      <c r="DG69" s="626">
        <f>CA69/scenarios!$B74*1000000</f>
        <v>-0.21657155191657898</v>
      </c>
      <c r="DH69" s="626">
        <f>CB69/scenarios!$B74*1000000</f>
        <v>-0.3968941563648562</v>
      </c>
      <c r="DI69" s="626">
        <f>CC69/scenarios!$B74*1000000</f>
        <v>-0.5675542246054126</v>
      </c>
      <c r="DJ69" s="626">
        <f>CD69/scenarios!$B74*1000000</f>
        <v>-1.6539485563562708</v>
      </c>
      <c r="DL69" s="79">
        <f t="shared" si="42"/>
        <v>2070</v>
      </c>
      <c r="DM69" s="299">
        <f t="shared" si="43"/>
        <v>-2.8750791514913621</v>
      </c>
      <c r="DN69" s="211">
        <f t="shared" si="44"/>
        <v>-4.3499999999999996</v>
      </c>
      <c r="DO69" s="211">
        <f t="shared" si="45"/>
        <v>-4.3499999999999996</v>
      </c>
      <c r="DP69" s="211">
        <f t="shared" si="46"/>
        <v>-4.3499999999999996</v>
      </c>
      <c r="DQ69" s="211">
        <f t="shared" si="47"/>
        <v>-4.3499999999999996</v>
      </c>
      <c r="DR69" s="293">
        <f t="shared" si="48"/>
        <v>1.9242418703228478E-3</v>
      </c>
      <c r="DS69" s="631">
        <f t="shared" si="28"/>
        <v>-1.6701617040000001</v>
      </c>
      <c r="DT69" s="632">
        <f t="shared" si="32"/>
        <v>-3.7570794000000003</v>
      </c>
      <c r="DU69" s="632">
        <f t="shared" si="33"/>
        <v>-2.0136529858000358</v>
      </c>
      <c r="DV69" s="633">
        <f t="shared" si="34"/>
        <v>-16.25</v>
      </c>
    </row>
    <row r="70" spans="71:126" x14ac:dyDescent="0.25">
      <c r="BT70" s="79">
        <f t="shared" si="15"/>
        <v>2079</v>
      </c>
      <c r="BU70" s="280">
        <f>scenarios!E75</f>
        <v>-4.3499999999999996</v>
      </c>
      <c r="BV70" s="280">
        <f>scenarios!M75</f>
        <v>-4.3499999999999996</v>
      </c>
      <c r="BW70" s="280">
        <f>scenarios!V75</f>
        <v>-4.3499999999999996</v>
      </c>
      <c r="BX70" s="399">
        <f>scenarios!AE75</f>
        <v>-4.3499999999999996</v>
      </c>
      <c r="BY70" s="399">
        <f>scenarios!AN75</f>
        <v>-4.3499999999999996</v>
      </c>
      <c r="BZ70" s="399">
        <f>scenarios!BF75</f>
        <v>2.3769062016652581E-4</v>
      </c>
      <c r="CA70" s="280">
        <f>'IPCC SR15 paths P1-P4'!C76</f>
        <v>-2.3830001619000143</v>
      </c>
      <c r="CB70" s="399">
        <f>'IPCC SR15 paths P1-P4'!E76</f>
        <v>-4.2801048599999945</v>
      </c>
      <c r="CC70" s="616">
        <f>'IPCC SR15 paths P1-P4'!G67</f>
        <v>-6.5403683859999999</v>
      </c>
      <c r="CD70" s="399">
        <f>'IPCC SR15 paths P1-P4'!I76</f>
        <v>-17.762</v>
      </c>
      <c r="CF70" s="79">
        <f t="shared" si="16"/>
        <v>2079</v>
      </c>
      <c r="CG70" s="278" t="e">
        <f>IF($BU69&gt;'goal seek'!$F$31,$BU70/$BU69-1,#N/A)</f>
        <v>#N/A</v>
      </c>
      <c r="CH70" s="278" t="e">
        <f>IF(BV69&gt;'goal seek'!$F$28,BV70/BV69-1,#N/A)</f>
        <v>#N/A</v>
      </c>
      <c r="CI70" s="278" t="e">
        <f>IF(BW69&gt;'goal seek'!$F$28,BW70/BW69-1,#N/A)</f>
        <v>#N/A</v>
      </c>
      <c r="CJ70" s="402" t="e">
        <f>IF(BX69&gt;'goal seek'!$F$28,BX70/BX69-1,#N/A)</f>
        <v>#N/A</v>
      </c>
      <c r="CK70" s="402" t="e">
        <f>IF(BY69&gt;'goal seek'!$F$28,BY70/BY69-1,#N/A)</f>
        <v>#N/A</v>
      </c>
      <c r="CL70" s="402" t="e">
        <f>IF(BZ69&gt;'goal seek'!$F$28,BZ70/BZ69-1,#N/A)</f>
        <v>#N/A</v>
      </c>
      <c r="CM70" s="622" t="e">
        <f t="shared" si="17"/>
        <v>#N/A</v>
      </c>
      <c r="CN70" s="402" t="e">
        <f t="shared" si="29"/>
        <v>#N/A</v>
      </c>
      <c r="CO70" s="194" t="e">
        <f t="shared" si="30"/>
        <v>#N/A</v>
      </c>
      <c r="CP70" s="402" t="e">
        <f t="shared" si="31"/>
        <v>#N/A</v>
      </c>
      <c r="CR70" s="79">
        <f t="shared" si="18"/>
        <v>2079</v>
      </c>
      <c r="CS70" s="278">
        <f t="shared" si="36"/>
        <v>0</v>
      </c>
      <c r="CT70" s="278">
        <f t="shared" si="37"/>
        <v>0</v>
      </c>
      <c r="CU70" s="278">
        <f t="shared" si="38"/>
        <v>0</v>
      </c>
      <c r="CV70" s="402">
        <f t="shared" si="39"/>
        <v>0</v>
      </c>
      <c r="CW70" s="402">
        <f t="shared" si="40"/>
        <v>0</v>
      </c>
      <c r="CX70" s="402">
        <f t="shared" si="41"/>
        <v>0</v>
      </c>
      <c r="CZ70" s="79">
        <f t="shared" si="35"/>
        <v>2079</v>
      </c>
      <c r="DA70" s="299">
        <f>scenarios!K75</f>
        <v>-0.40821863507440415</v>
      </c>
      <c r="DB70" s="407">
        <f>scenarios!T75</f>
        <v>-0.40821863507440415</v>
      </c>
      <c r="DC70" s="211">
        <f>scenarios!AC75</f>
        <v>-0.40821863507440415</v>
      </c>
      <c r="DD70" s="407">
        <f>scenarios!AL75</f>
        <v>-0.40821863507440415</v>
      </c>
      <c r="DE70" s="407">
        <f>scenarios!AU75</f>
        <v>-0.40821863507440415</v>
      </c>
      <c r="DF70" s="407">
        <f>scenarios!BM75</f>
        <v>2.2305687479165014E-5</v>
      </c>
      <c r="DG70" s="626">
        <f>CA70/scenarios!$B75*1000000</f>
        <v>-0.22362875252250758</v>
      </c>
      <c r="DH70" s="626">
        <f>CB70/scenarios!$B75*1000000</f>
        <v>-0.40165943998264864</v>
      </c>
      <c r="DI70" s="626">
        <f>CC70/scenarios!$B75*1000000</f>
        <v>-0.61377017365901232</v>
      </c>
      <c r="DJ70" s="626">
        <f>CD70/scenarios!$B75*1000000</f>
        <v>-1.666845838204958</v>
      </c>
      <c r="DL70" s="79">
        <f t="shared" si="42"/>
        <v>2071</v>
      </c>
      <c r="DM70" s="299">
        <f t="shared" si="43"/>
        <v>-3.1901181712258029</v>
      </c>
      <c r="DN70" s="211">
        <f t="shared" si="44"/>
        <v>-4.3499999999999996</v>
      </c>
      <c r="DO70" s="211">
        <f t="shared" si="45"/>
        <v>-4.3499999999999996</v>
      </c>
      <c r="DP70" s="211">
        <f t="shared" si="46"/>
        <v>-4.3499999999999996</v>
      </c>
      <c r="DQ70" s="211">
        <f t="shared" si="47"/>
        <v>-4.3499999999999996</v>
      </c>
      <c r="DR70" s="293">
        <f t="shared" si="48"/>
        <v>1.5270849293665132E-3</v>
      </c>
      <c r="DS70" s="631">
        <f t="shared" si="28"/>
        <v>-1.7493659771000125</v>
      </c>
      <c r="DT70" s="632">
        <f t="shared" si="32"/>
        <v>-3.8151933400000075</v>
      </c>
      <c r="DU70" s="632">
        <f t="shared" si="33"/>
        <v>-2.5166213636000521</v>
      </c>
      <c r="DV70" s="633">
        <f t="shared" si="34"/>
        <v>-16.41799999999995</v>
      </c>
    </row>
    <row r="71" spans="71:126" x14ac:dyDescent="0.25">
      <c r="BT71" s="79">
        <f t="shared" si="15"/>
        <v>2080</v>
      </c>
      <c r="BU71" s="280">
        <f>scenarios!E76</f>
        <v>-4.3499999999999996</v>
      </c>
      <c r="BV71" s="280">
        <f>scenarios!M76</f>
        <v>-4.3499999999999996</v>
      </c>
      <c r="BW71" s="280">
        <f>scenarios!V76</f>
        <v>-4.3499999999999996</v>
      </c>
      <c r="BX71" s="399">
        <f>scenarios!AE76</f>
        <v>-4.3499999999999996</v>
      </c>
      <c r="BY71" s="399">
        <f>scenarios!AN76</f>
        <v>-4.3499999999999996</v>
      </c>
      <c r="BZ71" s="399">
        <f>scenarios!BF76</f>
        <v>1.8815154288200672E-4</v>
      </c>
      <c r="CA71" s="280">
        <f>'IPCC SR15 paths P1-P4'!C77</f>
        <v>-2.4622044350000003</v>
      </c>
      <c r="CB71" s="399">
        <f>'IPCC SR15 paths P1-P4'!E77</f>
        <v>-4.3382187999999999</v>
      </c>
      <c r="CC71" s="616">
        <f>'IPCC SR15 paths P1-P4'!G68</f>
        <v>-6.9472179654000001</v>
      </c>
      <c r="CD71" s="399">
        <f>'IPCC SR15 paths P1-P4'!I77</f>
        <v>-17.93</v>
      </c>
      <c r="CF71" s="79">
        <f t="shared" si="16"/>
        <v>2080</v>
      </c>
      <c r="CG71" s="278" t="e">
        <f>IF($BU70&gt;'goal seek'!$F$31,$BU71/$BU70-1,#N/A)</f>
        <v>#N/A</v>
      </c>
      <c r="CH71" s="278" t="e">
        <f>IF(BV70&gt;'goal seek'!$F$28,BV71/BV70-1,#N/A)</f>
        <v>#N/A</v>
      </c>
      <c r="CI71" s="278" t="e">
        <f>IF(BW70&gt;'goal seek'!$F$28,BW71/BW70-1,#N/A)</f>
        <v>#N/A</v>
      </c>
      <c r="CJ71" s="402" t="e">
        <f>IF(BX70&gt;'goal seek'!$F$28,BX71/BX70-1,#N/A)</f>
        <v>#N/A</v>
      </c>
      <c r="CK71" s="402" t="e">
        <f>IF(BY70&gt;'goal seek'!$F$28,BY71/BY70-1,#N/A)</f>
        <v>#N/A</v>
      </c>
      <c r="CL71" s="402" t="e">
        <f>IF(BZ70&gt;'goal seek'!$F$28,BZ71/BZ70-1,#N/A)</f>
        <v>#N/A</v>
      </c>
      <c r="CM71" s="622" t="e">
        <f t="shared" si="17"/>
        <v>#N/A</v>
      </c>
      <c r="CN71" s="402" t="e">
        <f t="shared" si="29"/>
        <v>#N/A</v>
      </c>
      <c r="CO71" s="194" t="e">
        <f t="shared" si="30"/>
        <v>#N/A</v>
      </c>
      <c r="CP71" s="402" t="e">
        <f t="shared" si="31"/>
        <v>#N/A</v>
      </c>
      <c r="CR71" s="79">
        <f t="shared" si="18"/>
        <v>2080</v>
      </c>
      <c r="CS71" s="278">
        <f t="shared" si="36"/>
        <v>0</v>
      </c>
      <c r="CT71" s="278">
        <f t="shared" si="37"/>
        <v>0</v>
      </c>
      <c r="CU71" s="278">
        <f t="shared" si="38"/>
        <v>0</v>
      </c>
      <c r="CV71" s="402">
        <f t="shared" si="39"/>
        <v>0</v>
      </c>
      <c r="CW71" s="402">
        <f t="shared" si="40"/>
        <v>0</v>
      </c>
      <c r="CX71" s="402">
        <f t="shared" si="41"/>
        <v>0</v>
      </c>
      <c r="CZ71" s="79">
        <f t="shared" si="35"/>
        <v>2080</v>
      </c>
      <c r="DA71" s="299">
        <f>scenarios!K76</f>
        <v>-0.40754303226687932</v>
      </c>
      <c r="DB71" s="407">
        <f>scenarios!T76</f>
        <v>-0.40754303226687932</v>
      </c>
      <c r="DC71" s="211">
        <f>scenarios!AC76</f>
        <v>-0.40754303226687932</v>
      </c>
      <c r="DD71" s="407">
        <f>scenarios!AL76</f>
        <v>-0.40754303226687932</v>
      </c>
      <c r="DE71" s="407">
        <f>scenarios!AU76</f>
        <v>-0.40754303226687932</v>
      </c>
      <c r="DF71" s="407">
        <f>scenarios!BM76</f>
        <v>1.7627551795821789E-5</v>
      </c>
      <c r="DG71" s="626">
        <f>CA71/scenarios!$B76*1000000</f>
        <v>-0.23067914057491001</v>
      </c>
      <c r="DH71" s="626">
        <f>CB71/scenarios!$B76*1000000</f>
        <v>-0.40643927457222584</v>
      </c>
      <c r="DI71" s="626">
        <f>CC71/scenarios!$B76*1000000</f>
        <v>-0.65087132768690947</v>
      </c>
      <c r="DJ71" s="626">
        <f>CD71/scenarios!$B76*1000000</f>
        <v>-1.6798267973667003</v>
      </c>
      <c r="DL71" s="79">
        <f t="shared" si="42"/>
        <v>2072</v>
      </c>
      <c r="DM71" s="299">
        <f t="shared" si="43"/>
        <v>-3.5051571909602437</v>
      </c>
      <c r="DN71" s="211">
        <f t="shared" si="44"/>
        <v>-4.3499999999999996</v>
      </c>
      <c r="DO71" s="211">
        <f t="shared" si="45"/>
        <v>-4.3499999999999996</v>
      </c>
      <c r="DP71" s="211">
        <f t="shared" si="46"/>
        <v>-4.3499999999999996</v>
      </c>
      <c r="DQ71" s="211">
        <f t="shared" si="47"/>
        <v>-4.3499999999999996</v>
      </c>
      <c r="DR71" s="293">
        <f t="shared" si="48"/>
        <v>1.211507400511235E-3</v>
      </c>
      <c r="DS71" s="631">
        <f t="shared" si="28"/>
        <v>-1.8285702502000163</v>
      </c>
      <c r="DT71" s="632">
        <f t="shared" si="32"/>
        <v>-3.8733072800000059</v>
      </c>
      <c r="DU71" s="632">
        <f t="shared" si="33"/>
        <v>-3.0195897414000683</v>
      </c>
      <c r="DV71" s="633">
        <f t="shared" si="34"/>
        <v>-16.585999999999956</v>
      </c>
    </row>
    <row r="72" spans="71:126" x14ac:dyDescent="0.25">
      <c r="BT72" s="79">
        <f t="shared" si="15"/>
        <v>2081</v>
      </c>
      <c r="BU72" s="280">
        <f>scenarios!E77</f>
        <v>-4.3499999999999996</v>
      </c>
      <c r="BV72" s="280">
        <f>scenarios!M77</f>
        <v>-4.3499999999999996</v>
      </c>
      <c r="BW72" s="280">
        <f>scenarios!V77</f>
        <v>-4.3499999999999996</v>
      </c>
      <c r="BX72" s="399">
        <f>scenarios!AE77</f>
        <v>-4.3499999999999996</v>
      </c>
      <c r="BY72" s="399">
        <f>scenarios!AN77</f>
        <v>-4.3499999999999996</v>
      </c>
      <c r="BZ72" s="399">
        <f>scenarios!BF77</f>
        <v>1.4890159613068659E-4</v>
      </c>
      <c r="CA72" s="280">
        <f>'IPCC SR15 paths P1-P4'!C78</f>
        <v>-2.5462090075000106</v>
      </c>
      <c r="CB72" s="399">
        <f>'IPCC SR15 paths P1-P4'!E78</f>
        <v>-4.3434462000000007</v>
      </c>
      <c r="CC72" s="616">
        <f>'IPCC SR15 paths P1-P4'!G69</f>
        <v>-7.354067544799932</v>
      </c>
      <c r="CD72" s="399">
        <f>'IPCC SR15 paths P1-P4'!I78</f>
        <v>-18.091999999999985</v>
      </c>
      <c r="CF72" s="79">
        <f t="shared" si="16"/>
        <v>2081</v>
      </c>
      <c r="CG72" s="278" t="e">
        <f>IF($BU71&gt;'goal seek'!$F$31,$BU72/$BU71-1,#N/A)</f>
        <v>#N/A</v>
      </c>
      <c r="CH72" s="278" t="e">
        <f>IF(BV71&gt;'goal seek'!$F$28,BV72/BV71-1,#N/A)</f>
        <v>#N/A</v>
      </c>
      <c r="CI72" s="278" t="e">
        <f>IF(BW71&gt;'goal seek'!$F$28,BW72/BW71-1,#N/A)</f>
        <v>#N/A</v>
      </c>
      <c r="CJ72" s="402" t="e">
        <f>IF(BX71&gt;'goal seek'!$F$28,BX72/BX71-1,#N/A)</f>
        <v>#N/A</v>
      </c>
      <c r="CK72" s="402" t="e">
        <f>IF(BY71&gt;'goal seek'!$F$28,BY72/BY71-1,#N/A)</f>
        <v>#N/A</v>
      </c>
      <c r="CL72" s="402" t="e">
        <f>IF(BZ71&gt;'goal seek'!$F$28,BZ72/BZ71-1,#N/A)</f>
        <v>#N/A</v>
      </c>
      <c r="CM72" s="622" t="e">
        <f t="shared" si="17"/>
        <v>#N/A</v>
      </c>
      <c r="CN72" s="402" t="e">
        <f t="shared" si="29"/>
        <v>#N/A</v>
      </c>
      <c r="CO72" s="194" t="e">
        <f t="shared" si="30"/>
        <v>#N/A</v>
      </c>
      <c r="CP72" s="402" t="e">
        <f t="shared" si="31"/>
        <v>#N/A</v>
      </c>
      <c r="CR72" s="79">
        <f t="shared" si="18"/>
        <v>2081</v>
      </c>
      <c r="CS72" s="278">
        <f t="shared" si="36"/>
        <v>0</v>
      </c>
      <c r="CT72" s="278">
        <f t="shared" si="37"/>
        <v>0</v>
      </c>
      <c r="CU72" s="278">
        <f t="shared" si="38"/>
        <v>0</v>
      </c>
      <c r="CV72" s="402">
        <f t="shared" si="39"/>
        <v>0</v>
      </c>
      <c r="CW72" s="402">
        <f t="shared" si="40"/>
        <v>0</v>
      </c>
      <c r="CX72" s="402">
        <f t="shared" si="41"/>
        <v>0</v>
      </c>
      <c r="CZ72" s="79">
        <f t="shared" si="35"/>
        <v>2081</v>
      </c>
      <c r="DA72" s="299">
        <f>scenarios!K77</f>
        <v>-0.4069003958745831</v>
      </c>
      <c r="DB72" s="407">
        <f>scenarios!T77</f>
        <v>-0.4069003958745831</v>
      </c>
      <c r="DC72" s="211">
        <f>scenarios!AC77</f>
        <v>-0.4069003958745831</v>
      </c>
      <c r="DD72" s="407">
        <f>scenarios!AL77</f>
        <v>-0.4069003958745831</v>
      </c>
      <c r="DE72" s="407">
        <f>scenarios!AU77</f>
        <v>-0.4069003958745831</v>
      </c>
      <c r="DF72" s="407">
        <f>scenarios!BM77</f>
        <v>1.392830308320314E-5</v>
      </c>
      <c r="DG72" s="626">
        <f>CA72/scenarios!$B77*1000000</f>
        <v>-0.23817320761636404</v>
      </c>
      <c r="DH72" s="626">
        <f>CB72/scenarios!$B77*1000000</f>
        <v>-0.40628735131952964</v>
      </c>
      <c r="DI72" s="626">
        <f>CC72/scenarios!$B77*1000000</f>
        <v>-0.68790183799253235</v>
      </c>
      <c r="DJ72" s="626">
        <f>CD72/scenarios!$B77*1000000</f>
        <v>-1.6923314855547014</v>
      </c>
      <c r="DL72" s="79">
        <f t="shared" si="42"/>
        <v>2073</v>
      </c>
      <c r="DM72" s="299">
        <f t="shared" si="43"/>
        <v>-3.8201962106946845</v>
      </c>
      <c r="DN72" s="211">
        <f t="shared" si="44"/>
        <v>-4.3499999999999996</v>
      </c>
      <c r="DO72" s="211">
        <f t="shared" si="45"/>
        <v>-4.3499999999999996</v>
      </c>
      <c r="DP72" s="211">
        <f t="shared" si="46"/>
        <v>-4.3499999999999996</v>
      </c>
      <c r="DQ72" s="211">
        <f t="shared" si="47"/>
        <v>-4.3499999999999996</v>
      </c>
      <c r="DR72" s="293">
        <f t="shared" si="48"/>
        <v>9.6084476937006134E-4</v>
      </c>
      <c r="DS72" s="631">
        <f t="shared" si="28"/>
        <v>-1.9077745233000201</v>
      </c>
      <c r="DT72" s="632">
        <f t="shared" si="32"/>
        <v>-3.9314212200000043</v>
      </c>
      <c r="DU72" s="632">
        <f t="shared" si="33"/>
        <v>-3.5225581192000845</v>
      </c>
      <c r="DV72" s="633">
        <f t="shared" si="34"/>
        <v>-16.753999999999962</v>
      </c>
    </row>
    <row r="73" spans="71:126" x14ac:dyDescent="0.25">
      <c r="BT73" s="79">
        <f t="shared" si="15"/>
        <v>2082</v>
      </c>
      <c r="BU73" s="280">
        <f>scenarios!E78</f>
        <v>-4.3499999999999996</v>
      </c>
      <c r="BV73" s="280">
        <f>scenarios!M78</f>
        <v>-4.3499999999999996</v>
      </c>
      <c r="BW73" s="280">
        <f>scenarios!V78</f>
        <v>-4.3499999999999996</v>
      </c>
      <c r="BX73" s="399">
        <f>scenarios!AE78</f>
        <v>-4.3499999999999996</v>
      </c>
      <c r="BY73" s="399">
        <f>scenarios!AN78</f>
        <v>-4.3499999999999996</v>
      </c>
      <c r="BZ73" s="399">
        <f>scenarios!BF78</f>
        <v>1.1781210199380822E-4</v>
      </c>
      <c r="CA73" s="280">
        <f>'IPCC SR15 paths P1-P4'!C79</f>
        <v>-2.630213580000003</v>
      </c>
      <c r="CB73" s="399">
        <f>'IPCC SR15 paths P1-P4'!E79</f>
        <v>-4.3486736000000015</v>
      </c>
      <c r="CC73" s="616">
        <f>'IPCC SR15 paths P1-P4'!G70</f>
        <v>-7.7609171241999775</v>
      </c>
      <c r="CD73" s="399">
        <f>'IPCC SR15 paths P1-P4'!I79</f>
        <v>-18.253999999999962</v>
      </c>
      <c r="CF73" s="79">
        <f t="shared" si="16"/>
        <v>2082</v>
      </c>
      <c r="CG73" s="278" t="e">
        <f>IF($BU72&gt;'goal seek'!$F$31,$BU73/$BU72-1,#N/A)</f>
        <v>#N/A</v>
      </c>
      <c r="CH73" s="278" t="e">
        <f>IF(BV72&gt;'goal seek'!$F$28,BV73/BV72-1,#N/A)</f>
        <v>#N/A</v>
      </c>
      <c r="CI73" s="278" t="e">
        <f>IF(BW72&gt;'goal seek'!$F$28,BW73/BW72-1,#N/A)</f>
        <v>#N/A</v>
      </c>
      <c r="CJ73" s="402" t="e">
        <f>IF(BX72&gt;'goal seek'!$F$28,BX73/BX72-1,#N/A)</f>
        <v>#N/A</v>
      </c>
      <c r="CK73" s="402" t="e">
        <f>IF(BY72&gt;'goal seek'!$F$28,BY73/BY72-1,#N/A)</f>
        <v>#N/A</v>
      </c>
      <c r="CL73" s="402" t="e">
        <f>IF(BZ72&gt;'goal seek'!$F$28,BZ73/BZ72-1,#N/A)</f>
        <v>#N/A</v>
      </c>
      <c r="CM73" s="622" t="e">
        <f t="shared" si="17"/>
        <v>#N/A</v>
      </c>
      <c r="CN73" s="402" t="e">
        <f t="shared" si="29"/>
        <v>#N/A</v>
      </c>
      <c r="CO73" s="194" t="e">
        <f t="shared" si="30"/>
        <v>#N/A</v>
      </c>
      <c r="CP73" s="402" t="e">
        <f t="shared" si="31"/>
        <v>#N/A</v>
      </c>
      <c r="CR73" s="79">
        <f t="shared" si="18"/>
        <v>2082</v>
      </c>
      <c r="CS73" s="278">
        <f t="shared" si="36"/>
        <v>0</v>
      </c>
      <c r="CT73" s="278">
        <f t="shared" si="37"/>
        <v>0</v>
      </c>
      <c r="CU73" s="278">
        <f t="shared" si="38"/>
        <v>0</v>
      </c>
      <c r="CV73" s="402">
        <f t="shared" si="39"/>
        <v>0</v>
      </c>
      <c r="CW73" s="402">
        <f t="shared" si="40"/>
        <v>0</v>
      </c>
      <c r="CX73" s="402">
        <f t="shared" si="41"/>
        <v>0</v>
      </c>
      <c r="CZ73" s="79">
        <f t="shared" si="35"/>
        <v>2082</v>
      </c>
      <c r="DA73" s="299">
        <f>scenarios!K78</f>
        <v>-0.4062897605754755</v>
      </c>
      <c r="DB73" s="407">
        <f>scenarios!T78</f>
        <v>-0.4062897605754755</v>
      </c>
      <c r="DC73" s="211">
        <f>scenarios!AC78</f>
        <v>-0.4062897605754755</v>
      </c>
      <c r="DD73" s="407">
        <f>scenarios!AL78</f>
        <v>-0.4062897605754755</v>
      </c>
      <c r="DE73" s="407">
        <f>scenarios!AU78</f>
        <v>-0.4062897605754755</v>
      </c>
      <c r="DF73" s="407">
        <f>scenarios!BM78</f>
        <v>1.1003643841829388E-5</v>
      </c>
      <c r="DG73" s="626">
        <f>CA73/scenarios!$B78*1000000</f>
        <v>-0.2456618036047277</v>
      </c>
      <c r="DH73" s="626">
        <f>CB73/scenarios!$B78*1000000</f>
        <v>-0.40616587488848088</v>
      </c>
      <c r="DI73" s="626">
        <f>CC73/scenarios!$B78*1000000</f>
        <v>-0.72486923223846367</v>
      </c>
      <c r="DJ73" s="626">
        <f>CD73/scenarios!$B78*1000000</f>
        <v>-1.7049225952976357</v>
      </c>
      <c r="DL73" s="79">
        <f t="shared" si="42"/>
        <v>2074</v>
      </c>
      <c r="DM73" s="299">
        <f t="shared" si="43"/>
        <v>-4.1352352304291253</v>
      </c>
      <c r="DN73" s="211">
        <f t="shared" si="44"/>
        <v>-4.3499999999999996</v>
      </c>
      <c r="DO73" s="211">
        <f t="shared" si="45"/>
        <v>-4.3499999999999996</v>
      </c>
      <c r="DP73" s="211">
        <f t="shared" si="46"/>
        <v>-4.3499999999999996</v>
      </c>
      <c r="DQ73" s="211">
        <f t="shared" si="47"/>
        <v>-4.3499999999999996</v>
      </c>
      <c r="DR73" s="293">
        <f t="shared" si="48"/>
        <v>7.61814689302157E-4</v>
      </c>
      <c r="DS73" s="631">
        <f t="shared" si="28"/>
        <v>-1.9869787964000238</v>
      </c>
      <c r="DT73" s="632">
        <f t="shared" si="32"/>
        <v>-3.9895351600000026</v>
      </c>
      <c r="DU73" s="632">
        <f t="shared" si="33"/>
        <v>-4.0255264970001008</v>
      </c>
      <c r="DV73" s="633">
        <f t="shared" si="34"/>
        <v>-16.921999999999969</v>
      </c>
    </row>
    <row r="74" spans="71:126" x14ac:dyDescent="0.25">
      <c r="BT74" s="79">
        <f t="shared" si="15"/>
        <v>2083</v>
      </c>
      <c r="BU74" s="280">
        <f>scenarios!E79</f>
        <v>-4.3499999999999996</v>
      </c>
      <c r="BV74" s="280">
        <f>scenarios!M79</f>
        <v>-4.3499999999999996</v>
      </c>
      <c r="BW74" s="280">
        <f>scenarios!V79</f>
        <v>-4.3499999999999996</v>
      </c>
      <c r="BX74" s="399">
        <f>scenarios!AE79</f>
        <v>-4.3499999999999996</v>
      </c>
      <c r="BY74" s="399">
        <f>scenarios!AN79</f>
        <v>-4.3499999999999996</v>
      </c>
      <c r="BZ74" s="399">
        <f>scenarios!BF79</f>
        <v>9.3192819451234812E-5</v>
      </c>
      <c r="CA74" s="280">
        <f>'IPCC SR15 paths P1-P4'!C80</f>
        <v>-2.7142181524999955</v>
      </c>
      <c r="CB74" s="399">
        <f>'IPCC SR15 paths P1-P4'!E80</f>
        <v>-4.3539010000000005</v>
      </c>
      <c r="CC74" s="616">
        <f>'IPCC SR15 paths P1-P4'!G71</f>
        <v>-8.167766703600023</v>
      </c>
      <c r="CD74" s="399">
        <f>'IPCC SR15 paths P1-P4'!I80</f>
        <v>-18.415999999999997</v>
      </c>
      <c r="CF74" s="79">
        <f t="shared" si="16"/>
        <v>2083</v>
      </c>
      <c r="CG74" s="278" t="e">
        <f>IF($BU73&gt;'goal seek'!$F$31,$BU74/$BU73-1,#N/A)</f>
        <v>#N/A</v>
      </c>
      <c r="CH74" s="278" t="e">
        <f>IF(BV73&gt;'goal seek'!$F$28,BV74/BV73-1,#N/A)</f>
        <v>#N/A</v>
      </c>
      <c r="CI74" s="278" t="e">
        <f>IF(BW73&gt;'goal seek'!$F$28,BW74/BW73-1,#N/A)</f>
        <v>#N/A</v>
      </c>
      <c r="CJ74" s="402" t="e">
        <f>IF(BX73&gt;'goal seek'!$F$28,BX74/BX73-1,#N/A)</f>
        <v>#N/A</v>
      </c>
      <c r="CK74" s="402" t="e">
        <f>IF(BY73&gt;'goal seek'!$F$28,BY74/BY73-1,#N/A)</f>
        <v>#N/A</v>
      </c>
      <c r="CL74" s="402" t="e">
        <f>IF(BZ73&gt;'goal seek'!$F$28,BZ74/BZ73-1,#N/A)</f>
        <v>#N/A</v>
      </c>
      <c r="CM74" s="622" t="e">
        <f t="shared" si="17"/>
        <v>#N/A</v>
      </c>
      <c r="CN74" s="402" t="e">
        <f t="shared" si="29"/>
        <v>#N/A</v>
      </c>
      <c r="CO74" s="194" t="e">
        <f t="shared" si="30"/>
        <v>#N/A</v>
      </c>
      <c r="CP74" s="402" t="e">
        <f t="shared" si="31"/>
        <v>#N/A</v>
      </c>
      <c r="CR74" s="79">
        <f t="shared" si="18"/>
        <v>2083</v>
      </c>
      <c r="CS74" s="278">
        <f t="shared" si="36"/>
        <v>0</v>
      </c>
      <c r="CT74" s="278">
        <f t="shared" si="37"/>
        <v>0</v>
      </c>
      <c r="CU74" s="278">
        <f t="shared" si="38"/>
        <v>0</v>
      </c>
      <c r="CV74" s="402">
        <f t="shared" si="39"/>
        <v>0</v>
      </c>
      <c r="CW74" s="402">
        <f t="shared" si="40"/>
        <v>0</v>
      </c>
      <c r="CX74" s="402">
        <f t="shared" si="41"/>
        <v>0</v>
      </c>
      <c r="CZ74" s="79">
        <f t="shared" ref="CZ74:CZ91" si="49">BT74</f>
        <v>2083</v>
      </c>
      <c r="DA74" s="299">
        <f>scenarios!K79</f>
        <v>-0.40570973655936077</v>
      </c>
      <c r="DB74" s="407">
        <f>scenarios!T79</f>
        <v>-0.40570973655936077</v>
      </c>
      <c r="DC74" s="211">
        <f>scenarios!AC79</f>
        <v>-0.40570973655936077</v>
      </c>
      <c r="DD74" s="407">
        <f>scenarios!AL79</f>
        <v>-0.40570973655936077</v>
      </c>
      <c r="DE74" s="407">
        <f>scenarios!AU79</f>
        <v>-0.40570973655936077</v>
      </c>
      <c r="DF74" s="407">
        <f>scenarios!BM79</f>
        <v>8.6917779836286304E-6</v>
      </c>
      <c r="DG74" s="626">
        <f>CA74/scenarios!$B79*1000000</f>
        <v>-0.25314591531388692</v>
      </c>
      <c r="DH74" s="626">
        <f>CB74/scenarios!$B79*1000000</f>
        <v>-0.40607356958977875</v>
      </c>
      <c r="DI74" s="626">
        <f>CC74/scenarios!$B79*1000000</f>
        <v>-0.76177987990709972</v>
      </c>
      <c r="DJ74" s="626">
        <f>CD74/scenarios!$B79*1000000</f>
        <v>-1.7175978180407325</v>
      </c>
      <c r="DL74" s="79">
        <f t="shared" si="42"/>
        <v>2075</v>
      </c>
      <c r="DM74" s="299">
        <f t="shared" si="43"/>
        <v>-4.3499999999999996</v>
      </c>
      <c r="DN74" s="211">
        <f t="shared" si="44"/>
        <v>-4.3499999999999996</v>
      </c>
      <c r="DO74" s="211">
        <f t="shared" si="45"/>
        <v>-4.3499999999999996</v>
      </c>
      <c r="DP74" s="211">
        <f t="shared" si="46"/>
        <v>-4.3499999999999996</v>
      </c>
      <c r="DQ74" s="211">
        <f t="shared" si="47"/>
        <v>-4.3499999999999996</v>
      </c>
      <c r="DR74" s="293">
        <f t="shared" si="48"/>
        <v>6.0383578242502933E-4</v>
      </c>
      <c r="DS74" s="631">
        <f t="shared" si="28"/>
        <v>-2.0661830694999992</v>
      </c>
      <c r="DT74" s="632">
        <f t="shared" si="32"/>
        <v>-4.047649100000001</v>
      </c>
      <c r="DU74" s="632">
        <f t="shared" si="33"/>
        <v>-4.528494874800117</v>
      </c>
      <c r="DV74" s="633">
        <f t="shared" si="34"/>
        <v>-17.089999999999975</v>
      </c>
    </row>
    <row r="75" spans="71:126" x14ac:dyDescent="0.25">
      <c r="BT75" s="79">
        <f t="shared" si="15"/>
        <v>2084</v>
      </c>
      <c r="BU75" s="280">
        <f>scenarios!E80</f>
        <v>-4.3499999999999996</v>
      </c>
      <c r="BV75" s="280">
        <f>scenarios!M80</f>
        <v>-4.3499999999999996</v>
      </c>
      <c r="BW75" s="280">
        <f>scenarios!V80</f>
        <v>-4.3499999999999996</v>
      </c>
      <c r="BX75" s="399">
        <f>scenarios!AE80</f>
        <v>-4.3499999999999996</v>
      </c>
      <c r="BY75" s="399">
        <f>scenarios!AN80</f>
        <v>-4.3499999999999996</v>
      </c>
      <c r="BZ75" s="399">
        <f>scenarios!BF80</f>
        <v>7.3702101592273744E-5</v>
      </c>
      <c r="CA75" s="280">
        <f>'IPCC SR15 paths P1-P4'!C81</f>
        <v>-2.798222724999988</v>
      </c>
      <c r="CB75" s="399">
        <f>'IPCC SR15 paths P1-P4'!E81</f>
        <v>-4.3591284000000012</v>
      </c>
      <c r="CC75" s="616">
        <f>'IPCC SR15 paths P1-P4'!G72</f>
        <v>-8.5746162829999548</v>
      </c>
      <c r="CD75" s="399">
        <f>'IPCC SR15 paths P1-P4'!I81</f>
        <v>-18.577999999999975</v>
      </c>
      <c r="CF75" s="79">
        <f t="shared" si="16"/>
        <v>2084</v>
      </c>
      <c r="CG75" s="278" t="e">
        <f>IF($BU74&gt;'goal seek'!$F$31,$BU75/$BU74-1,#N/A)</f>
        <v>#N/A</v>
      </c>
      <c r="CH75" s="278" t="e">
        <f>IF(BV74&gt;'goal seek'!$F$28,BV75/BV74-1,#N/A)</f>
        <v>#N/A</v>
      </c>
      <c r="CI75" s="278" t="e">
        <f>IF(BW74&gt;'goal seek'!$F$28,BW75/BW74-1,#N/A)</f>
        <v>#N/A</v>
      </c>
      <c r="CJ75" s="402" t="e">
        <f>IF(BX74&gt;'goal seek'!$F$28,BX75/BX74-1,#N/A)</f>
        <v>#N/A</v>
      </c>
      <c r="CK75" s="402" t="e">
        <f>IF(BY74&gt;'goal seek'!$F$28,BY75/BY74-1,#N/A)</f>
        <v>#N/A</v>
      </c>
      <c r="CL75" s="402" t="e">
        <f>IF(BZ74&gt;'goal seek'!$F$28,BZ75/BZ74-1,#N/A)</f>
        <v>#N/A</v>
      </c>
      <c r="CM75" s="622" t="e">
        <f t="shared" si="17"/>
        <v>#N/A</v>
      </c>
      <c r="CN75" s="402" t="e">
        <f t="shared" si="29"/>
        <v>#N/A</v>
      </c>
      <c r="CO75" s="194" t="e">
        <f t="shared" si="30"/>
        <v>#N/A</v>
      </c>
      <c r="CP75" s="402" t="e">
        <f t="shared" si="31"/>
        <v>#N/A</v>
      </c>
      <c r="CR75" s="79">
        <f t="shared" si="18"/>
        <v>2084</v>
      </c>
      <c r="CS75" s="278">
        <f t="shared" ref="CS75:CS91" si="50">IF(ISNA(CG75),0,CG75)</f>
        <v>0</v>
      </c>
      <c r="CT75" s="278">
        <f t="shared" ref="CT75:CT91" si="51">IF(ISNA(CH75),0,CH75)</f>
        <v>0</v>
      </c>
      <c r="CU75" s="278">
        <f t="shared" ref="CU75:CU91" si="52">IF(ISNA(CI75),0,CI75)</f>
        <v>0</v>
      </c>
      <c r="CV75" s="402">
        <f t="shared" ref="CV75:CV91" si="53">IF(ISNA(CJ75),0,CJ75)</f>
        <v>0</v>
      </c>
      <c r="CW75" s="402">
        <f t="shared" ref="CW75:CW91" si="54">IF(ISNA(CK75),0,CK75)</f>
        <v>0</v>
      </c>
      <c r="CX75" s="402">
        <f t="shared" ref="CX75:CX91" si="55">IF(ISNA(CL75),0,CL75)</f>
        <v>0</v>
      </c>
      <c r="CZ75" s="79">
        <f t="shared" si="49"/>
        <v>2084</v>
      </c>
      <c r="DA75" s="299">
        <f>scenarios!K80</f>
        <v>-0.40515872898775418</v>
      </c>
      <c r="DB75" s="407">
        <f>scenarios!T80</f>
        <v>-0.40515872898775418</v>
      </c>
      <c r="DC75" s="211">
        <f>scenarios!AC80</f>
        <v>-0.40515872898775418</v>
      </c>
      <c r="DD75" s="407">
        <f>scenarios!AL80</f>
        <v>-0.40515872898775418</v>
      </c>
      <c r="DE75" s="407">
        <f>scenarios!AU80</f>
        <v>-0.40515872898775418</v>
      </c>
      <c r="DF75" s="407">
        <f>scenarios!BM80</f>
        <v>6.8646091505406813E-6</v>
      </c>
      <c r="DG75" s="626">
        <f>CA75/scenarios!$B80*1000000</f>
        <v>-0.26062629027256207</v>
      </c>
      <c r="DH75" s="626">
        <f>CB75/scenarios!$B80*1000000</f>
        <v>-0.40600894759503975</v>
      </c>
      <c r="DI75" s="626">
        <f>CC75/scenarios!$B80*1000000</f>
        <v>-0.79863922638573859</v>
      </c>
      <c r="DJ75" s="626">
        <f>CD75/scenarios!$B80*1000000</f>
        <v>-1.7303537625596519</v>
      </c>
      <c r="DL75" s="79">
        <f t="shared" si="42"/>
        <v>2076</v>
      </c>
      <c r="DM75" s="299">
        <f t="shared" si="43"/>
        <v>-4.3499999999999996</v>
      </c>
      <c r="DN75" s="211">
        <f t="shared" si="44"/>
        <v>-4.3499999999999996</v>
      </c>
      <c r="DO75" s="211">
        <f t="shared" si="45"/>
        <v>-4.3499999999999996</v>
      </c>
      <c r="DP75" s="211">
        <f t="shared" si="46"/>
        <v>-4.3499999999999996</v>
      </c>
      <c r="DQ75" s="211">
        <f t="shared" si="47"/>
        <v>-4.3499999999999996</v>
      </c>
      <c r="DR75" s="293">
        <f t="shared" si="48"/>
        <v>4.784823845500471E-4</v>
      </c>
      <c r="DS75" s="631">
        <f t="shared" si="28"/>
        <v>-2.145387342600003</v>
      </c>
      <c r="DT75" s="632">
        <f t="shared" si="32"/>
        <v>-4.1057630399999994</v>
      </c>
      <c r="DU75" s="632">
        <f t="shared" si="33"/>
        <v>-5.0314632526001333</v>
      </c>
      <c r="DV75" s="633">
        <f t="shared" si="34"/>
        <v>-17.257999999999981</v>
      </c>
    </row>
    <row r="76" spans="71:126" x14ac:dyDescent="0.25">
      <c r="BT76" s="79">
        <f t="shared" ref="BT76:BT91" si="56">BT75+1</f>
        <v>2085</v>
      </c>
      <c r="BU76" s="280">
        <f>scenarios!E81</f>
        <v>-4.3499999999999996</v>
      </c>
      <c r="BV76" s="280">
        <f>scenarios!M81</f>
        <v>-4.3499999999999996</v>
      </c>
      <c r="BW76" s="280">
        <f>scenarios!V81</f>
        <v>-4.3499999999999996</v>
      </c>
      <c r="BX76" s="399">
        <f>scenarios!AE81</f>
        <v>-4.3499999999999996</v>
      </c>
      <c r="BY76" s="399">
        <f>scenarios!AN81</f>
        <v>-4.3499999999999996</v>
      </c>
      <c r="BZ76" s="399">
        <f>scenarios!BF81</f>
        <v>5.8275354149733865E-5</v>
      </c>
      <c r="CA76" s="280">
        <f>'IPCC SR15 paths P1-P4'!C82</f>
        <v>-2.8822272975000089</v>
      </c>
      <c r="CB76" s="399">
        <f>'IPCC SR15 paths P1-P4'!E82</f>
        <v>-4.3643558000000002</v>
      </c>
      <c r="CC76" s="616">
        <f>'IPCC SR15 paths P1-P4'!G73</f>
        <v>-8.9814658624000003</v>
      </c>
      <c r="CD76" s="399">
        <f>'IPCC SR15 paths P1-P4'!I82</f>
        <v>-18.740000000000009</v>
      </c>
      <c r="CF76" s="79">
        <f t="shared" ref="CF76:CF91" si="57">CF75+1</f>
        <v>2085</v>
      </c>
      <c r="CG76" s="278" t="e">
        <f>IF($BU75&gt;'goal seek'!$F$31,$BU76/$BU75-1,#N/A)</f>
        <v>#N/A</v>
      </c>
      <c r="CH76" s="278" t="e">
        <f>IF(BV75&gt;'goal seek'!$F$28,BV76/BV75-1,#N/A)</f>
        <v>#N/A</v>
      </c>
      <c r="CI76" s="278" t="e">
        <f>IF(BW75&gt;'goal seek'!$F$28,BW76/BW75-1,#N/A)</f>
        <v>#N/A</v>
      </c>
      <c r="CJ76" s="402" t="e">
        <f>IF(BX75&gt;'goal seek'!$F$28,BX76/BX75-1,#N/A)</f>
        <v>#N/A</v>
      </c>
      <c r="CK76" s="402" t="e">
        <f>IF(BY75&gt;'goal seek'!$F$28,BY76/BY75-1,#N/A)</f>
        <v>#N/A</v>
      </c>
      <c r="CL76" s="402" t="e">
        <f>IF(BZ75&gt;'goal seek'!$F$28,BZ76/BZ75-1,#N/A)</f>
        <v>#N/A</v>
      </c>
      <c r="CM76" s="622" t="e">
        <f t="shared" ref="CM76:CM91" si="58">IF(CA75&gt;0,CA76/CA75-1,#N/A)</f>
        <v>#N/A</v>
      </c>
      <c r="CN76" s="402" t="e">
        <f t="shared" si="29"/>
        <v>#N/A</v>
      </c>
      <c r="CO76" s="194" t="e">
        <f t="shared" si="30"/>
        <v>#N/A</v>
      </c>
      <c r="CP76" s="402" t="e">
        <f t="shared" si="31"/>
        <v>#N/A</v>
      </c>
      <c r="CR76" s="79">
        <f t="shared" ref="CR76:CR91" si="59">CR75+1</f>
        <v>2085</v>
      </c>
      <c r="CS76" s="278">
        <f t="shared" si="50"/>
        <v>0</v>
      </c>
      <c r="CT76" s="278">
        <f t="shared" si="51"/>
        <v>0</v>
      </c>
      <c r="CU76" s="278">
        <f t="shared" si="52"/>
        <v>0</v>
      </c>
      <c r="CV76" s="402">
        <f t="shared" si="53"/>
        <v>0</v>
      </c>
      <c r="CW76" s="402">
        <f t="shared" si="54"/>
        <v>0</v>
      </c>
      <c r="CX76" s="402">
        <f t="shared" si="55"/>
        <v>0</v>
      </c>
      <c r="CZ76" s="79">
        <f t="shared" si="49"/>
        <v>2085</v>
      </c>
      <c r="DA76" s="299">
        <f>scenarios!K81</f>
        <v>-0.40463547652243254</v>
      </c>
      <c r="DB76" s="407">
        <f>scenarios!T81</f>
        <v>-0.40463547652243254</v>
      </c>
      <c r="DC76" s="211">
        <f>scenarios!AC81</f>
        <v>-0.40463547652243254</v>
      </c>
      <c r="DD76" s="407">
        <f>scenarios!AL81</f>
        <v>-0.40463547652243254</v>
      </c>
      <c r="DE76" s="407">
        <f>scenarios!AU81</f>
        <v>-0.40463547652243254</v>
      </c>
      <c r="DF76" s="407">
        <f>scenarios!BM81</f>
        <v>5.4207530335381785E-6</v>
      </c>
      <c r="DG76" s="626">
        <f>CA76/scenarios!$B81*1000000</f>
        <v>-0.26810377378617906</v>
      </c>
      <c r="DH76" s="626">
        <f>CB76/scenarios!$B81*1000000</f>
        <v>-0.40597084801067634</v>
      </c>
      <c r="DI76" s="626">
        <f>CC76/scenarios!$B81*1000000</f>
        <v>-0.83545280898900798</v>
      </c>
      <c r="DJ76" s="626">
        <f>CD76/scenarios!$B81*1000000</f>
        <v>-1.7431882367885951</v>
      </c>
      <c r="DL76" s="79">
        <f t="shared" si="42"/>
        <v>2077</v>
      </c>
      <c r="DM76" s="299">
        <f t="shared" si="43"/>
        <v>-4.3499999999999996</v>
      </c>
      <c r="DN76" s="211">
        <f t="shared" si="44"/>
        <v>-4.3499999999999996</v>
      </c>
      <c r="DO76" s="211">
        <f t="shared" si="45"/>
        <v>-4.3499999999999996</v>
      </c>
      <c r="DP76" s="211">
        <f t="shared" si="46"/>
        <v>-4.3499999999999996</v>
      </c>
      <c r="DQ76" s="211">
        <f t="shared" si="47"/>
        <v>-4.3499999999999996</v>
      </c>
      <c r="DR76" s="293">
        <f t="shared" si="48"/>
        <v>3.7904840791133545E-4</v>
      </c>
      <c r="DS76" s="631">
        <f t="shared" si="28"/>
        <v>-2.2245916157000067</v>
      </c>
      <c r="DT76" s="632">
        <f t="shared" si="32"/>
        <v>-4.1638769799999977</v>
      </c>
      <c r="DU76" s="632">
        <f t="shared" si="33"/>
        <v>-5.5344316304001495</v>
      </c>
      <c r="DV76" s="633">
        <f t="shared" si="34"/>
        <v>-17.425999999999988</v>
      </c>
    </row>
    <row r="77" spans="71:126" x14ac:dyDescent="0.25">
      <c r="BT77" s="79">
        <f t="shared" si="56"/>
        <v>2086</v>
      </c>
      <c r="BU77" s="280">
        <f>scenarios!E82</f>
        <v>-4.3499999999999996</v>
      </c>
      <c r="BV77" s="280">
        <f>scenarios!M82</f>
        <v>-4.3499999999999996</v>
      </c>
      <c r="BW77" s="280">
        <f>scenarios!V82</f>
        <v>-4.3499999999999996</v>
      </c>
      <c r="BX77" s="399">
        <f>scenarios!AE82</f>
        <v>-4.3499999999999996</v>
      </c>
      <c r="BY77" s="399">
        <f>scenarios!AN82</f>
        <v>-4.3499999999999996</v>
      </c>
      <c r="BZ77" s="399">
        <f>scenarios!BF82</f>
        <v>4.6068093190151281E-5</v>
      </c>
      <c r="CA77" s="280">
        <f>'IPCC SR15 paths P1-P4'!C83</f>
        <v>-2.9662318700000014</v>
      </c>
      <c r="CB77" s="399">
        <f>'IPCC SR15 paths P1-P4'!E83</f>
        <v>-4.369583200000001</v>
      </c>
      <c r="CC77" s="616">
        <f>'IPCC SR15 paths P1-P4'!G74</f>
        <v>-9.3883154417999322</v>
      </c>
      <c r="CD77" s="399">
        <f>'IPCC SR15 paths P1-P4'!I83</f>
        <v>-18.901999999999987</v>
      </c>
      <c r="CF77" s="79">
        <f t="shared" si="57"/>
        <v>2086</v>
      </c>
      <c r="CG77" s="278" t="e">
        <f>IF($BU76&gt;'goal seek'!$F$31,$BU77/$BU76-1,#N/A)</f>
        <v>#N/A</v>
      </c>
      <c r="CH77" s="278" t="e">
        <f>IF(BV76&gt;'goal seek'!$F$28,BV77/BV76-1,#N/A)</f>
        <v>#N/A</v>
      </c>
      <c r="CI77" s="278" t="e">
        <f>IF(BW76&gt;'goal seek'!$F$28,BW77/BW76-1,#N/A)</f>
        <v>#N/A</v>
      </c>
      <c r="CJ77" s="402" t="e">
        <f>IF(BX76&gt;'goal seek'!$F$28,BX77/BX76-1,#N/A)</f>
        <v>#N/A</v>
      </c>
      <c r="CK77" s="402" t="e">
        <f>IF(BY76&gt;'goal seek'!$F$28,BY77/BY76-1,#N/A)</f>
        <v>#N/A</v>
      </c>
      <c r="CL77" s="402" t="e">
        <f>IF(BZ76&gt;'goal seek'!$F$28,BZ77/BZ76-1,#N/A)</f>
        <v>#N/A</v>
      </c>
      <c r="CM77" s="622" t="e">
        <f t="shared" si="58"/>
        <v>#N/A</v>
      </c>
      <c r="CN77" s="402" t="e">
        <f t="shared" si="29"/>
        <v>#N/A</v>
      </c>
      <c r="CO77" s="194" t="e">
        <f t="shared" si="30"/>
        <v>#N/A</v>
      </c>
      <c r="CP77" s="402" t="e">
        <f t="shared" si="31"/>
        <v>#N/A</v>
      </c>
      <c r="CR77" s="79">
        <f t="shared" si="59"/>
        <v>2086</v>
      </c>
      <c r="CS77" s="278">
        <f t="shared" si="50"/>
        <v>0</v>
      </c>
      <c r="CT77" s="278">
        <f t="shared" si="51"/>
        <v>0</v>
      </c>
      <c r="CU77" s="278">
        <f t="shared" si="52"/>
        <v>0</v>
      </c>
      <c r="CV77" s="402">
        <f t="shared" si="53"/>
        <v>0</v>
      </c>
      <c r="CW77" s="402">
        <f t="shared" si="54"/>
        <v>0</v>
      </c>
      <c r="CX77" s="402">
        <f t="shared" si="55"/>
        <v>0</v>
      </c>
      <c r="CZ77" s="79">
        <f t="shared" si="49"/>
        <v>2086</v>
      </c>
      <c r="DA77" s="299">
        <f>scenarios!K82</f>
        <v>-0.40413930761311961</v>
      </c>
      <c r="DB77" s="407">
        <f>scenarios!T82</f>
        <v>-0.40413930761311961</v>
      </c>
      <c r="DC77" s="211">
        <f>scenarios!AC82</f>
        <v>-0.40413930761311961</v>
      </c>
      <c r="DD77" s="407">
        <f>scenarios!AL82</f>
        <v>-0.40413930761311961</v>
      </c>
      <c r="DE77" s="407">
        <f>scenarios!AU82</f>
        <v>-0.40413930761311961</v>
      </c>
      <c r="DF77" s="407">
        <f>scenarios!BM82</f>
        <v>4.2799832838906688E-6</v>
      </c>
      <c r="DG77" s="626">
        <f>CA77/scenarios!$B82*1000000</f>
        <v>-0.27557951589925739</v>
      </c>
      <c r="DH77" s="626">
        <f>CB77/scenarios!$B82*1000000</f>
        <v>-0.40595869632319997</v>
      </c>
      <c r="DI77" s="626">
        <f>CC77/scenarios!$B82*1000000</f>
        <v>-0.87222696604657091</v>
      </c>
      <c r="DJ77" s="626">
        <f>CD77/scenarios!$B82*1000000</f>
        <v>-1.7561014235639496</v>
      </c>
      <c r="DL77" s="79">
        <f t="shared" si="42"/>
        <v>2078</v>
      </c>
      <c r="DM77" s="299">
        <f t="shared" si="43"/>
        <v>-4.3499999999999996</v>
      </c>
      <c r="DN77" s="211">
        <f t="shared" si="44"/>
        <v>-4.3499999999999996</v>
      </c>
      <c r="DO77" s="211">
        <f t="shared" si="45"/>
        <v>-4.3499999999999996</v>
      </c>
      <c r="DP77" s="211">
        <f t="shared" si="46"/>
        <v>-4.3499999999999996</v>
      </c>
      <c r="DQ77" s="211">
        <f t="shared" si="47"/>
        <v>-4.3499999999999996</v>
      </c>
      <c r="DR77" s="293">
        <f t="shared" si="48"/>
        <v>3.0019871513347349E-4</v>
      </c>
      <c r="DS77" s="631">
        <f t="shared" si="28"/>
        <v>-2.3037958888000105</v>
      </c>
      <c r="DT77" s="632">
        <f t="shared" si="32"/>
        <v>-4.2219909199999961</v>
      </c>
      <c r="DU77" s="632">
        <f t="shared" si="33"/>
        <v>-6.0374000081999384</v>
      </c>
      <c r="DV77" s="633">
        <f t="shared" si="34"/>
        <v>-17.593999999999994</v>
      </c>
    </row>
    <row r="78" spans="71:126" x14ac:dyDescent="0.25">
      <c r="BT78" s="79">
        <f t="shared" si="56"/>
        <v>2087</v>
      </c>
      <c r="BU78" s="280">
        <f>scenarios!E83</f>
        <v>-4.3499999999999996</v>
      </c>
      <c r="BV78" s="280">
        <f>scenarios!M83</f>
        <v>-4.3499999999999996</v>
      </c>
      <c r="BW78" s="280">
        <f>scenarios!V83</f>
        <v>-4.3499999999999996</v>
      </c>
      <c r="BX78" s="399">
        <f>scenarios!AE83</f>
        <v>-4.3499999999999996</v>
      </c>
      <c r="BY78" s="399">
        <f>scenarios!AN83</f>
        <v>-4.3499999999999996</v>
      </c>
      <c r="BZ78" s="399">
        <f>scenarios!BF83</f>
        <v>3.6410642515178335E-5</v>
      </c>
      <c r="CA78" s="280">
        <f>'IPCC SR15 paths P1-P4'!C84</f>
        <v>-3.0502364424999939</v>
      </c>
      <c r="CB78" s="399">
        <f>'IPCC SR15 paths P1-P4'!E84</f>
        <v>-4.3748106</v>
      </c>
      <c r="CC78" s="616">
        <f>'IPCC SR15 paths P1-P4'!G75</f>
        <v>-9.7951650211999777</v>
      </c>
      <c r="CD78" s="399">
        <f>'IPCC SR15 paths P1-P4'!I84</f>
        <v>-19.063999999999965</v>
      </c>
      <c r="CF78" s="79">
        <f t="shared" si="57"/>
        <v>2087</v>
      </c>
      <c r="CG78" s="278" t="e">
        <f>IF($BU77&gt;'goal seek'!$F$31,$BU78/$BU77-1,#N/A)</f>
        <v>#N/A</v>
      </c>
      <c r="CH78" s="278" t="e">
        <f>IF(BV77&gt;'goal seek'!$F$28,BV78/BV77-1,#N/A)</f>
        <v>#N/A</v>
      </c>
      <c r="CI78" s="278" t="e">
        <f>IF(BW77&gt;'goal seek'!$F$28,BW78/BW77-1,#N/A)</f>
        <v>#N/A</v>
      </c>
      <c r="CJ78" s="402" t="e">
        <f>IF(BX77&gt;'goal seek'!$F$28,BX78/BX77-1,#N/A)</f>
        <v>#N/A</v>
      </c>
      <c r="CK78" s="402" t="e">
        <f>IF(BY77&gt;'goal seek'!$F$28,BY78/BY77-1,#N/A)</f>
        <v>#N/A</v>
      </c>
      <c r="CL78" s="402" t="e">
        <f>IF(BZ77&gt;'goal seek'!$F$28,BZ78/BZ77-1,#N/A)</f>
        <v>#N/A</v>
      </c>
      <c r="CM78" s="622" t="e">
        <f t="shared" si="58"/>
        <v>#N/A</v>
      </c>
      <c r="CN78" s="402" t="e">
        <f t="shared" si="29"/>
        <v>#N/A</v>
      </c>
      <c r="CO78" s="194" t="e">
        <f t="shared" si="30"/>
        <v>#N/A</v>
      </c>
      <c r="CP78" s="402" t="e">
        <f t="shared" si="31"/>
        <v>#N/A</v>
      </c>
      <c r="CR78" s="79">
        <f t="shared" si="59"/>
        <v>2087</v>
      </c>
      <c r="CS78" s="278">
        <f t="shared" si="50"/>
        <v>0</v>
      </c>
      <c r="CT78" s="278">
        <f t="shared" si="51"/>
        <v>0</v>
      </c>
      <c r="CU78" s="278">
        <f t="shared" si="52"/>
        <v>0</v>
      </c>
      <c r="CV78" s="402">
        <f t="shared" si="53"/>
        <v>0</v>
      </c>
      <c r="CW78" s="402">
        <f t="shared" si="54"/>
        <v>0</v>
      </c>
      <c r="CX78" s="402">
        <f t="shared" si="55"/>
        <v>0</v>
      </c>
      <c r="CZ78" s="79">
        <f t="shared" si="49"/>
        <v>2087</v>
      </c>
      <c r="DA78" s="299">
        <f>scenarios!K83</f>
        <v>-0.40366998663723264</v>
      </c>
      <c r="DB78" s="407">
        <f>scenarios!T83</f>
        <v>-0.40366998663723264</v>
      </c>
      <c r="DC78" s="211">
        <f>scenarios!AC83</f>
        <v>-0.40366998663723264</v>
      </c>
      <c r="DD78" s="407">
        <f>scenarios!AL83</f>
        <v>-0.40366998663723264</v>
      </c>
      <c r="DE78" s="407">
        <f>scenarios!AU83</f>
        <v>-0.40366998663723264</v>
      </c>
      <c r="DF78" s="407">
        <f>scenarios!BM83</f>
        <v>3.3788238109322054E-6</v>
      </c>
      <c r="DG78" s="626">
        <f>CA78/scenarios!$B83*1000000</f>
        <v>-0.28305492045617758</v>
      </c>
      <c r="DH78" s="626">
        <f>CB78/scenarios!$B83*1000000</f>
        <v>-0.40597235320515485</v>
      </c>
      <c r="DI78" s="626">
        <f>CC78/scenarios!$B83*1000000</f>
        <v>-0.90896876625684675</v>
      </c>
      <c r="DJ78" s="626">
        <f>CD78/scenarios!$B83*1000000</f>
        <v>-1.7690953161499285</v>
      </c>
      <c r="DL78" s="79">
        <f t="shared" si="42"/>
        <v>2079</v>
      </c>
      <c r="DM78" s="299">
        <f t="shared" si="43"/>
        <v>-4.3499999999999996</v>
      </c>
      <c r="DN78" s="211">
        <f t="shared" si="44"/>
        <v>-4.3499999999999996</v>
      </c>
      <c r="DO78" s="211">
        <f t="shared" si="45"/>
        <v>-4.3499999999999996</v>
      </c>
      <c r="DP78" s="211">
        <f t="shared" si="46"/>
        <v>-4.3499999999999996</v>
      </c>
      <c r="DQ78" s="211">
        <f t="shared" si="47"/>
        <v>-4.3499999999999996</v>
      </c>
      <c r="DR78" s="293">
        <f t="shared" si="48"/>
        <v>2.3769062016652581E-4</v>
      </c>
      <c r="DS78" s="631">
        <f t="shared" si="28"/>
        <v>-2.3830001619000143</v>
      </c>
      <c r="DT78" s="632">
        <f t="shared" si="32"/>
        <v>-4.2801048599999945</v>
      </c>
      <c r="DU78" s="632">
        <f t="shared" si="33"/>
        <v>-6.5403683859999999</v>
      </c>
      <c r="DV78" s="633">
        <f t="shared" si="34"/>
        <v>-17.762</v>
      </c>
    </row>
    <row r="79" spans="71:126" x14ac:dyDescent="0.25">
      <c r="BT79" s="79">
        <f t="shared" si="56"/>
        <v>2088</v>
      </c>
      <c r="BU79" s="280">
        <f>scenarios!E84</f>
        <v>-4.3499999999999996</v>
      </c>
      <c r="BV79" s="280">
        <f>scenarios!M84</f>
        <v>-4.3499999999999996</v>
      </c>
      <c r="BW79" s="280">
        <f>scenarios!V84</f>
        <v>-4.3499999999999996</v>
      </c>
      <c r="BX79" s="399">
        <f>scenarios!AE84</f>
        <v>-4.3499999999999996</v>
      </c>
      <c r="BY79" s="399">
        <f>scenarios!AN84</f>
        <v>-4.3499999999999996</v>
      </c>
      <c r="BZ79" s="399">
        <f>scenarios!BF84</f>
        <v>2.8772106537307176E-5</v>
      </c>
      <c r="CA79" s="280">
        <f>'IPCC SR15 paths P1-P4'!C85</f>
        <v>-3.1342410150000148</v>
      </c>
      <c r="CB79" s="399">
        <f>'IPCC SR15 paths P1-P4'!E85</f>
        <v>-4.3800380000000008</v>
      </c>
      <c r="CC79" s="616">
        <f>'IPCC SR15 paths P1-P4'!G76</f>
        <v>-10.202014600600023</v>
      </c>
      <c r="CD79" s="399">
        <f>'IPCC SR15 paths P1-P4'!I85</f>
        <v>-19.225999999999999</v>
      </c>
      <c r="CF79" s="79">
        <f t="shared" si="57"/>
        <v>2088</v>
      </c>
      <c r="CG79" s="278" t="e">
        <f>IF($BU78&gt;'goal seek'!$F$31,$BU79/$BU78-1,#N/A)</f>
        <v>#N/A</v>
      </c>
      <c r="CH79" s="278" t="e">
        <f>IF(BV78&gt;'goal seek'!$F$28,BV79/BV78-1,#N/A)</f>
        <v>#N/A</v>
      </c>
      <c r="CI79" s="278" t="e">
        <f>IF(BW78&gt;'goal seek'!$F$28,BW79/BW78-1,#N/A)</f>
        <v>#N/A</v>
      </c>
      <c r="CJ79" s="402" t="e">
        <f>IF(BX78&gt;'goal seek'!$F$28,BX79/BX78-1,#N/A)</f>
        <v>#N/A</v>
      </c>
      <c r="CK79" s="402" t="e">
        <f>IF(BY78&gt;'goal seek'!$F$28,BY79/BY78-1,#N/A)</f>
        <v>#N/A</v>
      </c>
      <c r="CL79" s="402" t="e">
        <f>IF(BZ78&gt;'goal seek'!$F$28,BZ79/BZ78-1,#N/A)</f>
        <v>#N/A</v>
      </c>
      <c r="CM79" s="622" t="e">
        <f t="shared" si="58"/>
        <v>#N/A</v>
      </c>
      <c r="CN79" s="402" t="e">
        <f t="shared" si="29"/>
        <v>#N/A</v>
      </c>
      <c r="CO79" s="194" t="e">
        <f t="shared" si="30"/>
        <v>#N/A</v>
      </c>
      <c r="CP79" s="402" t="e">
        <f t="shared" si="31"/>
        <v>#N/A</v>
      </c>
      <c r="CR79" s="79">
        <f t="shared" si="59"/>
        <v>2088</v>
      </c>
      <c r="CS79" s="278">
        <f t="shared" si="50"/>
        <v>0</v>
      </c>
      <c r="CT79" s="278">
        <f t="shared" si="51"/>
        <v>0</v>
      </c>
      <c r="CU79" s="278">
        <f t="shared" si="52"/>
        <v>0</v>
      </c>
      <c r="CV79" s="402">
        <f t="shared" si="53"/>
        <v>0</v>
      </c>
      <c r="CW79" s="402">
        <f t="shared" si="54"/>
        <v>0</v>
      </c>
      <c r="CX79" s="402">
        <f t="shared" si="55"/>
        <v>0</v>
      </c>
      <c r="CZ79" s="79">
        <f t="shared" si="49"/>
        <v>2088</v>
      </c>
      <c r="DA79" s="299">
        <f>scenarios!K84</f>
        <v>-0.40322721486880642</v>
      </c>
      <c r="DB79" s="407">
        <f>scenarios!T84</f>
        <v>-0.40322721486880642</v>
      </c>
      <c r="DC79" s="211">
        <f>scenarios!AC84</f>
        <v>-0.40322721486880642</v>
      </c>
      <c r="DD79" s="407">
        <f>scenarios!AL84</f>
        <v>-0.40322721486880642</v>
      </c>
      <c r="DE79" s="407">
        <f>scenarios!AU84</f>
        <v>-0.40322721486880642</v>
      </c>
      <c r="DF79" s="407">
        <f>scenarios!BM84</f>
        <v>2.6670566402176897E-6</v>
      </c>
      <c r="DG79" s="626">
        <f>CA79/scenarios!$B84*1000000</f>
        <v>-0.2905313276335717</v>
      </c>
      <c r="DH79" s="626">
        <f>CB79/scenarios!$B84*1000000</f>
        <v>-0.40601161465736491</v>
      </c>
      <c r="DI79" s="626">
        <f>CC79/scenarios!$B84*1000000</f>
        <v>-0.94568504217260818</v>
      </c>
      <c r="DJ79" s="626">
        <f>CD79/scenarios!$B84*1000000</f>
        <v>-1.78217159380866</v>
      </c>
      <c r="DL79" s="79">
        <f t="shared" si="42"/>
        <v>2080</v>
      </c>
      <c r="DM79" s="299">
        <f t="shared" si="43"/>
        <v>-4.3499999999999996</v>
      </c>
      <c r="DN79" s="211">
        <f t="shared" si="44"/>
        <v>-4.3499999999999996</v>
      </c>
      <c r="DO79" s="211">
        <f t="shared" si="45"/>
        <v>-4.3499999999999996</v>
      </c>
      <c r="DP79" s="211">
        <f t="shared" si="46"/>
        <v>-4.3499999999999996</v>
      </c>
      <c r="DQ79" s="211">
        <f t="shared" si="47"/>
        <v>-4.3499999999999996</v>
      </c>
      <c r="DR79" s="293">
        <f t="shared" si="48"/>
        <v>1.8815154288200672E-4</v>
      </c>
      <c r="DS79" s="631">
        <f t="shared" si="28"/>
        <v>-2.4622044350000003</v>
      </c>
      <c r="DT79" s="632">
        <f t="shared" si="32"/>
        <v>-4.3382187999999999</v>
      </c>
      <c r="DU79" s="632">
        <f t="shared" si="33"/>
        <v>-6.9472179654000001</v>
      </c>
      <c r="DV79" s="633">
        <f t="shared" si="34"/>
        <v>-17.93</v>
      </c>
    </row>
    <row r="80" spans="71:126" x14ac:dyDescent="0.25">
      <c r="BT80" s="79">
        <f t="shared" si="56"/>
        <v>2089</v>
      </c>
      <c r="BU80" s="280">
        <f>scenarios!E85</f>
        <v>-4.3499999999999996</v>
      </c>
      <c r="BV80" s="280">
        <f>scenarios!M85</f>
        <v>-4.3499999999999996</v>
      </c>
      <c r="BW80" s="280">
        <f>scenarios!V85</f>
        <v>-4.3499999999999996</v>
      </c>
      <c r="BX80" s="399">
        <f>scenarios!AE85</f>
        <v>-4.3499999999999996</v>
      </c>
      <c r="BY80" s="399">
        <f>scenarios!AN85</f>
        <v>-4.3499999999999996</v>
      </c>
      <c r="BZ80" s="399">
        <f>scenarios!BF85</f>
        <v>2.2731731023758545E-5</v>
      </c>
      <c r="CA80" s="280">
        <f>'IPCC SR15 paths P1-P4'!C86</f>
        <v>-3.2182455875000073</v>
      </c>
      <c r="CB80" s="399">
        <f>'IPCC SR15 paths P1-P4'!E86</f>
        <v>-4.3852654000000015</v>
      </c>
      <c r="CC80" s="616">
        <f>'IPCC SR15 paths P1-P4'!G77</f>
        <v>-10.608864180000001</v>
      </c>
      <c r="CD80" s="399">
        <f>'IPCC SR15 paths P1-P4'!I86</f>
        <v>-19.387999999999977</v>
      </c>
      <c r="CF80" s="79">
        <f t="shared" si="57"/>
        <v>2089</v>
      </c>
      <c r="CG80" s="278" t="e">
        <f>IF($BU79&gt;'goal seek'!$F$31,$BU80/$BU79-1,#N/A)</f>
        <v>#N/A</v>
      </c>
      <c r="CH80" s="278" t="e">
        <f>IF(BV79&gt;'goal seek'!$F$28,BV80/BV79-1,#N/A)</f>
        <v>#N/A</v>
      </c>
      <c r="CI80" s="278" t="e">
        <f>IF(BW79&gt;'goal seek'!$F$28,BW80/BW79-1,#N/A)</f>
        <v>#N/A</v>
      </c>
      <c r="CJ80" s="402" t="e">
        <f>IF(BX79&gt;'goal seek'!$F$28,BX80/BX79-1,#N/A)</f>
        <v>#N/A</v>
      </c>
      <c r="CK80" s="402" t="e">
        <f>IF(BY79&gt;'goal seek'!$F$28,BY80/BY79-1,#N/A)</f>
        <v>#N/A</v>
      </c>
      <c r="CL80" s="402" t="e">
        <f>IF(BZ79&gt;'goal seek'!$F$28,BZ80/BZ79-1,#N/A)</f>
        <v>#N/A</v>
      </c>
      <c r="CM80" s="622" t="e">
        <f t="shared" si="58"/>
        <v>#N/A</v>
      </c>
      <c r="CN80" s="402" t="e">
        <f t="shared" si="29"/>
        <v>#N/A</v>
      </c>
      <c r="CO80" s="194" t="e">
        <f t="shared" si="30"/>
        <v>#N/A</v>
      </c>
      <c r="CP80" s="402" t="e">
        <f t="shared" si="31"/>
        <v>#N/A</v>
      </c>
      <c r="CR80" s="79">
        <f t="shared" si="59"/>
        <v>2089</v>
      </c>
      <c r="CS80" s="278">
        <f t="shared" si="50"/>
        <v>0</v>
      </c>
      <c r="CT80" s="278">
        <f t="shared" si="51"/>
        <v>0</v>
      </c>
      <c r="CU80" s="278">
        <f t="shared" si="52"/>
        <v>0</v>
      </c>
      <c r="CV80" s="402">
        <f t="shared" si="53"/>
        <v>0</v>
      </c>
      <c r="CW80" s="402">
        <f t="shared" si="54"/>
        <v>0</v>
      </c>
      <c r="CX80" s="402">
        <f t="shared" si="55"/>
        <v>0</v>
      </c>
      <c r="CZ80" s="79">
        <f t="shared" si="49"/>
        <v>2089</v>
      </c>
      <c r="DA80" s="299">
        <f>scenarios!K85</f>
        <v>-0.40281089599451109</v>
      </c>
      <c r="DB80" s="407">
        <f>scenarios!T85</f>
        <v>-0.40281089599451109</v>
      </c>
      <c r="DC80" s="211">
        <f>scenarios!AC85</f>
        <v>-0.40281089599451109</v>
      </c>
      <c r="DD80" s="407">
        <f>scenarios!AL85</f>
        <v>-0.40281089599451109</v>
      </c>
      <c r="DE80" s="407">
        <f>scenarios!AU85</f>
        <v>-0.40281089599451109</v>
      </c>
      <c r="DF80" s="407">
        <f>scenarios!BM85</f>
        <v>2.1049629749853804E-6</v>
      </c>
      <c r="DG80" s="626">
        <f>CA80/scenarios!$B85*1000000</f>
        <v>-0.29801020428304825</v>
      </c>
      <c r="DH80" s="626">
        <f>CB80/scenarios!$B85*1000000</f>
        <v>-0.40607647929832841</v>
      </c>
      <c r="DI80" s="626">
        <f>CC80/scenarios!$B85*1000000</f>
        <v>-0.98238300823675284</v>
      </c>
      <c r="DJ80" s="626">
        <f>CD80/scenarios!$B85*1000000</f>
        <v>-1.7953327934578325</v>
      </c>
      <c r="DL80" s="79">
        <f t="shared" si="42"/>
        <v>2081</v>
      </c>
      <c r="DM80" s="299">
        <f t="shared" si="43"/>
        <v>-4.3499999999999996</v>
      </c>
      <c r="DN80" s="211">
        <f t="shared" si="44"/>
        <v>-4.3499999999999996</v>
      </c>
      <c r="DO80" s="211">
        <f t="shared" si="45"/>
        <v>-4.3499999999999996</v>
      </c>
      <c r="DP80" s="211">
        <f t="shared" si="46"/>
        <v>-4.3499999999999996</v>
      </c>
      <c r="DQ80" s="211">
        <f t="shared" si="47"/>
        <v>-4.3499999999999996</v>
      </c>
      <c r="DR80" s="293">
        <f t="shared" si="48"/>
        <v>1.4890159613068659E-4</v>
      </c>
      <c r="DS80" s="631">
        <f t="shared" si="28"/>
        <v>-2.5462090075000106</v>
      </c>
      <c r="DT80" s="632">
        <f t="shared" si="32"/>
        <v>-4.3434462000000007</v>
      </c>
      <c r="DU80" s="632">
        <f t="shared" si="33"/>
        <v>-7.354067544799932</v>
      </c>
      <c r="DV80" s="633">
        <f t="shared" si="34"/>
        <v>-18.091999999999985</v>
      </c>
    </row>
    <row r="81" spans="72:126" x14ac:dyDescent="0.25">
      <c r="BT81" s="79">
        <f t="shared" si="56"/>
        <v>2090</v>
      </c>
      <c r="BU81" s="280">
        <f>scenarios!E86</f>
        <v>-4.3499999999999996</v>
      </c>
      <c r="BV81" s="280">
        <f>scenarios!M86</f>
        <v>-4.3499999999999996</v>
      </c>
      <c r="BW81" s="280">
        <f>scenarios!V86</f>
        <v>-4.3499999999999996</v>
      </c>
      <c r="BX81" s="399">
        <f>scenarios!AE86</f>
        <v>-4.3499999999999996</v>
      </c>
      <c r="BY81" s="399">
        <f>scenarios!AN86</f>
        <v>-4.3499999999999996</v>
      </c>
      <c r="BZ81" s="399">
        <f>scenarios!BF86</f>
        <v>1.7956145504705306E-5</v>
      </c>
      <c r="CA81" s="280">
        <f>'IPCC SR15 paths P1-P4'!C87</f>
        <v>-3.3022501600000003</v>
      </c>
      <c r="CB81" s="399">
        <f>'IPCC SR15 paths P1-P4'!E87</f>
        <v>-4.3904927999999996</v>
      </c>
      <c r="CC81" s="616">
        <f>'IPCC SR15 paths P1-P4'!G78</f>
        <v>-10.789065820000019</v>
      </c>
      <c r="CD81" s="399">
        <f>'IPCC SR15 paths P1-P4'!I87</f>
        <v>-19.55</v>
      </c>
      <c r="CF81" s="79">
        <f t="shared" si="57"/>
        <v>2090</v>
      </c>
      <c r="CG81" s="278" t="e">
        <f>IF($BU80&gt;'goal seek'!$F$31,$BU81/$BU80-1,#N/A)</f>
        <v>#N/A</v>
      </c>
      <c r="CH81" s="278" t="e">
        <f>IF(BV80&gt;'goal seek'!$F$28,BV81/BV80-1,#N/A)</f>
        <v>#N/A</v>
      </c>
      <c r="CI81" s="278" t="e">
        <f>IF(BW80&gt;'goal seek'!$F$28,BW81/BW80-1,#N/A)</f>
        <v>#N/A</v>
      </c>
      <c r="CJ81" s="402" t="e">
        <f>IF(BX80&gt;'goal seek'!$F$28,BX81/BX80-1,#N/A)</f>
        <v>#N/A</v>
      </c>
      <c r="CK81" s="402" t="e">
        <f>IF(BY80&gt;'goal seek'!$F$28,BY81/BY80-1,#N/A)</f>
        <v>#N/A</v>
      </c>
      <c r="CL81" s="402" t="e">
        <f>IF(BZ80&gt;'goal seek'!$F$28,BZ81/BZ80-1,#N/A)</f>
        <v>#N/A</v>
      </c>
      <c r="CM81" s="622" t="e">
        <f t="shared" si="58"/>
        <v>#N/A</v>
      </c>
      <c r="CN81" s="402" t="e">
        <f t="shared" si="29"/>
        <v>#N/A</v>
      </c>
      <c r="CO81" s="194" t="e">
        <f t="shared" si="30"/>
        <v>#N/A</v>
      </c>
      <c r="CP81" s="402" t="e">
        <f t="shared" si="31"/>
        <v>#N/A</v>
      </c>
      <c r="CR81" s="79">
        <f t="shared" si="59"/>
        <v>2090</v>
      </c>
      <c r="CS81" s="278">
        <f t="shared" si="50"/>
        <v>0</v>
      </c>
      <c r="CT81" s="278">
        <f t="shared" si="51"/>
        <v>0</v>
      </c>
      <c r="CU81" s="278">
        <f t="shared" si="52"/>
        <v>0</v>
      </c>
      <c r="CV81" s="402">
        <f t="shared" si="53"/>
        <v>0</v>
      </c>
      <c r="CW81" s="402">
        <f t="shared" si="54"/>
        <v>0</v>
      </c>
      <c r="CX81" s="402">
        <f t="shared" si="55"/>
        <v>0</v>
      </c>
      <c r="CZ81" s="79">
        <f t="shared" si="49"/>
        <v>2090</v>
      </c>
      <c r="DA81" s="299">
        <f>scenarios!K86</f>
        <v>-0.40242097189374981</v>
      </c>
      <c r="DB81" s="407">
        <f>scenarios!T86</f>
        <v>-0.40242097189374981</v>
      </c>
      <c r="DC81" s="211">
        <f>scenarios!AC86</f>
        <v>-0.40242097189374981</v>
      </c>
      <c r="DD81" s="407">
        <f>scenarios!AL86</f>
        <v>-0.40242097189374981</v>
      </c>
      <c r="DE81" s="407">
        <f>scenarios!AU86</f>
        <v>-0.40242097189374981</v>
      </c>
      <c r="DF81" s="407">
        <f>scenarios!BM86</f>
        <v>1.661133224245769E-6</v>
      </c>
      <c r="DG81" s="626">
        <f>CA81/scenarios!$B86*1000000</f>
        <v>-0.30549303880999795</v>
      </c>
      <c r="DH81" s="626">
        <f>CB81/scenarios!$B86*1000000</f>
        <v>-0.40616698383184158</v>
      </c>
      <c r="DI81" s="626">
        <f>CC81/scenarios!$B86*1000000</f>
        <v>-0.99810260991035504</v>
      </c>
      <c r="DJ81" s="626">
        <f>CD81/scenarios!$B86*1000000</f>
        <v>-1.8085816093155884</v>
      </c>
      <c r="DL81" s="79">
        <f t="shared" si="42"/>
        <v>2082</v>
      </c>
      <c r="DM81" s="299">
        <f t="shared" si="43"/>
        <v>-4.3499999999999996</v>
      </c>
      <c r="DN81" s="211">
        <f t="shared" si="44"/>
        <v>-4.3499999999999996</v>
      </c>
      <c r="DO81" s="211">
        <f t="shared" si="45"/>
        <v>-4.3499999999999996</v>
      </c>
      <c r="DP81" s="211">
        <f t="shared" si="46"/>
        <v>-4.3499999999999996</v>
      </c>
      <c r="DQ81" s="211">
        <f t="shared" si="47"/>
        <v>-4.3499999999999996</v>
      </c>
      <c r="DR81" s="293">
        <f t="shared" si="48"/>
        <v>1.1781210199380822E-4</v>
      </c>
      <c r="DS81" s="631">
        <f t="shared" si="28"/>
        <v>-2.630213580000003</v>
      </c>
      <c r="DT81" s="632">
        <f t="shared" si="32"/>
        <v>-4.3486736000000015</v>
      </c>
      <c r="DU81" s="632">
        <f t="shared" si="33"/>
        <v>-7.7609171241999775</v>
      </c>
      <c r="DV81" s="633">
        <f t="shared" si="34"/>
        <v>-18.253999999999962</v>
      </c>
    </row>
    <row r="82" spans="72:126" x14ac:dyDescent="0.25">
      <c r="BT82" s="79">
        <f t="shared" si="56"/>
        <v>2091</v>
      </c>
      <c r="BU82" s="280">
        <f>scenarios!E87</f>
        <v>-4.3499999999999996</v>
      </c>
      <c r="BV82" s="280">
        <f>scenarios!M87</f>
        <v>-4.3499999999999996</v>
      </c>
      <c r="BW82" s="280">
        <f>scenarios!V87</f>
        <v>-4.3499999999999996</v>
      </c>
      <c r="BX82" s="399">
        <f>scenarios!AE87</f>
        <v>-4.3499999999999996</v>
      </c>
      <c r="BY82" s="399">
        <f>scenarios!AN87</f>
        <v>-4.3499999999999996</v>
      </c>
      <c r="BZ82" s="399">
        <f>scenarios!BF87</f>
        <v>1.4181286134081569E-5</v>
      </c>
      <c r="CA82" s="280">
        <f>'IPCC SR15 paths P1-P4'!C88</f>
        <v>-3.3244737794000017</v>
      </c>
      <c r="CB82" s="399">
        <f>'IPCC SR15 paths P1-P4'!E88</f>
        <v>-4.3989309299999988</v>
      </c>
      <c r="CC82" s="616">
        <f>'IPCC SR15 paths P1-P4'!G79</f>
        <v>-10.969267460000026</v>
      </c>
      <c r="CD82" s="399">
        <f>'IPCC SR15 paths P1-P4'!I88</f>
        <v>-19.725999999999999</v>
      </c>
      <c r="CF82" s="79">
        <f t="shared" si="57"/>
        <v>2091</v>
      </c>
      <c r="CG82" s="278" t="e">
        <f>IF($BU81&gt;'goal seek'!$F$31,$BU82/$BU81-1,#N/A)</f>
        <v>#N/A</v>
      </c>
      <c r="CH82" s="278" t="e">
        <f>IF(BV81&gt;'goal seek'!$F$28,BV82/BV81-1,#N/A)</f>
        <v>#N/A</v>
      </c>
      <c r="CI82" s="278" t="e">
        <f>IF(BW81&gt;'goal seek'!$F$28,BW82/BW81-1,#N/A)</f>
        <v>#N/A</v>
      </c>
      <c r="CJ82" s="402" t="e">
        <f>IF(BX81&gt;'goal seek'!$F$28,BX82/BX81-1,#N/A)</f>
        <v>#N/A</v>
      </c>
      <c r="CK82" s="402" t="e">
        <f>IF(BY81&gt;'goal seek'!$F$28,BY82/BY81-1,#N/A)</f>
        <v>#N/A</v>
      </c>
      <c r="CL82" s="402" t="e">
        <f>IF(BZ81&gt;'goal seek'!$F$28,BZ82/BZ81-1,#N/A)</f>
        <v>#N/A</v>
      </c>
      <c r="CM82" s="622" t="e">
        <f t="shared" si="58"/>
        <v>#N/A</v>
      </c>
      <c r="CN82" s="402" t="e">
        <f t="shared" si="29"/>
        <v>#N/A</v>
      </c>
      <c r="CO82" s="194" t="e">
        <f t="shared" si="30"/>
        <v>#N/A</v>
      </c>
      <c r="CP82" s="402" t="e">
        <f t="shared" si="31"/>
        <v>#N/A</v>
      </c>
      <c r="CR82" s="79">
        <f t="shared" si="59"/>
        <v>2091</v>
      </c>
      <c r="CS82" s="278">
        <f t="shared" si="50"/>
        <v>0</v>
      </c>
      <c r="CT82" s="278">
        <f t="shared" si="51"/>
        <v>0</v>
      </c>
      <c r="CU82" s="278">
        <f t="shared" si="52"/>
        <v>0</v>
      </c>
      <c r="CV82" s="402">
        <f t="shared" si="53"/>
        <v>0</v>
      </c>
      <c r="CW82" s="402">
        <f t="shared" si="54"/>
        <v>0</v>
      </c>
      <c r="CX82" s="402">
        <f t="shared" si="55"/>
        <v>0</v>
      </c>
      <c r="CZ82" s="79">
        <f t="shared" si="49"/>
        <v>2091</v>
      </c>
      <c r="DA82" s="299">
        <f>scenarios!K87</f>
        <v>-0.40205740690561037</v>
      </c>
      <c r="DB82" s="407">
        <f>scenarios!T87</f>
        <v>-0.40205740690561037</v>
      </c>
      <c r="DC82" s="211">
        <f>scenarios!AC87</f>
        <v>-0.40205740690561037</v>
      </c>
      <c r="DD82" s="407">
        <f>scenarios!AL87</f>
        <v>-0.40205740690561037</v>
      </c>
      <c r="DE82" s="407">
        <f>scenarios!AU87</f>
        <v>-0.40205740690561037</v>
      </c>
      <c r="DF82" s="407">
        <f>scenarios!BM87</f>
        <v>1.3107335930242122E-6</v>
      </c>
      <c r="DG82" s="626">
        <f>CA82/scenarios!$B87*1000000</f>
        <v>-0.30727110507385258</v>
      </c>
      <c r="DH82" s="626">
        <f>CB82/scenarios!$B87*1000000</f>
        <v>-0.40657994548797344</v>
      </c>
      <c r="DI82" s="626">
        <f>CC82/scenarios!$B87*1000000</f>
        <v>-1.0138563748555636</v>
      </c>
      <c r="DJ82" s="626">
        <f>CD82/scenarios!$B87*1000000</f>
        <v>-1.8232148065793263</v>
      </c>
      <c r="DL82" s="79">
        <f t="shared" ref="DL82:DL99" si="60">BT74</f>
        <v>2083</v>
      </c>
      <c r="DM82" s="299">
        <f t="shared" ref="DM82:DM99" si="61">BU74</f>
        <v>-4.3499999999999996</v>
      </c>
      <c r="DN82" s="211">
        <f t="shared" ref="DN82:DN99" si="62">BV74</f>
        <v>-4.3499999999999996</v>
      </c>
      <c r="DO82" s="211">
        <f t="shared" ref="DO82:DO99" si="63">BW74</f>
        <v>-4.3499999999999996</v>
      </c>
      <c r="DP82" s="211">
        <f t="shared" ref="DP82:DP99" si="64">BX74</f>
        <v>-4.3499999999999996</v>
      </c>
      <c r="DQ82" s="211">
        <f t="shared" ref="DQ82:DQ99" si="65">BY74</f>
        <v>-4.3499999999999996</v>
      </c>
      <c r="DR82" s="293">
        <f t="shared" ref="DR82:DR99" si="66">BZ74</f>
        <v>9.3192819451234812E-5</v>
      </c>
      <c r="DS82" s="631">
        <f t="shared" si="28"/>
        <v>-2.7142181524999955</v>
      </c>
      <c r="DT82" s="632">
        <f t="shared" si="32"/>
        <v>-4.3539010000000005</v>
      </c>
      <c r="DU82" s="632">
        <f t="shared" si="33"/>
        <v>-8.167766703600023</v>
      </c>
      <c r="DV82" s="633">
        <f t="shared" si="34"/>
        <v>-18.415999999999997</v>
      </c>
    </row>
    <row r="83" spans="72:126" x14ac:dyDescent="0.25">
      <c r="BT83" s="79">
        <f t="shared" si="56"/>
        <v>2092</v>
      </c>
      <c r="BU83" s="280">
        <f>scenarios!E88</f>
        <v>-4.3499999999999996</v>
      </c>
      <c r="BV83" s="280">
        <f>scenarios!M88</f>
        <v>-4.3499999999999996</v>
      </c>
      <c r="BW83" s="280">
        <f>scenarios!V88</f>
        <v>-4.3499999999999996</v>
      </c>
      <c r="BX83" s="399">
        <f>scenarios!AE88</f>
        <v>-4.3499999999999996</v>
      </c>
      <c r="BY83" s="399">
        <f>scenarios!AN88</f>
        <v>-4.3499999999999996</v>
      </c>
      <c r="BZ83" s="399">
        <f>scenarios!BF88</f>
        <v>1.1198041523564572E-5</v>
      </c>
      <c r="CA83" s="280">
        <f>'IPCC SR15 paths P1-P4'!C89</f>
        <v>-3.3466973987999964</v>
      </c>
      <c r="CB83" s="399">
        <f>'IPCC SR15 paths P1-P4'!E89</f>
        <v>-4.4073690600000006</v>
      </c>
      <c r="CC83" s="616">
        <f>'IPCC SR15 paths P1-P4'!G80</f>
        <v>-11.149469100000033</v>
      </c>
      <c r="CD83" s="399">
        <f>'IPCC SR15 paths P1-P4'!I89</f>
        <v>-19.901999999999987</v>
      </c>
      <c r="CF83" s="79">
        <f t="shared" si="57"/>
        <v>2092</v>
      </c>
      <c r="CG83" s="278" t="e">
        <f>IF($BU82&gt;'goal seek'!$F$31,$BU83/$BU82-1,#N/A)</f>
        <v>#N/A</v>
      </c>
      <c r="CH83" s="278" t="e">
        <f>IF(BV82&gt;'goal seek'!$F$28,BV83/BV82-1,#N/A)</f>
        <v>#N/A</v>
      </c>
      <c r="CI83" s="278" t="e">
        <f>IF(BW82&gt;'goal seek'!$F$28,BW83/BW82-1,#N/A)</f>
        <v>#N/A</v>
      </c>
      <c r="CJ83" s="402" t="e">
        <f>IF(BX82&gt;'goal seek'!$F$28,BX83/BX82-1,#N/A)</f>
        <v>#N/A</v>
      </c>
      <c r="CK83" s="402" t="e">
        <f>IF(BY82&gt;'goal seek'!$F$28,BY83/BY82-1,#N/A)</f>
        <v>#N/A</v>
      </c>
      <c r="CL83" s="402" t="e">
        <f>IF(BZ82&gt;'goal seek'!$F$28,BZ83/BZ82-1,#N/A)</f>
        <v>#N/A</v>
      </c>
      <c r="CM83" s="622" t="e">
        <f t="shared" si="58"/>
        <v>#N/A</v>
      </c>
      <c r="CN83" s="402" t="e">
        <f t="shared" si="29"/>
        <v>#N/A</v>
      </c>
      <c r="CO83" s="194" t="e">
        <f t="shared" si="30"/>
        <v>#N/A</v>
      </c>
      <c r="CP83" s="402" t="e">
        <f t="shared" si="31"/>
        <v>#N/A</v>
      </c>
      <c r="CR83" s="79">
        <f t="shared" si="59"/>
        <v>2092</v>
      </c>
      <c r="CS83" s="278">
        <f t="shared" si="50"/>
        <v>0</v>
      </c>
      <c r="CT83" s="278">
        <f t="shared" si="51"/>
        <v>0</v>
      </c>
      <c r="CU83" s="278">
        <f t="shared" si="52"/>
        <v>0</v>
      </c>
      <c r="CV83" s="402">
        <f t="shared" si="53"/>
        <v>0</v>
      </c>
      <c r="CW83" s="402">
        <f t="shared" si="54"/>
        <v>0</v>
      </c>
      <c r="CX83" s="402">
        <f t="shared" si="55"/>
        <v>0</v>
      </c>
      <c r="CZ83" s="79">
        <f t="shared" si="49"/>
        <v>2092</v>
      </c>
      <c r="DA83" s="299">
        <f>scenarios!K88</f>
        <v>-0.4017201858572052</v>
      </c>
      <c r="DB83" s="407">
        <f>scenarios!T88</f>
        <v>-0.4017201858572052</v>
      </c>
      <c r="DC83" s="211">
        <f>scenarios!AC88</f>
        <v>-0.4017201858572052</v>
      </c>
      <c r="DD83" s="407">
        <f>scenarios!AL88</f>
        <v>-0.4017201858572052</v>
      </c>
      <c r="DE83" s="407">
        <f>scenarios!AU88</f>
        <v>-0.4017201858572052</v>
      </c>
      <c r="DF83" s="407">
        <f>scenarios!BM88</f>
        <v>1.034133177490359E-6</v>
      </c>
      <c r="DG83" s="626">
        <f>CA83/scenarios!$B88*1000000</f>
        <v>-0.30906572438017466</v>
      </c>
      <c r="DH83" s="626">
        <f>CB83/scenarios!$B88*1000000</f>
        <v>-0.40701818802861978</v>
      </c>
      <c r="DI83" s="626">
        <f>CC83/scenarios!$B88*1000000</f>
        <v>-1.0296475400140643</v>
      </c>
      <c r="DJ83" s="626">
        <f>CD83/scenarios!$B88*1000000</f>
        <v>-1.8379391123977225</v>
      </c>
      <c r="DL83" s="79">
        <f t="shared" si="60"/>
        <v>2084</v>
      </c>
      <c r="DM83" s="299">
        <f t="shared" si="61"/>
        <v>-4.3499999999999996</v>
      </c>
      <c r="DN83" s="211">
        <f t="shared" si="62"/>
        <v>-4.3499999999999996</v>
      </c>
      <c r="DO83" s="211">
        <f t="shared" si="63"/>
        <v>-4.3499999999999996</v>
      </c>
      <c r="DP83" s="211">
        <f t="shared" si="64"/>
        <v>-4.3499999999999996</v>
      </c>
      <c r="DQ83" s="211">
        <f t="shared" si="65"/>
        <v>-4.3499999999999996</v>
      </c>
      <c r="DR83" s="293">
        <f t="shared" si="66"/>
        <v>7.3702101592273744E-5</v>
      </c>
      <c r="DS83" s="631">
        <f t="shared" si="28"/>
        <v>-2.798222724999988</v>
      </c>
      <c r="DT83" s="632">
        <f t="shared" si="32"/>
        <v>-4.3591284000000012</v>
      </c>
      <c r="DU83" s="632">
        <f t="shared" si="33"/>
        <v>-8.5746162829999548</v>
      </c>
      <c r="DV83" s="633">
        <f t="shared" si="34"/>
        <v>-18.577999999999975</v>
      </c>
    </row>
    <row r="84" spans="72:126" x14ac:dyDescent="0.25">
      <c r="BT84" s="79">
        <f t="shared" si="56"/>
        <v>2093</v>
      </c>
      <c r="BU84" s="280">
        <f>scenarios!E89</f>
        <v>-4.3499999999999996</v>
      </c>
      <c r="BV84" s="280">
        <f>scenarios!M89</f>
        <v>-4.3499999999999996</v>
      </c>
      <c r="BW84" s="280">
        <f>scenarios!V89</f>
        <v>-4.3499999999999996</v>
      </c>
      <c r="BX84" s="399">
        <f>scenarios!AE89</f>
        <v>-4.3499999999999996</v>
      </c>
      <c r="BY84" s="399">
        <f>scenarios!AN89</f>
        <v>-4.3499999999999996</v>
      </c>
      <c r="BZ84" s="399">
        <f>scenarios!BF89</f>
        <v>8.8408587273567027E-6</v>
      </c>
      <c r="CA84" s="280">
        <f>'IPCC SR15 paths P1-P4'!C90</f>
        <v>-3.3689210181999982</v>
      </c>
      <c r="CB84" s="399">
        <f>'IPCC SR15 paths P1-P4'!E90</f>
        <v>-4.4158071900000024</v>
      </c>
      <c r="CC84" s="616">
        <f>'IPCC SR15 paths P1-P4'!G81</f>
        <v>-11.329670739999983</v>
      </c>
      <c r="CD84" s="399">
        <f>'IPCC SR15 paths P1-P4'!I90</f>
        <v>-20.078000000000031</v>
      </c>
      <c r="CF84" s="79">
        <f t="shared" si="57"/>
        <v>2093</v>
      </c>
      <c r="CG84" s="278" t="e">
        <f>IF($BU83&gt;'goal seek'!$F$31,$BU84/$BU83-1,#N/A)</f>
        <v>#N/A</v>
      </c>
      <c r="CH84" s="278" t="e">
        <f>IF(BV83&gt;'goal seek'!$F$28,BV84/BV83-1,#N/A)</f>
        <v>#N/A</v>
      </c>
      <c r="CI84" s="278" t="e">
        <f>IF(BW83&gt;'goal seek'!$F$28,BW84/BW83-1,#N/A)</f>
        <v>#N/A</v>
      </c>
      <c r="CJ84" s="402" t="e">
        <f>IF(BX83&gt;'goal seek'!$F$28,BX84/BX83-1,#N/A)</f>
        <v>#N/A</v>
      </c>
      <c r="CK84" s="402" t="e">
        <f>IF(BY83&gt;'goal seek'!$F$28,BY84/BY83-1,#N/A)</f>
        <v>#N/A</v>
      </c>
      <c r="CL84" s="402" t="e">
        <f>IF(BZ83&gt;'goal seek'!$F$28,BZ84/BZ83-1,#N/A)</f>
        <v>#N/A</v>
      </c>
      <c r="CM84" s="622" t="e">
        <f t="shared" si="58"/>
        <v>#N/A</v>
      </c>
      <c r="CN84" s="402" t="e">
        <f t="shared" si="29"/>
        <v>#N/A</v>
      </c>
      <c r="CO84" s="194" t="e">
        <f t="shared" si="30"/>
        <v>#N/A</v>
      </c>
      <c r="CP84" s="402" t="e">
        <f t="shared" si="31"/>
        <v>#N/A</v>
      </c>
      <c r="CR84" s="79">
        <f t="shared" si="59"/>
        <v>2093</v>
      </c>
      <c r="CS84" s="278">
        <f t="shared" si="50"/>
        <v>0</v>
      </c>
      <c r="CT84" s="278">
        <f t="shared" si="51"/>
        <v>0</v>
      </c>
      <c r="CU84" s="278">
        <f t="shared" si="52"/>
        <v>0</v>
      </c>
      <c r="CV84" s="402">
        <f t="shared" si="53"/>
        <v>0</v>
      </c>
      <c r="CW84" s="402">
        <f t="shared" si="54"/>
        <v>0</v>
      </c>
      <c r="CX84" s="402">
        <f t="shared" si="55"/>
        <v>0</v>
      </c>
      <c r="CZ84" s="79">
        <f t="shared" si="49"/>
        <v>2093</v>
      </c>
      <c r="DA84" s="299">
        <f>scenarios!K89</f>
        <v>-0.40140937415048711</v>
      </c>
      <c r="DB84" s="407">
        <f>scenarios!T89</f>
        <v>-0.40140937415048711</v>
      </c>
      <c r="DC84" s="211">
        <f>scenarios!AC89</f>
        <v>-0.40140937415048711</v>
      </c>
      <c r="DD84" s="407">
        <f>scenarios!AL89</f>
        <v>-0.40140937415048711</v>
      </c>
      <c r="DE84" s="407">
        <f>scenarios!AU89</f>
        <v>-0.40140937415048711</v>
      </c>
      <c r="DF84" s="407">
        <f>scenarios!BM89</f>
        <v>8.1581691234508634E-7</v>
      </c>
      <c r="DG84" s="626">
        <f>CA84/scenarios!$B89*1000000</f>
        <v>-0.31087735114438692</v>
      </c>
      <c r="DH84" s="626">
        <f>CB84/scenarios!$B89*1000000</f>
        <v>-0.40748193115106257</v>
      </c>
      <c r="DI84" s="626">
        <f>CC84/scenarios!$B89*1000000</f>
        <v>-1.0454795496722942</v>
      </c>
      <c r="DJ84" s="626">
        <f>CD84/scenarios!$B89*1000000</f>
        <v>-1.8527580262513776</v>
      </c>
      <c r="DL84" s="79">
        <f t="shared" si="60"/>
        <v>2085</v>
      </c>
      <c r="DM84" s="299">
        <f t="shared" si="61"/>
        <v>-4.3499999999999996</v>
      </c>
      <c r="DN84" s="211">
        <f t="shared" si="62"/>
        <v>-4.3499999999999996</v>
      </c>
      <c r="DO84" s="211">
        <f t="shared" si="63"/>
        <v>-4.3499999999999996</v>
      </c>
      <c r="DP84" s="211">
        <f t="shared" si="64"/>
        <v>-4.3499999999999996</v>
      </c>
      <c r="DQ84" s="211">
        <f t="shared" si="65"/>
        <v>-4.3499999999999996</v>
      </c>
      <c r="DR84" s="293">
        <f t="shared" si="66"/>
        <v>5.8275354149733865E-5</v>
      </c>
      <c r="DS84" s="631">
        <f t="shared" ref="DS84:DS99" si="67">CA76</f>
        <v>-2.8822272975000089</v>
      </c>
      <c r="DT84" s="632">
        <f t="shared" si="32"/>
        <v>-4.3643558000000002</v>
      </c>
      <c r="DU84" s="632">
        <f t="shared" si="33"/>
        <v>-8.9814658624000003</v>
      </c>
      <c r="DV84" s="633">
        <f t="shared" si="34"/>
        <v>-18.740000000000009</v>
      </c>
    </row>
    <row r="85" spans="72:126" x14ac:dyDescent="0.25">
      <c r="BT85" s="79">
        <f t="shared" si="56"/>
        <v>2094</v>
      </c>
      <c r="BU85" s="280">
        <f>scenarios!E90</f>
        <v>-4.3499999999999996</v>
      </c>
      <c r="BV85" s="280">
        <f>scenarios!M90</f>
        <v>-4.3499999999999996</v>
      </c>
      <c r="BW85" s="280">
        <f>scenarios!V90</f>
        <v>-4.3499999999999996</v>
      </c>
      <c r="BX85" s="399">
        <f>scenarios!AE90</f>
        <v>-4.3499999999999996</v>
      </c>
      <c r="BY85" s="399">
        <f>scenarios!AN90</f>
        <v>-4.3499999999999996</v>
      </c>
      <c r="BZ85" s="399">
        <f>scenarios!BF90</f>
        <v>6.9787019274989334E-6</v>
      </c>
      <c r="CA85" s="280">
        <f>'IPCC SR15 paths P1-P4'!C91</f>
        <v>-3.3911446376000001</v>
      </c>
      <c r="CB85" s="399">
        <f>'IPCC SR15 paths P1-P4'!E91</f>
        <v>-4.4242453200000007</v>
      </c>
      <c r="CC85" s="616">
        <f>'IPCC SR15 paths P1-P4'!G82</f>
        <v>-11.50987237999999</v>
      </c>
      <c r="CD85" s="399">
        <f>'IPCC SR15 paths P1-P4'!I91</f>
        <v>-20.254000000000019</v>
      </c>
      <c r="CF85" s="79">
        <f t="shared" si="57"/>
        <v>2094</v>
      </c>
      <c r="CG85" s="278" t="e">
        <f>IF($BU84&gt;'goal seek'!$F$31,$BU85/$BU84-1,#N/A)</f>
        <v>#N/A</v>
      </c>
      <c r="CH85" s="278" t="e">
        <f>IF(BV84&gt;'goal seek'!$F$28,BV85/BV84-1,#N/A)</f>
        <v>#N/A</v>
      </c>
      <c r="CI85" s="278" t="e">
        <f>IF(BW84&gt;'goal seek'!$F$28,BW85/BW84-1,#N/A)</f>
        <v>#N/A</v>
      </c>
      <c r="CJ85" s="402" t="e">
        <f>IF(BX84&gt;'goal seek'!$F$28,BX85/BX84-1,#N/A)</f>
        <v>#N/A</v>
      </c>
      <c r="CK85" s="402" t="e">
        <f>IF(BY84&gt;'goal seek'!$F$28,BY85/BY84-1,#N/A)</f>
        <v>#N/A</v>
      </c>
      <c r="CL85" s="402" t="e">
        <f>IF(BZ84&gt;'goal seek'!$F$28,BZ85/BZ84-1,#N/A)</f>
        <v>#N/A</v>
      </c>
      <c r="CM85" s="622" t="e">
        <f t="shared" si="58"/>
        <v>#N/A</v>
      </c>
      <c r="CN85" s="402" t="e">
        <f t="shared" si="29"/>
        <v>#N/A</v>
      </c>
      <c r="CO85" s="194" t="e">
        <f t="shared" si="30"/>
        <v>#N/A</v>
      </c>
      <c r="CP85" s="402" t="e">
        <f t="shared" si="31"/>
        <v>#N/A</v>
      </c>
      <c r="CR85" s="79">
        <f t="shared" si="59"/>
        <v>2094</v>
      </c>
      <c r="CS85" s="278">
        <f t="shared" si="50"/>
        <v>0</v>
      </c>
      <c r="CT85" s="278">
        <f t="shared" si="51"/>
        <v>0</v>
      </c>
      <c r="CU85" s="278">
        <f t="shared" si="52"/>
        <v>0</v>
      </c>
      <c r="CV85" s="402">
        <f t="shared" si="53"/>
        <v>0</v>
      </c>
      <c r="CW85" s="402">
        <f t="shared" si="54"/>
        <v>0</v>
      </c>
      <c r="CX85" s="402">
        <f t="shared" si="55"/>
        <v>0</v>
      </c>
      <c r="CZ85" s="79">
        <f t="shared" si="49"/>
        <v>2094</v>
      </c>
      <c r="DA85" s="299">
        <f>scenarios!K90</f>
        <v>-0.40112511533806333</v>
      </c>
      <c r="DB85" s="407">
        <f>scenarios!T90</f>
        <v>-0.40112511533806333</v>
      </c>
      <c r="DC85" s="211">
        <f>scenarios!AC90</f>
        <v>-0.40112511533806333</v>
      </c>
      <c r="DD85" s="407">
        <f>scenarios!AL90</f>
        <v>-0.40112511533806333</v>
      </c>
      <c r="DE85" s="407">
        <f>scenarios!AU90</f>
        <v>-0.40112511533806333</v>
      </c>
      <c r="DF85" s="407">
        <f>scenarios!BM90</f>
        <v>6.4352473921332749E-7</v>
      </c>
      <c r="DG85" s="626">
        <f>CA85/scenarios!$B90*1000000</f>
        <v>-0.3127065020426103</v>
      </c>
      <c r="DH85" s="626">
        <f>CB85/scenarios!$B90*1000000</f>
        <v>-0.40797147454457172</v>
      </c>
      <c r="DI85" s="626">
        <f>CC85/scenarios!$B90*1000000</f>
        <v>-1.0613560657365253</v>
      </c>
      <c r="DJ85" s="626">
        <f>CD85/scenarios!$B90*1000000</f>
        <v>-1.8676754220821015</v>
      </c>
      <c r="DL85" s="79">
        <f t="shared" si="60"/>
        <v>2086</v>
      </c>
      <c r="DM85" s="299">
        <f t="shared" si="61"/>
        <v>-4.3499999999999996</v>
      </c>
      <c r="DN85" s="211">
        <f t="shared" si="62"/>
        <v>-4.3499999999999996</v>
      </c>
      <c r="DO85" s="211">
        <f t="shared" si="63"/>
        <v>-4.3499999999999996</v>
      </c>
      <c r="DP85" s="211">
        <f t="shared" si="64"/>
        <v>-4.3499999999999996</v>
      </c>
      <c r="DQ85" s="211">
        <f t="shared" si="65"/>
        <v>-4.3499999999999996</v>
      </c>
      <c r="DR85" s="293">
        <f t="shared" si="66"/>
        <v>4.6068093190151281E-5</v>
      </c>
      <c r="DS85" s="631">
        <f t="shared" si="67"/>
        <v>-2.9662318700000014</v>
      </c>
      <c r="DT85" s="632">
        <f t="shared" si="32"/>
        <v>-4.369583200000001</v>
      </c>
      <c r="DU85" s="632">
        <f t="shared" si="33"/>
        <v>-9.3883154417999322</v>
      </c>
      <c r="DV85" s="633">
        <f t="shared" si="34"/>
        <v>-18.901999999999987</v>
      </c>
    </row>
    <row r="86" spans="72:126" x14ac:dyDescent="0.25">
      <c r="BT86" s="79">
        <f t="shared" si="56"/>
        <v>2095</v>
      </c>
      <c r="BU86" s="280">
        <f>scenarios!E91</f>
        <v>-4.3499999999999996</v>
      </c>
      <c r="BV86" s="280">
        <f>scenarios!M91</f>
        <v>-4.3499999999999996</v>
      </c>
      <c r="BW86" s="280">
        <f>scenarios!V91</f>
        <v>-4.3499999999999996</v>
      </c>
      <c r="BX86" s="399">
        <f>scenarios!AE91</f>
        <v>-4.3499999999999996</v>
      </c>
      <c r="BY86" s="399">
        <f>scenarios!AN91</f>
        <v>-4.3499999999999996</v>
      </c>
      <c r="BZ86" s="399">
        <f>scenarios!BF91</f>
        <v>5.5078803155863027E-6</v>
      </c>
      <c r="CA86" s="280">
        <f>'IPCC SR15 paths P1-P4'!C92</f>
        <v>-3.4133682570000019</v>
      </c>
      <c r="CB86" s="399">
        <f>'IPCC SR15 paths P1-P4'!E92</f>
        <v>-4.432683449999999</v>
      </c>
      <c r="CC86" s="616">
        <f>'IPCC SR15 paths P1-P4'!G83</f>
        <v>-11.690074019999997</v>
      </c>
      <c r="CD86" s="399">
        <f>'IPCC SR15 paths P1-P4'!I92</f>
        <v>-20.430000000000007</v>
      </c>
      <c r="CF86" s="79">
        <f t="shared" si="57"/>
        <v>2095</v>
      </c>
      <c r="CG86" s="278" t="e">
        <f>IF($BU85&gt;'goal seek'!$F$31,$BU86/$BU85-1,#N/A)</f>
        <v>#N/A</v>
      </c>
      <c r="CH86" s="278" t="e">
        <f>IF(BV85&gt;'goal seek'!$F$28,BV86/BV85-1,#N/A)</f>
        <v>#N/A</v>
      </c>
      <c r="CI86" s="278" t="e">
        <f>IF(BW85&gt;'goal seek'!$F$28,BW86/BW85-1,#N/A)</f>
        <v>#N/A</v>
      </c>
      <c r="CJ86" s="402" t="e">
        <f>IF(BX85&gt;'goal seek'!$F$28,BX86/BX85-1,#N/A)</f>
        <v>#N/A</v>
      </c>
      <c r="CK86" s="402" t="e">
        <f>IF(BY85&gt;'goal seek'!$F$28,BY86/BY85-1,#N/A)</f>
        <v>#N/A</v>
      </c>
      <c r="CL86" s="402" t="e">
        <f>IF(BZ85&gt;'goal seek'!$F$28,BZ86/BZ85-1,#N/A)</f>
        <v>#N/A</v>
      </c>
      <c r="CM86" s="622" t="e">
        <f t="shared" si="58"/>
        <v>#N/A</v>
      </c>
      <c r="CN86" s="402" t="e">
        <f t="shared" si="29"/>
        <v>#N/A</v>
      </c>
      <c r="CO86" s="194" t="e">
        <f t="shared" si="30"/>
        <v>#N/A</v>
      </c>
      <c r="CP86" s="402" t="e">
        <f t="shared" si="31"/>
        <v>#N/A</v>
      </c>
      <c r="CR86" s="79">
        <f t="shared" si="59"/>
        <v>2095</v>
      </c>
      <c r="CS86" s="278">
        <f t="shared" si="50"/>
        <v>0</v>
      </c>
      <c r="CT86" s="278">
        <f t="shared" si="51"/>
        <v>0</v>
      </c>
      <c r="CU86" s="278">
        <f t="shared" si="52"/>
        <v>0</v>
      </c>
      <c r="CV86" s="402">
        <f t="shared" si="53"/>
        <v>0</v>
      </c>
      <c r="CW86" s="402">
        <f t="shared" si="54"/>
        <v>0</v>
      </c>
      <c r="CX86" s="402">
        <f t="shared" si="55"/>
        <v>0</v>
      </c>
      <c r="CZ86" s="79">
        <f t="shared" si="49"/>
        <v>2095</v>
      </c>
      <c r="DA86" s="299">
        <f>scenarios!K91</f>
        <v>-0.40086769528542576</v>
      </c>
      <c r="DB86" s="407">
        <f>scenarios!T91</f>
        <v>-0.40086769528542576</v>
      </c>
      <c r="DC86" s="211">
        <f>scenarios!AC91</f>
        <v>-0.40086769528542576</v>
      </c>
      <c r="DD86" s="407">
        <f>scenarios!AL91</f>
        <v>-0.40086769528542576</v>
      </c>
      <c r="DE86" s="407">
        <f>scenarios!AU91</f>
        <v>-0.40086769528542576</v>
      </c>
      <c r="DF86" s="407">
        <f>scenarios!BM91</f>
        <v>5.0757041103840113E-7</v>
      </c>
      <c r="DG86" s="626">
        <f>CA86/scenarios!$B91*1000000</f>
        <v>-0.31455380835494751</v>
      </c>
      <c r="DH86" s="626">
        <f>CB86/scenarios!$B91*1000000</f>
        <v>-0.40848726403019525</v>
      </c>
      <c r="DI86" s="626">
        <f>CC86/scenarios!$B91*1000000</f>
        <v>-1.0772811563479152</v>
      </c>
      <c r="DJ86" s="626">
        <f>CD86/scenarios!$B91*1000000</f>
        <v>-1.8826958654439656</v>
      </c>
      <c r="DL86" s="79">
        <f t="shared" si="60"/>
        <v>2087</v>
      </c>
      <c r="DM86" s="299">
        <f t="shared" si="61"/>
        <v>-4.3499999999999996</v>
      </c>
      <c r="DN86" s="211">
        <f t="shared" si="62"/>
        <v>-4.3499999999999996</v>
      </c>
      <c r="DO86" s="211">
        <f t="shared" si="63"/>
        <v>-4.3499999999999996</v>
      </c>
      <c r="DP86" s="211">
        <f t="shared" si="64"/>
        <v>-4.3499999999999996</v>
      </c>
      <c r="DQ86" s="211">
        <f t="shared" si="65"/>
        <v>-4.3499999999999996</v>
      </c>
      <c r="DR86" s="293">
        <f t="shared" si="66"/>
        <v>3.6410642515178335E-5</v>
      </c>
      <c r="DS86" s="631">
        <f t="shared" si="67"/>
        <v>-3.0502364424999939</v>
      </c>
      <c r="DT86" s="632">
        <f t="shared" si="32"/>
        <v>-4.3748106</v>
      </c>
      <c r="DU86" s="632">
        <f t="shared" si="33"/>
        <v>-9.7951650211999777</v>
      </c>
      <c r="DV86" s="633">
        <f t="shared" si="34"/>
        <v>-19.063999999999965</v>
      </c>
    </row>
    <row r="87" spans="72:126" x14ac:dyDescent="0.25">
      <c r="BT87" s="79">
        <f t="shared" si="56"/>
        <v>2096</v>
      </c>
      <c r="BU87" s="280">
        <f>scenarios!E92</f>
        <v>-4.3499999999999996</v>
      </c>
      <c r="BV87" s="280">
        <f>scenarios!M92</f>
        <v>-4.3499999999999996</v>
      </c>
      <c r="BW87" s="280">
        <f>scenarios!V92</f>
        <v>-4.3499999999999996</v>
      </c>
      <c r="BX87" s="399">
        <f>scenarios!AE92</f>
        <v>-4.3499999999999996</v>
      </c>
      <c r="BY87" s="399">
        <f>scenarios!AN92</f>
        <v>-4.3499999999999996</v>
      </c>
      <c r="BZ87" s="399">
        <f>scenarios!BF92</f>
        <v>4.3463604906361032E-6</v>
      </c>
      <c r="CA87" s="280">
        <f>'IPCC SR15 paths P1-P4'!C93</f>
        <v>-3.4355918763999966</v>
      </c>
      <c r="CB87" s="399">
        <f>'IPCC SR15 paths P1-P4'!E93</f>
        <v>-4.4411215800000008</v>
      </c>
      <c r="CC87" s="616">
        <f>'IPCC SR15 paths P1-P4'!G84</f>
        <v>-11.870275660000004</v>
      </c>
      <c r="CD87" s="399">
        <f>'IPCC SR15 paths P1-P4'!I93</f>
        <v>-20.605999999999995</v>
      </c>
      <c r="CF87" s="79">
        <f t="shared" si="57"/>
        <v>2096</v>
      </c>
      <c r="CG87" s="278" t="e">
        <f>IF($BU86&gt;'goal seek'!$F$31,$BU87/$BU86-1,#N/A)</f>
        <v>#N/A</v>
      </c>
      <c r="CH87" s="278" t="e">
        <f>IF(BV86&gt;'goal seek'!$F$28,BV87/BV86-1,#N/A)</f>
        <v>#N/A</v>
      </c>
      <c r="CI87" s="278" t="e">
        <f>IF(BW86&gt;'goal seek'!$F$28,BW87/BW86-1,#N/A)</f>
        <v>#N/A</v>
      </c>
      <c r="CJ87" s="402" t="e">
        <f>IF(BX86&gt;'goal seek'!$F$28,BX87/BX86-1,#N/A)</f>
        <v>#N/A</v>
      </c>
      <c r="CK87" s="402" t="e">
        <f>IF(BY86&gt;'goal seek'!$F$28,BY87/BY86-1,#N/A)</f>
        <v>#N/A</v>
      </c>
      <c r="CL87" s="402" t="e">
        <f>IF(BZ86&gt;'goal seek'!$F$28,BZ87/BZ86-1,#N/A)</f>
        <v>#N/A</v>
      </c>
      <c r="CM87" s="622" t="e">
        <f t="shared" si="58"/>
        <v>#N/A</v>
      </c>
      <c r="CN87" s="402" t="e">
        <f t="shared" si="29"/>
        <v>#N/A</v>
      </c>
      <c r="CO87" s="194" t="e">
        <f t="shared" si="30"/>
        <v>#N/A</v>
      </c>
      <c r="CP87" s="402" t="e">
        <f t="shared" si="31"/>
        <v>#N/A</v>
      </c>
      <c r="CR87" s="79">
        <f t="shared" si="59"/>
        <v>2096</v>
      </c>
      <c r="CS87" s="278">
        <f t="shared" si="50"/>
        <v>0</v>
      </c>
      <c r="CT87" s="278">
        <f t="shared" si="51"/>
        <v>0</v>
      </c>
      <c r="CU87" s="278">
        <f t="shared" si="52"/>
        <v>0</v>
      </c>
      <c r="CV87" s="402">
        <f t="shared" si="53"/>
        <v>0</v>
      </c>
      <c r="CW87" s="402">
        <f t="shared" si="54"/>
        <v>0</v>
      </c>
      <c r="CX87" s="402">
        <f t="shared" si="55"/>
        <v>0</v>
      </c>
      <c r="CZ87" s="79">
        <f t="shared" si="49"/>
        <v>2096</v>
      </c>
      <c r="DA87" s="299">
        <f>scenarios!K92</f>
        <v>-0.40063754792143252</v>
      </c>
      <c r="DB87" s="407">
        <f>scenarios!T92</f>
        <v>-0.40063754792143252</v>
      </c>
      <c r="DC87" s="211">
        <f>scenarios!AC92</f>
        <v>-0.40063754792143252</v>
      </c>
      <c r="DD87" s="407">
        <f>scenarios!AL92</f>
        <v>-0.40063754792143252</v>
      </c>
      <c r="DE87" s="407">
        <f>scenarios!AU92</f>
        <v>-0.40063754792143252</v>
      </c>
      <c r="DF87" s="407">
        <f>scenarios!BM92</f>
        <v>4.0030234697725123E-7</v>
      </c>
      <c r="DG87" s="626">
        <f>CA87/scenarios!$B92*1000000</f>
        <v>-0.31642002414245701</v>
      </c>
      <c r="DH87" s="626">
        <f>CB87/scenarios!$B92*1000000</f>
        <v>-0.40902989881199048</v>
      </c>
      <c r="DI87" s="626">
        <f>CC87/scenarios!$B92*1000000</f>
        <v>-1.0932593410514633</v>
      </c>
      <c r="DJ87" s="626">
        <f>CD87/scenarios!$B92*1000000</f>
        <v>-1.8978246695331118</v>
      </c>
      <c r="DL87" s="79">
        <f t="shared" si="60"/>
        <v>2088</v>
      </c>
      <c r="DM87" s="299">
        <f t="shared" si="61"/>
        <v>-4.3499999999999996</v>
      </c>
      <c r="DN87" s="211">
        <f t="shared" si="62"/>
        <v>-4.3499999999999996</v>
      </c>
      <c r="DO87" s="211">
        <f t="shared" si="63"/>
        <v>-4.3499999999999996</v>
      </c>
      <c r="DP87" s="211">
        <f t="shared" si="64"/>
        <v>-4.3499999999999996</v>
      </c>
      <c r="DQ87" s="211">
        <f t="shared" si="65"/>
        <v>-4.3499999999999996</v>
      </c>
      <c r="DR87" s="293">
        <f t="shared" si="66"/>
        <v>2.8772106537307176E-5</v>
      </c>
      <c r="DS87" s="631">
        <f t="shared" si="67"/>
        <v>-3.1342410150000148</v>
      </c>
      <c r="DT87" s="632">
        <f t="shared" si="32"/>
        <v>-4.3800380000000008</v>
      </c>
      <c r="DU87" s="632">
        <f t="shared" si="33"/>
        <v>-10.202014600600023</v>
      </c>
      <c r="DV87" s="633">
        <f t="shared" si="34"/>
        <v>-19.225999999999999</v>
      </c>
    </row>
    <row r="88" spans="72:126" x14ac:dyDescent="0.25">
      <c r="BT88" s="79">
        <f t="shared" si="56"/>
        <v>2097</v>
      </c>
      <c r="BU88" s="280">
        <f>scenarios!E93</f>
        <v>-4.3499999999999996</v>
      </c>
      <c r="BV88" s="280">
        <f>scenarios!M93</f>
        <v>-4.3499999999999996</v>
      </c>
      <c r="BW88" s="280">
        <f>scenarios!V93</f>
        <v>-4.3499999999999996</v>
      </c>
      <c r="BX88" s="399">
        <f>scenarios!AE93</f>
        <v>-4.3499999999999996</v>
      </c>
      <c r="BY88" s="399">
        <f>scenarios!AN93</f>
        <v>-4.3499999999999996</v>
      </c>
      <c r="BZ88" s="399">
        <f>scenarios!BF93</f>
        <v>3.4292574462414513E-6</v>
      </c>
      <c r="CA88" s="280">
        <f>'IPCC SR15 paths P1-P4'!C94</f>
        <v>-3.4578154957999985</v>
      </c>
      <c r="CB88" s="399">
        <f>'IPCC SR15 paths P1-P4'!E94</f>
        <v>-4.4495597100000026</v>
      </c>
      <c r="CC88" s="616">
        <f>'IPCC SR15 paths P1-P4'!G85</f>
        <v>-12.050477300000011</v>
      </c>
      <c r="CD88" s="399">
        <f>'IPCC SR15 paths P1-P4'!I94</f>
        <v>-20.781999999999982</v>
      </c>
      <c r="CF88" s="79">
        <f t="shared" si="57"/>
        <v>2097</v>
      </c>
      <c r="CG88" s="278" t="e">
        <f>IF($BU87&gt;'goal seek'!$F$31,$BU88/$BU87-1,#N/A)</f>
        <v>#N/A</v>
      </c>
      <c r="CH88" s="278" t="e">
        <f>IF(BV87&gt;'goal seek'!$F$28,BV88/BV87-1,#N/A)</f>
        <v>#N/A</v>
      </c>
      <c r="CI88" s="278" t="e">
        <f>IF(BW87&gt;'goal seek'!$F$28,BW88/BW87-1,#N/A)</f>
        <v>#N/A</v>
      </c>
      <c r="CJ88" s="402" t="e">
        <f>IF(BX87&gt;'goal seek'!$F$28,BX88/BX87-1,#N/A)</f>
        <v>#N/A</v>
      </c>
      <c r="CK88" s="402" t="e">
        <f>IF(BY87&gt;'goal seek'!$F$28,BY88/BY87-1,#N/A)</f>
        <v>#N/A</v>
      </c>
      <c r="CL88" s="402" t="e">
        <f>IF(BZ87&gt;'goal seek'!$F$28,BZ88/BZ87-1,#N/A)</f>
        <v>#N/A</v>
      </c>
      <c r="CM88" s="622" t="e">
        <f t="shared" si="58"/>
        <v>#N/A</v>
      </c>
      <c r="CN88" s="402" t="e">
        <f t="shared" si="29"/>
        <v>#N/A</v>
      </c>
      <c r="CO88" s="194" t="e">
        <f t="shared" si="30"/>
        <v>#N/A</v>
      </c>
      <c r="CP88" s="402" t="e">
        <f t="shared" si="31"/>
        <v>#N/A</v>
      </c>
      <c r="CR88" s="79">
        <f t="shared" si="59"/>
        <v>2097</v>
      </c>
      <c r="CS88" s="278">
        <f t="shared" si="50"/>
        <v>0</v>
      </c>
      <c r="CT88" s="278">
        <f t="shared" si="51"/>
        <v>0</v>
      </c>
      <c r="CU88" s="278">
        <f t="shared" si="52"/>
        <v>0</v>
      </c>
      <c r="CV88" s="402">
        <f t="shared" si="53"/>
        <v>0</v>
      </c>
      <c r="CW88" s="402">
        <f t="shared" si="54"/>
        <v>0</v>
      </c>
      <c r="CX88" s="402">
        <f t="shared" si="55"/>
        <v>0</v>
      </c>
      <c r="CZ88" s="79">
        <f t="shared" si="49"/>
        <v>2097</v>
      </c>
      <c r="DA88" s="299">
        <f>scenarios!K93</f>
        <v>-0.40043525238876759</v>
      </c>
      <c r="DB88" s="407">
        <f>scenarios!T93</f>
        <v>-0.40043525238876759</v>
      </c>
      <c r="DC88" s="211">
        <f>scenarios!AC93</f>
        <v>-0.40043525238876759</v>
      </c>
      <c r="DD88" s="407">
        <f>scenarios!AL93</f>
        <v>-0.40043525238876759</v>
      </c>
      <c r="DE88" s="407">
        <f>scenarios!AU93</f>
        <v>-0.40043525238876759</v>
      </c>
      <c r="DF88" s="407">
        <f>scenarios!BM93</f>
        <v>3.1567714275672551E-7</v>
      </c>
      <c r="DG88" s="626">
        <f>CA88/scenarios!$B93*1000000</f>
        <v>-0.31830602776424455</v>
      </c>
      <c r="DH88" s="626">
        <f>CB88/scenarios!$B93*1000000</f>
        <v>-0.40960012999833162</v>
      </c>
      <c r="DI88" s="626">
        <f>CC88/scenarios!$B93*1000000</f>
        <v>-1.1092956135702572</v>
      </c>
      <c r="DJ88" s="626">
        <f>CD88/scenarios!$B93*1000000</f>
        <v>-1.9130679115272096</v>
      </c>
      <c r="DL88" s="79">
        <f t="shared" si="60"/>
        <v>2089</v>
      </c>
      <c r="DM88" s="299">
        <f t="shared" si="61"/>
        <v>-4.3499999999999996</v>
      </c>
      <c r="DN88" s="211">
        <f t="shared" si="62"/>
        <v>-4.3499999999999996</v>
      </c>
      <c r="DO88" s="211">
        <f t="shared" si="63"/>
        <v>-4.3499999999999996</v>
      </c>
      <c r="DP88" s="211">
        <f t="shared" si="64"/>
        <v>-4.3499999999999996</v>
      </c>
      <c r="DQ88" s="211">
        <f t="shared" si="65"/>
        <v>-4.3499999999999996</v>
      </c>
      <c r="DR88" s="293">
        <f t="shared" si="66"/>
        <v>2.2731731023758545E-5</v>
      </c>
      <c r="DS88" s="631">
        <f t="shared" si="67"/>
        <v>-3.2182455875000073</v>
      </c>
      <c r="DT88" s="632">
        <f t="shared" si="32"/>
        <v>-4.3852654000000015</v>
      </c>
      <c r="DU88" s="632">
        <f t="shared" si="33"/>
        <v>-10.608864180000001</v>
      </c>
      <c r="DV88" s="633">
        <f t="shared" si="34"/>
        <v>-19.387999999999977</v>
      </c>
    </row>
    <row r="89" spans="72:126" x14ac:dyDescent="0.25">
      <c r="BT89" s="79">
        <f t="shared" si="56"/>
        <v>2098</v>
      </c>
      <c r="BU89" s="280">
        <f>scenarios!E94</f>
        <v>-4.3499999999999996</v>
      </c>
      <c r="BV89" s="280">
        <f>scenarios!M94</f>
        <v>-4.3499999999999996</v>
      </c>
      <c r="BW89" s="280">
        <f>scenarios!V94</f>
        <v>-4.3499999999999996</v>
      </c>
      <c r="BX89" s="399">
        <f>scenarios!AE94</f>
        <v>-4.3499999999999996</v>
      </c>
      <c r="BY89" s="399">
        <f>scenarios!AN94</f>
        <v>-4.3499999999999996</v>
      </c>
      <c r="BZ89" s="399">
        <f>scenarios!BF94</f>
        <v>2.7052609487227185E-6</v>
      </c>
      <c r="CA89" s="280">
        <f>'IPCC SR15 paths P1-P4'!C95</f>
        <v>-3.4800391152000003</v>
      </c>
      <c r="CB89" s="399">
        <f>'IPCC SR15 paths P1-P4'!E95</f>
        <v>-4.4579978400000009</v>
      </c>
      <c r="CC89" s="616">
        <f>'IPCC SR15 paths P1-P4'!G86</f>
        <v>-12.230678940000018</v>
      </c>
      <c r="CD89" s="399">
        <f>'IPCC SR15 paths P1-P4'!I95</f>
        <v>-20.958000000000027</v>
      </c>
      <c r="CF89" s="79">
        <f t="shared" si="57"/>
        <v>2098</v>
      </c>
      <c r="CG89" s="278" t="e">
        <f>IF($BU88&gt;'goal seek'!$F$31,$BU89/$BU88-1,#N/A)</f>
        <v>#N/A</v>
      </c>
      <c r="CH89" s="278" t="e">
        <f>IF(BV88&gt;'goal seek'!$F$28,BV89/BV88-1,#N/A)</f>
        <v>#N/A</v>
      </c>
      <c r="CI89" s="278" t="e">
        <f>IF(BW88&gt;'goal seek'!$F$28,BW89/BW88-1,#N/A)</f>
        <v>#N/A</v>
      </c>
      <c r="CJ89" s="402" t="e">
        <f>IF(BX88&gt;'goal seek'!$F$28,BX89/BX88-1,#N/A)</f>
        <v>#N/A</v>
      </c>
      <c r="CK89" s="402" t="e">
        <f>IF(BY88&gt;'goal seek'!$F$28,BY89/BY88-1,#N/A)</f>
        <v>#N/A</v>
      </c>
      <c r="CL89" s="402" t="e">
        <f>IF(BZ88&gt;'goal seek'!$F$28,BZ89/BZ88-1,#N/A)</f>
        <v>#N/A</v>
      </c>
      <c r="CM89" s="622" t="e">
        <f t="shared" si="58"/>
        <v>#N/A</v>
      </c>
      <c r="CN89" s="402" t="e">
        <f t="shared" si="29"/>
        <v>#N/A</v>
      </c>
      <c r="CO89" s="194" t="e">
        <f t="shared" si="30"/>
        <v>#N/A</v>
      </c>
      <c r="CP89" s="402" t="e">
        <f t="shared" si="31"/>
        <v>#N/A</v>
      </c>
      <c r="CR89" s="79">
        <f t="shared" si="59"/>
        <v>2098</v>
      </c>
      <c r="CS89" s="278">
        <f t="shared" si="50"/>
        <v>0</v>
      </c>
      <c r="CT89" s="278">
        <f t="shared" si="51"/>
        <v>0</v>
      </c>
      <c r="CU89" s="278">
        <f t="shared" si="52"/>
        <v>0</v>
      </c>
      <c r="CV89" s="402">
        <f t="shared" si="53"/>
        <v>0</v>
      </c>
      <c r="CW89" s="402">
        <f t="shared" si="54"/>
        <v>0</v>
      </c>
      <c r="CX89" s="402">
        <f t="shared" si="55"/>
        <v>0</v>
      </c>
      <c r="CZ89" s="79">
        <f t="shared" si="49"/>
        <v>2098</v>
      </c>
      <c r="DA89" s="299">
        <f>scenarios!K94</f>
        <v>-0.40026154661057195</v>
      </c>
      <c r="DB89" s="407">
        <f>scenarios!T94</f>
        <v>-0.40026154661057195</v>
      </c>
      <c r="DC89" s="211">
        <f>scenarios!AC94</f>
        <v>-0.40026154661057195</v>
      </c>
      <c r="DD89" s="407">
        <f>scenarios!AL94</f>
        <v>-0.40026154661057195</v>
      </c>
      <c r="DE89" s="407">
        <f>scenarios!AU94</f>
        <v>-0.40026154661057195</v>
      </c>
      <c r="DF89" s="407">
        <f>scenarios!BM94</f>
        <v>2.4892228306228472E-7</v>
      </c>
      <c r="DG89" s="626">
        <f>CA89/scenarios!$B94*1000000</f>
        <v>-0.3202128364402847</v>
      </c>
      <c r="DH89" s="626">
        <f>CB89/scenarios!$B94*1000000</f>
        <v>-0.41019887591379067</v>
      </c>
      <c r="DI89" s="626">
        <f>CC89/scenarios!$B94*1000000</f>
        <v>-1.1253955100279904</v>
      </c>
      <c r="DJ89" s="626">
        <f>CD89/scenarios!$B94*1000000</f>
        <v>-1.9284325273251441</v>
      </c>
      <c r="DL89" s="79">
        <f t="shared" si="60"/>
        <v>2090</v>
      </c>
      <c r="DM89" s="299">
        <f t="shared" si="61"/>
        <v>-4.3499999999999996</v>
      </c>
      <c r="DN89" s="211">
        <f t="shared" si="62"/>
        <v>-4.3499999999999996</v>
      </c>
      <c r="DO89" s="211">
        <f t="shared" si="63"/>
        <v>-4.3499999999999996</v>
      </c>
      <c r="DP89" s="211">
        <f t="shared" si="64"/>
        <v>-4.3499999999999996</v>
      </c>
      <c r="DQ89" s="211">
        <f t="shared" si="65"/>
        <v>-4.3499999999999996</v>
      </c>
      <c r="DR89" s="293">
        <f t="shared" si="66"/>
        <v>1.7956145504705306E-5</v>
      </c>
      <c r="DS89" s="631">
        <f t="shared" si="67"/>
        <v>-3.3022501600000003</v>
      </c>
      <c r="DT89" s="632">
        <f t="shared" si="32"/>
        <v>-4.3904927999999996</v>
      </c>
      <c r="DU89" s="632">
        <f t="shared" si="33"/>
        <v>-10.789065820000019</v>
      </c>
      <c r="DV89" s="633">
        <f t="shared" si="34"/>
        <v>-19.55</v>
      </c>
    </row>
    <row r="90" spans="72:126" x14ac:dyDescent="0.25">
      <c r="BT90" s="79">
        <f t="shared" si="56"/>
        <v>2099</v>
      </c>
      <c r="BU90" s="280">
        <f>scenarios!E95</f>
        <v>-4.3499999999999996</v>
      </c>
      <c r="BV90" s="280">
        <f>scenarios!M95</f>
        <v>-4.3499999999999996</v>
      </c>
      <c r="BW90" s="280">
        <f>scenarios!V95</f>
        <v>-4.3499999999999996</v>
      </c>
      <c r="BX90" s="399">
        <f>scenarios!AE95</f>
        <v>-4.3499999999999996</v>
      </c>
      <c r="BY90" s="399">
        <f>scenarios!AN95</f>
        <v>-4.3499999999999996</v>
      </c>
      <c r="BZ90" s="399">
        <f>scenarios!BF95</f>
        <v>2.1338040491711256E-6</v>
      </c>
      <c r="CA90" s="280">
        <f>'IPCC SR15 paths P1-P4'!C96</f>
        <v>-3.5022627346000021</v>
      </c>
      <c r="CB90" s="399">
        <f>'IPCC SR15 paths P1-P4'!E96</f>
        <v>-4.4664359699999991</v>
      </c>
      <c r="CC90" s="616">
        <f>'IPCC SR15 paths P1-P4'!G87</f>
        <v>-12.410880579999999</v>
      </c>
      <c r="CD90" s="399">
        <f>'IPCC SR15 paths P1-P4'!I96</f>
        <v>-21.134000000000015</v>
      </c>
      <c r="CF90" s="79">
        <f t="shared" si="57"/>
        <v>2099</v>
      </c>
      <c r="CG90" s="278" t="e">
        <f>IF($BU89&gt;'goal seek'!$F$31,$BU90/$BU89-1,#N/A)</f>
        <v>#N/A</v>
      </c>
      <c r="CH90" s="278" t="e">
        <f>IF(BV89&gt;'goal seek'!$F$28,BV90/BV89-1,#N/A)</f>
        <v>#N/A</v>
      </c>
      <c r="CI90" s="278" t="e">
        <f>IF(BW89&gt;'goal seek'!$F$28,BW90/BW89-1,#N/A)</f>
        <v>#N/A</v>
      </c>
      <c r="CJ90" s="402" t="e">
        <f>IF(BX89&gt;'goal seek'!$F$28,BX90/BX89-1,#N/A)</f>
        <v>#N/A</v>
      </c>
      <c r="CK90" s="402" t="e">
        <f>IF(BY89&gt;'goal seek'!$F$28,BY90/BY89-1,#N/A)</f>
        <v>#N/A</v>
      </c>
      <c r="CL90" s="402" t="e">
        <f>IF(BZ89&gt;'goal seek'!$F$28,BZ90/BZ89-1,#N/A)</f>
        <v>#N/A</v>
      </c>
      <c r="CM90" s="622" t="e">
        <f t="shared" si="58"/>
        <v>#N/A</v>
      </c>
      <c r="CN90" s="402" t="e">
        <f t="shared" si="29"/>
        <v>#N/A</v>
      </c>
      <c r="CO90" s="194" t="e">
        <f t="shared" si="30"/>
        <v>#N/A</v>
      </c>
      <c r="CP90" s="402" t="e">
        <f t="shared" si="31"/>
        <v>#N/A</v>
      </c>
      <c r="CR90" s="79">
        <f t="shared" si="59"/>
        <v>2099</v>
      </c>
      <c r="CS90" s="278">
        <f t="shared" si="50"/>
        <v>0</v>
      </c>
      <c r="CT90" s="278">
        <f t="shared" si="51"/>
        <v>0</v>
      </c>
      <c r="CU90" s="278">
        <f t="shared" si="52"/>
        <v>0</v>
      </c>
      <c r="CV90" s="402">
        <f t="shared" si="53"/>
        <v>0</v>
      </c>
      <c r="CW90" s="402">
        <f t="shared" si="54"/>
        <v>0</v>
      </c>
      <c r="CX90" s="402">
        <f t="shared" si="55"/>
        <v>0</v>
      </c>
      <c r="CZ90" s="79">
        <f t="shared" si="49"/>
        <v>2099</v>
      </c>
      <c r="DA90" s="299">
        <f>scenarios!K95</f>
        <v>-0.40011731336609185</v>
      </c>
      <c r="DB90" s="407">
        <f>scenarios!T95</f>
        <v>-0.40011731336609185</v>
      </c>
      <c r="DC90" s="211">
        <f>scenarios!AC95</f>
        <v>-0.40011731336609185</v>
      </c>
      <c r="DD90" s="407">
        <f>scenarios!AL95</f>
        <v>-0.40011731336609185</v>
      </c>
      <c r="DE90" s="407">
        <f>scenarios!AU95</f>
        <v>-0.40011731336609185</v>
      </c>
      <c r="DF90" s="407">
        <f>scenarios!BM95</f>
        <v>1.9626941227679052E-7</v>
      </c>
      <c r="DG90" s="626">
        <f>CA90/scenarios!$B95*1000000</f>
        <v>-0.32214159909662871</v>
      </c>
      <c r="DH90" s="626">
        <f>CB90/scenarios!$B95*1000000</f>
        <v>-0.410827209342086</v>
      </c>
      <c r="DI90" s="626">
        <f>CC90/scenarios!$B95*1000000</f>
        <v>-1.1415651021096558</v>
      </c>
      <c r="DJ90" s="626">
        <f>CD90/scenarios!$B95*1000000</f>
        <v>-1.9439262760181588</v>
      </c>
      <c r="DL90" s="79">
        <f t="shared" si="60"/>
        <v>2091</v>
      </c>
      <c r="DM90" s="299">
        <f t="shared" si="61"/>
        <v>-4.3499999999999996</v>
      </c>
      <c r="DN90" s="211">
        <f t="shared" si="62"/>
        <v>-4.3499999999999996</v>
      </c>
      <c r="DO90" s="211">
        <f t="shared" si="63"/>
        <v>-4.3499999999999996</v>
      </c>
      <c r="DP90" s="211">
        <f t="shared" si="64"/>
        <v>-4.3499999999999996</v>
      </c>
      <c r="DQ90" s="211">
        <f t="shared" si="65"/>
        <v>-4.3499999999999996</v>
      </c>
      <c r="DR90" s="293">
        <f t="shared" si="66"/>
        <v>1.4181286134081569E-5</v>
      </c>
      <c r="DS90" s="631">
        <f t="shared" si="67"/>
        <v>-3.3244737794000017</v>
      </c>
      <c r="DT90" s="632">
        <f t="shared" si="32"/>
        <v>-4.3989309299999988</v>
      </c>
      <c r="DU90" s="632">
        <f t="shared" si="33"/>
        <v>-10.969267460000026</v>
      </c>
      <c r="DV90" s="633">
        <f t="shared" si="34"/>
        <v>-19.725999999999999</v>
      </c>
    </row>
    <row r="91" spans="72:126" x14ac:dyDescent="0.25">
      <c r="BT91" s="80">
        <f t="shared" si="56"/>
        <v>2100</v>
      </c>
      <c r="BU91" s="301">
        <f>scenarios!E96</f>
        <v>-4.3499999999999996</v>
      </c>
      <c r="BV91" s="301">
        <f>scenarios!M96</f>
        <v>-4.3499999999999996</v>
      </c>
      <c r="BW91" s="301">
        <f>scenarios!V96</f>
        <v>-4.3499999999999996</v>
      </c>
      <c r="BX91" s="401">
        <f>scenarios!AE96</f>
        <v>-4.3499999999999996</v>
      </c>
      <c r="BY91" s="401">
        <f>scenarios!AN96</f>
        <v>-4.3499999999999996</v>
      </c>
      <c r="BZ91" s="401">
        <f>scenarios!BF96</f>
        <v>1.6828202150896504E-6</v>
      </c>
      <c r="CA91" s="301">
        <f>'IPCC SR15 paths P1-P4'!C97</f>
        <v>-3.524486354</v>
      </c>
      <c r="CB91" s="401">
        <f>'IPCC SR15 paths P1-P4'!E97</f>
        <v>-4.4748741000000001</v>
      </c>
      <c r="CC91" s="246">
        <f>'IPCC SR15 paths P1-P4'!G88</f>
        <v>-12.474681510000011</v>
      </c>
      <c r="CD91" s="401">
        <f>'IPCC SR15 paths P1-P4'!I97</f>
        <v>-21.31</v>
      </c>
      <c r="CE91" s="79"/>
      <c r="CF91" s="80">
        <f t="shared" si="57"/>
        <v>2100</v>
      </c>
      <c r="CG91" s="404" t="e">
        <f>IF($BU90&gt;'goal seek'!$F$31,$BU91/$BU90-1,#N/A)</f>
        <v>#N/A</v>
      </c>
      <c r="CH91" s="312" t="e">
        <f>IF(BV90&gt;'goal seek'!$F$28,BV91/BV90-1,#N/A)</f>
        <v>#N/A</v>
      </c>
      <c r="CI91" s="312" t="e">
        <f>IF(BW90&gt;'goal seek'!$F$28,BW91/BW90-1,#N/A)</f>
        <v>#N/A</v>
      </c>
      <c r="CJ91" s="404" t="e">
        <f>IF(BX90&gt;'goal seek'!$F$28,BX91/BX90-1,#N/A)</f>
        <v>#N/A</v>
      </c>
      <c r="CK91" s="404" t="e">
        <f>IF(BY90&gt;'goal seek'!$F$28,BY91/BY90-1,#N/A)</f>
        <v>#N/A</v>
      </c>
      <c r="CL91" s="404" t="e">
        <f>IF(BZ90&gt;'goal seek'!$F$28,BZ91/BZ90-1,#N/A)</f>
        <v>#N/A</v>
      </c>
      <c r="CM91" s="623" t="e">
        <f t="shared" si="58"/>
        <v>#N/A</v>
      </c>
      <c r="CN91" s="404" t="e">
        <f t="shared" ref="CN91" si="68">IF(CB90&gt;0,CB91/CB90-1,#N/A)</f>
        <v>#N/A</v>
      </c>
      <c r="CO91" s="624" t="e">
        <f t="shared" ref="CO91" si="69">IF(CC90&gt;0,CC91/CC90-1,#N/A)</f>
        <v>#N/A</v>
      </c>
      <c r="CP91" s="404" t="e">
        <f t="shared" ref="CP91" si="70">IF(CD90&gt;0,CD91/CD90-1,#N/A)</f>
        <v>#N/A</v>
      </c>
      <c r="CQ91" s="186"/>
      <c r="CR91" s="80">
        <f t="shared" si="59"/>
        <v>2100</v>
      </c>
      <c r="CS91" s="312">
        <f t="shared" si="50"/>
        <v>0</v>
      </c>
      <c r="CT91" s="312">
        <f t="shared" si="51"/>
        <v>0</v>
      </c>
      <c r="CU91" s="312">
        <f t="shared" si="52"/>
        <v>0</v>
      </c>
      <c r="CV91" s="404">
        <f t="shared" si="53"/>
        <v>0</v>
      </c>
      <c r="CW91" s="404">
        <f t="shared" si="54"/>
        <v>0</v>
      </c>
      <c r="CX91" s="404">
        <f t="shared" si="55"/>
        <v>0</v>
      </c>
      <c r="CZ91" s="80">
        <f t="shared" si="49"/>
        <v>2100</v>
      </c>
      <c r="DA91" s="298">
        <f>scenarios!K96</f>
        <v>-0.40000359293342208</v>
      </c>
      <c r="DB91" s="409">
        <f>scenarios!T96</f>
        <v>-0.40000359293342208</v>
      </c>
      <c r="DC91" s="295">
        <f>scenarios!AC96</f>
        <v>-0.40000359293342208</v>
      </c>
      <c r="DD91" s="409">
        <f>scenarios!AL96</f>
        <v>-0.40000359293342208</v>
      </c>
      <c r="DE91" s="409">
        <f>scenarios!AU96</f>
        <v>-0.40000359293342208</v>
      </c>
      <c r="DF91" s="409">
        <f>scenarios!BM96</f>
        <v>1.5474347868893201E-7</v>
      </c>
      <c r="DG91" s="626">
        <f>CA91/scenarios!$B96*1000000</f>
        <v>-0.32409361030915335</v>
      </c>
      <c r="DH91" s="626">
        <f>CB91/scenarios!$B96*1000000</f>
        <v>-0.41148637193671572</v>
      </c>
      <c r="DI91" s="626">
        <f>CC91/scenarios!$B96*1000000</f>
        <v>-1.1471074539540531</v>
      </c>
      <c r="DJ91" s="626">
        <f>CD91/scenarios!$B96*1000000</f>
        <v>-1.9595578311290169</v>
      </c>
      <c r="DL91" s="79">
        <f t="shared" si="60"/>
        <v>2092</v>
      </c>
      <c r="DM91" s="299">
        <f t="shared" si="61"/>
        <v>-4.3499999999999996</v>
      </c>
      <c r="DN91" s="211">
        <f t="shared" si="62"/>
        <v>-4.3499999999999996</v>
      </c>
      <c r="DO91" s="211">
        <f t="shared" si="63"/>
        <v>-4.3499999999999996</v>
      </c>
      <c r="DP91" s="211">
        <f t="shared" si="64"/>
        <v>-4.3499999999999996</v>
      </c>
      <c r="DQ91" s="211">
        <f t="shared" si="65"/>
        <v>-4.3499999999999996</v>
      </c>
      <c r="DR91" s="293">
        <f t="shared" si="66"/>
        <v>1.1198041523564572E-5</v>
      </c>
      <c r="DS91" s="631">
        <f t="shared" si="67"/>
        <v>-3.3466973987999964</v>
      </c>
      <c r="DT91" s="632">
        <f t="shared" si="32"/>
        <v>-4.4073690600000006</v>
      </c>
      <c r="DU91" s="632">
        <f t="shared" si="33"/>
        <v>-11.149469100000033</v>
      </c>
      <c r="DV91" s="633">
        <f t="shared" si="34"/>
        <v>-19.901999999999987</v>
      </c>
    </row>
    <row r="92" spans="72:126" x14ac:dyDescent="0.25">
      <c r="CQ92" s="186"/>
      <c r="DL92" s="79">
        <f t="shared" si="60"/>
        <v>2093</v>
      </c>
      <c r="DM92" s="299">
        <f t="shared" si="61"/>
        <v>-4.3499999999999996</v>
      </c>
      <c r="DN92" s="211">
        <f t="shared" si="62"/>
        <v>-4.3499999999999996</v>
      </c>
      <c r="DO92" s="211">
        <f t="shared" si="63"/>
        <v>-4.3499999999999996</v>
      </c>
      <c r="DP92" s="211">
        <f t="shared" si="64"/>
        <v>-4.3499999999999996</v>
      </c>
      <c r="DQ92" s="211">
        <f t="shared" si="65"/>
        <v>-4.3499999999999996</v>
      </c>
      <c r="DR92" s="293">
        <f t="shared" si="66"/>
        <v>8.8408587273567027E-6</v>
      </c>
      <c r="DS92" s="631">
        <f t="shared" si="67"/>
        <v>-3.3689210181999982</v>
      </c>
      <c r="DT92" s="632">
        <f t="shared" si="32"/>
        <v>-4.4158071900000024</v>
      </c>
      <c r="DU92" s="632">
        <f t="shared" si="33"/>
        <v>-11.329670739999983</v>
      </c>
      <c r="DV92" s="633">
        <f t="shared" si="34"/>
        <v>-20.078000000000031</v>
      </c>
    </row>
    <row r="93" spans="72:126" x14ac:dyDescent="0.25">
      <c r="BT93" s="324"/>
      <c r="BU93" s="284" t="str">
        <f>CG93</f>
        <v>RM-1 const</v>
      </c>
      <c r="BV93" s="284" t="str">
        <f>CH93</f>
        <v>RM-2 exp</v>
      </c>
      <c r="BW93" s="284" t="str">
        <f>CI93</f>
        <v>RM-3 lin</v>
      </c>
      <c r="BX93" s="284" t="str">
        <f>CJ93</f>
        <v>RM-4 quadr</v>
      </c>
      <c r="BY93" s="284" t="str">
        <f>CK93</f>
        <v>RM-5 rad</v>
      </c>
      <c r="BZ93" s="284" t="str">
        <f t="shared" ref="BZ93" si="71">CL93</f>
        <v>SPM-R</v>
      </c>
      <c r="CA93" s="284" t="str">
        <f t="shared" ref="CA93" si="72">CM93</f>
        <v>SR15 P1</v>
      </c>
      <c r="CB93" s="284" t="str">
        <f t="shared" ref="CB93" si="73">CN93</f>
        <v>SR15 P2</v>
      </c>
      <c r="CC93" s="284" t="str">
        <f t="shared" ref="CC93" si="74">CO93</f>
        <v>SR15 P3</v>
      </c>
      <c r="CD93" s="284" t="str">
        <f t="shared" ref="CD93" si="75">CP93</f>
        <v>SR15 P4</v>
      </c>
      <c r="CF93" s="324"/>
      <c r="CG93" s="284" t="str">
        <f t="shared" ref="CG93:CL93" si="76">CG10</f>
        <v>RM-1 const</v>
      </c>
      <c r="CH93" s="284" t="str">
        <f t="shared" si="76"/>
        <v>RM-2 exp</v>
      </c>
      <c r="CI93" s="284" t="str">
        <f t="shared" si="76"/>
        <v>RM-3 lin</v>
      </c>
      <c r="CJ93" s="284" t="str">
        <f t="shared" si="76"/>
        <v>RM-4 quadr</v>
      </c>
      <c r="CK93" s="284" t="str">
        <f t="shared" si="76"/>
        <v>RM-5 rad</v>
      </c>
      <c r="CL93" s="284" t="str">
        <f t="shared" si="76"/>
        <v>SPM-R</v>
      </c>
      <c r="CM93" s="284" t="str">
        <f t="shared" ref="CM93:CP93" si="77">CM10</f>
        <v>SR15 P1</v>
      </c>
      <c r="CN93" s="284" t="str">
        <f t="shared" si="77"/>
        <v>SR15 P2</v>
      </c>
      <c r="CO93" s="284" t="str">
        <f t="shared" si="77"/>
        <v>SR15 P3</v>
      </c>
      <c r="CP93" s="284" t="str">
        <f t="shared" si="77"/>
        <v>SR15 P4</v>
      </c>
      <c r="CR93" s="192"/>
      <c r="CS93" s="356"/>
      <c r="CT93" s="356"/>
      <c r="CU93" s="356"/>
      <c r="CV93" s="356"/>
      <c r="CW93" s="356"/>
      <c r="CX93" s="356"/>
      <c r="DL93" s="79">
        <f t="shared" si="60"/>
        <v>2094</v>
      </c>
      <c r="DM93" s="299">
        <f t="shared" si="61"/>
        <v>-4.3499999999999996</v>
      </c>
      <c r="DN93" s="211">
        <f t="shared" si="62"/>
        <v>-4.3499999999999996</v>
      </c>
      <c r="DO93" s="211">
        <f t="shared" si="63"/>
        <v>-4.3499999999999996</v>
      </c>
      <c r="DP93" s="211">
        <f t="shared" si="64"/>
        <v>-4.3499999999999996</v>
      </c>
      <c r="DQ93" s="211">
        <f t="shared" si="65"/>
        <v>-4.3499999999999996</v>
      </c>
      <c r="DR93" s="293">
        <f t="shared" si="66"/>
        <v>6.9787019274989334E-6</v>
      </c>
      <c r="DS93" s="631">
        <f t="shared" si="67"/>
        <v>-3.3911446376000001</v>
      </c>
      <c r="DT93" s="632">
        <f t="shared" si="32"/>
        <v>-4.4242453200000007</v>
      </c>
      <c r="DU93" s="632">
        <f t="shared" si="33"/>
        <v>-11.50987237999999</v>
      </c>
      <c r="DV93" s="633">
        <f t="shared" si="34"/>
        <v>-20.254000000000019</v>
      </c>
    </row>
    <row r="94" spans="72:126" x14ac:dyDescent="0.25">
      <c r="BT94" s="195">
        <v>2030</v>
      </c>
      <c r="BU94" s="325">
        <f>SUM(BU11:BU21)</f>
        <v>295.97621995355172</v>
      </c>
      <c r="BV94" s="325">
        <f t="shared" ref="BV94:BZ94" si="78">SUM(BV11:BV21)</f>
        <v>397.47502271452493</v>
      </c>
      <c r="BW94" s="325">
        <f t="shared" si="78"/>
        <v>374.75441982620816</v>
      </c>
      <c r="BX94" s="325">
        <f t="shared" si="78"/>
        <v>400.47668954526711</v>
      </c>
      <c r="BY94" s="325">
        <f t="shared" si="78"/>
        <v>352.08655016741528</v>
      </c>
      <c r="BZ94" s="325">
        <f t="shared" si="78"/>
        <v>284.9884569956464</v>
      </c>
      <c r="CA94" s="325">
        <f t="shared" ref="CA94:CD94" si="79">SUM(CA11:CA21)</f>
        <v>306.77528579499483</v>
      </c>
      <c r="CB94" s="325">
        <f t="shared" si="79"/>
        <v>309.60260704999916</v>
      </c>
      <c r="CC94" s="325">
        <f t="shared" si="79"/>
        <v>445.73453112400006</v>
      </c>
      <c r="CD94" s="325">
        <f t="shared" si="79"/>
        <v>426.08499999999987</v>
      </c>
      <c r="CF94" s="195">
        <v>2030</v>
      </c>
      <c r="CG94" s="281">
        <f>'IPCC SR15 graphs'!BU$21/'IPCC SR15 graphs'!CG96-1</f>
        <v>-0.36806430159603609</v>
      </c>
      <c r="CH94" s="281">
        <f>'IPCC SR15 graphs'!BV$21/'IPCC SR15 graphs'!CH96-1</f>
        <v>4.3810121036561789E-2</v>
      </c>
      <c r="CI94" s="281">
        <f>'IPCC SR15 graphs'!BW$21/'IPCC SR15 graphs'!CI96-1</f>
        <v>-0.11087172559134273</v>
      </c>
      <c r="CJ94" s="281">
        <f>'IPCC SR15 graphs'!BX$21/'IPCC SR15 graphs'!CJ96-1</f>
        <v>4.2249198170037028E-2</v>
      </c>
      <c r="CK94" s="281">
        <f>'IPCC SR15 graphs'!BY$21/'IPCC SR15 graphs'!CK96-1</f>
        <v>-0.2182667105692786</v>
      </c>
      <c r="CL94" s="281">
        <f>'IPCC SR15 graphs'!BZ$21/'IPCC SR15 graphs'!CL96-1</f>
        <v>-0.59949121562917229</v>
      </c>
      <c r="CM94" s="281">
        <f>'IPCC SR15 graphs'!CA$21/'IPCC SR15 graphs'!CM96-1</f>
        <v>-0.41063803522240083</v>
      </c>
      <c r="CN94" s="281">
        <f>'IPCC SR15 graphs'!CB$21/'IPCC SR15 graphs'!CN96-1</f>
        <v>-0.30727206211452107</v>
      </c>
      <c r="CO94" s="281">
        <f>'IPCC SR15 graphs'!CC$21/'IPCC SR15 graphs'!CO96-1</f>
        <v>0.42495004485854881</v>
      </c>
      <c r="CP94" s="281">
        <f>'IPCC SR15 graphs'!CD$21/'IPCC SR15 graphs'!CP96-1</f>
        <v>0.37291582906837739</v>
      </c>
      <c r="CR94" s="186"/>
      <c r="CS94" s="357"/>
      <c r="CT94" s="357"/>
      <c r="CU94" s="357"/>
      <c r="CV94" s="357"/>
      <c r="CW94" s="357"/>
      <c r="CX94" s="357"/>
      <c r="DL94" s="79">
        <f t="shared" si="60"/>
        <v>2095</v>
      </c>
      <c r="DM94" s="299">
        <f t="shared" si="61"/>
        <v>-4.3499999999999996</v>
      </c>
      <c r="DN94" s="211">
        <f t="shared" si="62"/>
        <v>-4.3499999999999996</v>
      </c>
      <c r="DO94" s="211">
        <f t="shared" si="63"/>
        <v>-4.3499999999999996</v>
      </c>
      <c r="DP94" s="211">
        <f t="shared" si="64"/>
        <v>-4.3499999999999996</v>
      </c>
      <c r="DQ94" s="211">
        <f t="shared" si="65"/>
        <v>-4.3499999999999996</v>
      </c>
      <c r="DR94" s="293">
        <f t="shared" si="66"/>
        <v>5.5078803155863027E-6</v>
      </c>
      <c r="DS94" s="631">
        <f t="shared" si="67"/>
        <v>-3.4133682570000019</v>
      </c>
      <c r="DT94" s="632">
        <f t="shared" si="32"/>
        <v>-4.432683449999999</v>
      </c>
      <c r="DU94" s="632">
        <f t="shared" si="33"/>
        <v>-11.690074019999997</v>
      </c>
      <c r="DV94" s="633">
        <f t="shared" si="34"/>
        <v>-20.430000000000007</v>
      </c>
    </row>
    <row r="95" spans="72:126" x14ac:dyDescent="0.25">
      <c r="BT95" s="191">
        <v>2050</v>
      </c>
      <c r="BU95" s="326">
        <f>SUM(BU11:BU41)</f>
        <v>461.41303190382342</v>
      </c>
      <c r="BV95" s="326">
        <f t="shared" ref="BV95:BZ95" si="80">SUM(BV11:BV41)</f>
        <v>553.98930810728814</v>
      </c>
      <c r="BW95" s="326">
        <f t="shared" si="80"/>
        <v>541.71297840095508</v>
      </c>
      <c r="BX95" s="326">
        <f t="shared" si="80"/>
        <v>553.92674671038446</v>
      </c>
      <c r="BY95" s="326">
        <f t="shared" si="80"/>
        <v>516.6081400254451</v>
      </c>
      <c r="BZ95" s="326">
        <f t="shared" si="80"/>
        <v>335.28695334240194</v>
      </c>
      <c r="CA95" s="326">
        <f t="shared" ref="CA95:CD95" si="81">SUM(CA11:CA41)</f>
        <v>473.51691334399732</v>
      </c>
      <c r="CB95" s="326">
        <f t="shared" si="81"/>
        <v>487.52492425000179</v>
      </c>
      <c r="CC95" s="326">
        <f t="shared" si="81"/>
        <v>901.18758219679694</v>
      </c>
      <c r="CD95" s="326">
        <f t="shared" si="81"/>
        <v>824.34700000000066</v>
      </c>
      <c r="CF95" s="191">
        <v>2050</v>
      </c>
      <c r="CG95" s="282">
        <f>'IPCC SR15 graphs'!BU$41/'IPCC SR15 graphs'!CG96-1</f>
        <v>-0.87547790673960801</v>
      </c>
      <c r="CH95" s="282">
        <f>'IPCC SR15 graphs'!BV$41/'IPCC SR15 graphs'!CH96-1</f>
        <v>-1.1581197738005677</v>
      </c>
      <c r="CI95" s="282">
        <f>'IPCC SR15 graphs'!BW$41/'IPCC SR15 graphs'!CI96-1</f>
        <v>-1.0085576126134799</v>
      </c>
      <c r="CJ95" s="282">
        <f>'IPCC SR15 graphs'!BX$41/'IPCC SR15 graphs'!CJ96-1</f>
        <v>-1.1550607667856796</v>
      </c>
      <c r="CK95" s="282">
        <f>'IPCC SR15 graphs'!BY$41/'IPCC SR15 graphs'!CK96-1</f>
        <v>-0.94419728627087807</v>
      </c>
      <c r="CL95" s="282">
        <f>'IPCC SR15 graphs'!BZ$41/'IPCC SR15 graphs'!CL96-1</f>
        <v>-0.99351120789095893</v>
      </c>
      <c r="CM95" s="282">
        <f>'IPCC SR15 graphs'!CA$41/'IPCC SR15 graphs'!CM96-1</f>
        <v>-0.90056128304559568</v>
      </c>
      <c r="CN95" s="282">
        <f>'IPCC SR15 graphs'!CB$41/'IPCC SR15 graphs'!CN96-1</f>
        <v>-0.93476677131436892</v>
      </c>
      <c r="CO95" s="282">
        <f>'IPCC SR15 graphs'!CC$41/'IPCC SR15 graphs'!CO96-1</f>
        <v>-0.60925846205783696</v>
      </c>
      <c r="CP95" s="282">
        <f>'IPCC SR15 graphs'!CD$41/'IPCC SR15 graphs'!CP96-1</f>
        <v>-0.95441788589749155</v>
      </c>
      <c r="CR95" s="186"/>
      <c r="CS95" s="358"/>
      <c r="CT95" s="358"/>
      <c r="CU95" s="358"/>
      <c r="CV95" s="358"/>
      <c r="CW95" s="358"/>
      <c r="CX95" s="358"/>
      <c r="DL95" s="79">
        <f t="shared" si="60"/>
        <v>2096</v>
      </c>
      <c r="DM95" s="299">
        <f t="shared" si="61"/>
        <v>-4.3499999999999996</v>
      </c>
      <c r="DN95" s="211">
        <f t="shared" si="62"/>
        <v>-4.3499999999999996</v>
      </c>
      <c r="DO95" s="211">
        <f t="shared" si="63"/>
        <v>-4.3499999999999996</v>
      </c>
      <c r="DP95" s="211">
        <f t="shared" si="64"/>
        <v>-4.3499999999999996</v>
      </c>
      <c r="DQ95" s="211">
        <f t="shared" si="65"/>
        <v>-4.3499999999999996</v>
      </c>
      <c r="DR95" s="293">
        <f t="shared" si="66"/>
        <v>4.3463604906361032E-6</v>
      </c>
      <c r="DS95" s="631">
        <f t="shared" si="67"/>
        <v>-3.4355918763999966</v>
      </c>
      <c r="DT95" s="632">
        <f t="shared" si="32"/>
        <v>-4.4411215800000008</v>
      </c>
      <c r="DU95" s="632">
        <f t="shared" si="33"/>
        <v>-11.870275660000004</v>
      </c>
      <c r="DV95" s="633">
        <f t="shared" si="34"/>
        <v>-20.605999999999995</v>
      </c>
    </row>
    <row r="96" spans="72:126" x14ac:dyDescent="0.25">
      <c r="CF96" s="141">
        <v>1990</v>
      </c>
      <c r="CG96" s="283">
        <f>GCP!L51</f>
        <v>27.510790683817579</v>
      </c>
      <c r="CH96" s="279">
        <f>CG96</f>
        <v>27.510790683817579</v>
      </c>
      <c r="CI96" s="279">
        <f>CH96</f>
        <v>27.510790683817579</v>
      </c>
      <c r="CJ96" s="279">
        <f>CI96</f>
        <v>27.510790683817579</v>
      </c>
      <c r="CK96" s="279">
        <f>CJ96</f>
        <v>27.510790683817579</v>
      </c>
      <c r="CL96" s="279">
        <f>CJ96</f>
        <v>27.510790683817579</v>
      </c>
      <c r="CM96" s="279">
        <f t="shared" ref="CM96:CP96" si="82">CK96</f>
        <v>27.510790683817579</v>
      </c>
      <c r="CN96" s="279">
        <f t="shared" si="82"/>
        <v>27.510790683817579</v>
      </c>
      <c r="CO96" s="279">
        <f t="shared" si="82"/>
        <v>27.510790683817579</v>
      </c>
      <c r="CP96" s="279">
        <f t="shared" si="82"/>
        <v>27.510790683817579</v>
      </c>
      <c r="CR96" s="186"/>
      <c r="CS96" s="359"/>
      <c r="CT96" s="359"/>
      <c r="CU96" s="359"/>
      <c r="CV96" s="359"/>
      <c r="CW96" s="359"/>
      <c r="CX96" s="359"/>
      <c r="DL96" s="79">
        <f t="shared" si="60"/>
        <v>2097</v>
      </c>
      <c r="DM96" s="299">
        <f t="shared" si="61"/>
        <v>-4.3499999999999996</v>
      </c>
      <c r="DN96" s="211">
        <f t="shared" si="62"/>
        <v>-4.3499999999999996</v>
      </c>
      <c r="DO96" s="211">
        <f t="shared" si="63"/>
        <v>-4.3499999999999996</v>
      </c>
      <c r="DP96" s="211">
        <f t="shared" si="64"/>
        <v>-4.3499999999999996</v>
      </c>
      <c r="DQ96" s="211">
        <f t="shared" si="65"/>
        <v>-4.3499999999999996</v>
      </c>
      <c r="DR96" s="293">
        <f t="shared" si="66"/>
        <v>3.4292574462414513E-6</v>
      </c>
      <c r="DS96" s="631">
        <f t="shared" si="67"/>
        <v>-3.4578154957999985</v>
      </c>
      <c r="DT96" s="632">
        <f t="shared" si="32"/>
        <v>-4.4495597100000026</v>
      </c>
      <c r="DU96" s="632">
        <f t="shared" si="33"/>
        <v>-12.050477300000011</v>
      </c>
      <c r="DV96" s="633">
        <f t="shared" si="34"/>
        <v>-20.781999999999982</v>
      </c>
    </row>
    <row r="97" spans="84:126" x14ac:dyDescent="0.25">
      <c r="CM97" s="327"/>
      <c r="CN97" s="327"/>
      <c r="CO97" s="327"/>
      <c r="CP97" s="327"/>
      <c r="CR97" s="186"/>
      <c r="CS97" s="186"/>
      <c r="CT97" s="186"/>
      <c r="CU97" s="186"/>
      <c r="CV97" s="186"/>
      <c r="CW97" s="186"/>
      <c r="CX97" s="186"/>
      <c r="DL97" s="79">
        <f t="shared" si="60"/>
        <v>2098</v>
      </c>
      <c r="DM97" s="299">
        <f t="shared" si="61"/>
        <v>-4.3499999999999996</v>
      </c>
      <c r="DN97" s="211">
        <f t="shared" si="62"/>
        <v>-4.3499999999999996</v>
      </c>
      <c r="DO97" s="211">
        <f t="shared" si="63"/>
        <v>-4.3499999999999996</v>
      </c>
      <c r="DP97" s="211">
        <f t="shared" si="64"/>
        <v>-4.3499999999999996</v>
      </c>
      <c r="DQ97" s="211">
        <f t="shared" si="65"/>
        <v>-4.3499999999999996</v>
      </c>
      <c r="DR97" s="293">
        <f t="shared" si="66"/>
        <v>2.7052609487227185E-6</v>
      </c>
      <c r="DS97" s="631">
        <f t="shared" si="67"/>
        <v>-3.4800391152000003</v>
      </c>
      <c r="DT97" s="632">
        <f t="shared" si="32"/>
        <v>-4.4579978400000009</v>
      </c>
      <c r="DU97" s="632">
        <f t="shared" si="33"/>
        <v>-12.230678940000018</v>
      </c>
      <c r="DV97" s="633">
        <f t="shared" si="34"/>
        <v>-20.958000000000027</v>
      </c>
    </row>
    <row r="98" spans="84:126" x14ac:dyDescent="0.25">
      <c r="CF98" s="324"/>
      <c r="CG98" s="190" t="str">
        <f t="shared" ref="CG98:CL98" si="83">CG93</f>
        <v>RM-1 const</v>
      </c>
      <c r="CH98" s="190" t="str">
        <f t="shared" si="83"/>
        <v>RM-2 exp</v>
      </c>
      <c r="CI98" s="190" t="str">
        <f t="shared" si="83"/>
        <v>RM-3 lin</v>
      </c>
      <c r="CJ98" s="190" t="str">
        <f t="shared" si="83"/>
        <v>RM-4 quadr</v>
      </c>
      <c r="CK98" s="190" t="str">
        <f t="shared" si="83"/>
        <v>RM-5 rad</v>
      </c>
      <c r="CL98" s="190" t="str">
        <f t="shared" si="83"/>
        <v>SPM-R</v>
      </c>
      <c r="CM98" s="190" t="str">
        <f t="shared" ref="CM98:CP98" si="84">CM93</f>
        <v>SR15 P1</v>
      </c>
      <c r="CN98" s="190" t="str">
        <f t="shared" si="84"/>
        <v>SR15 P2</v>
      </c>
      <c r="CO98" s="190" t="str">
        <f t="shared" si="84"/>
        <v>SR15 P3</v>
      </c>
      <c r="CP98" s="190" t="str">
        <f t="shared" si="84"/>
        <v>SR15 P4</v>
      </c>
      <c r="CR98" s="186"/>
      <c r="CS98" s="186"/>
      <c r="CT98" s="186"/>
      <c r="CU98" s="186"/>
      <c r="CV98" s="186"/>
      <c r="CW98" s="186"/>
      <c r="CX98" s="186"/>
      <c r="DL98" s="79">
        <f t="shared" si="60"/>
        <v>2099</v>
      </c>
      <c r="DM98" s="299">
        <f t="shared" si="61"/>
        <v>-4.3499999999999996</v>
      </c>
      <c r="DN98" s="211">
        <f t="shared" si="62"/>
        <v>-4.3499999999999996</v>
      </c>
      <c r="DO98" s="211">
        <f t="shared" si="63"/>
        <v>-4.3499999999999996</v>
      </c>
      <c r="DP98" s="211">
        <f t="shared" si="64"/>
        <v>-4.3499999999999996</v>
      </c>
      <c r="DQ98" s="211">
        <f t="shared" si="65"/>
        <v>-4.3499999999999996</v>
      </c>
      <c r="DR98" s="293">
        <f t="shared" si="66"/>
        <v>2.1338040491711256E-6</v>
      </c>
      <c r="DS98" s="631">
        <f t="shared" si="67"/>
        <v>-3.5022627346000021</v>
      </c>
      <c r="DT98" s="632">
        <f t="shared" si="32"/>
        <v>-4.4664359699999991</v>
      </c>
      <c r="DU98" s="632">
        <f t="shared" si="33"/>
        <v>-12.410880579999999</v>
      </c>
      <c r="DV98" s="633">
        <f t="shared" si="34"/>
        <v>-21.134000000000015</v>
      </c>
    </row>
    <row r="99" spans="84:126" x14ac:dyDescent="0.25">
      <c r="CF99" s="195">
        <v>2030</v>
      </c>
      <c r="CG99" s="281">
        <f>'IPCC SR15 graphs'!BU$21/'IPCC SR15 graphs'!CG101-1</f>
        <v>-0.54518600961554986</v>
      </c>
      <c r="CH99" s="281">
        <f>'IPCC SR15 graphs'!BV$21/'IPCC SR15 graphs'!CH101-1</f>
        <v>-0.24875355585808656</v>
      </c>
      <c r="CI99" s="281">
        <f>'IPCC SR15 graphs'!BW$21/'IPCC SR15 graphs'!CI101-1</f>
        <v>-0.36008049637205741</v>
      </c>
      <c r="CJ99" s="281">
        <f>'IPCC SR15 graphs'!BX$21/'IPCC SR15 graphs'!CJ101-1</f>
        <v>-0.24987697642033591</v>
      </c>
      <c r="CK99" s="281">
        <f>'IPCC SR15 graphs'!BY$21/'IPCC SR15 graphs'!CK101-1</f>
        <v>-0.43737434412975951</v>
      </c>
      <c r="CL99" s="281">
        <f>'IPCC SR15 graphs'!BZ$21/'IPCC SR15 graphs'!CL101-1</f>
        <v>-0.71174757358417517</v>
      </c>
      <c r="CM99" s="281">
        <f>'IPCC SR15 graphs'!CA$21/'IPCC SR15 graphs'!CM101-1</f>
        <v>-0.57582699053350672</v>
      </c>
      <c r="CN99" s="281">
        <f>'IPCC SR15 graphs'!CB$21/'IPCC SR15 graphs'!CN101-1</f>
        <v>-0.5014328855353205</v>
      </c>
      <c r="CO99" s="281">
        <f>'IPCC SR15 graphs'!CC$21/'IPCC SR15 graphs'!CO101-1</f>
        <v>2.5558799158595935E-2</v>
      </c>
      <c r="CP99" s="281">
        <f>'IPCC SR15 graphs'!CD$21/'IPCC SR15 graphs'!CP101-1</f>
        <v>-1.1891038506572804E-2</v>
      </c>
      <c r="CR99" s="186"/>
      <c r="CS99" s="186"/>
      <c r="CT99" s="360"/>
      <c r="CU99" s="360"/>
      <c r="CV99" s="360"/>
      <c r="CW99" s="360"/>
      <c r="CX99" s="360"/>
      <c r="DL99" s="80">
        <f t="shared" si="60"/>
        <v>2100</v>
      </c>
      <c r="DM99" s="298">
        <f t="shared" si="61"/>
        <v>-4.3499999999999996</v>
      </c>
      <c r="DN99" s="295">
        <f t="shared" si="62"/>
        <v>-4.3499999999999996</v>
      </c>
      <c r="DO99" s="295">
        <f t="shared" si="63"/>
        <v>-4.3499999999999996</v>
      </c>
      <c r="DP99" s="295">
        <f t="shared" si="64"/>
        <v>-4.3499999999999996</v>
      </c>
      <c r="DQ99" s="295">
        <f t="shared" si="65"/>
        <v>-4.3499999999999996</v>
      </c>
      <c r="DR99" s="294">
        <f t="shared" si="66"/>
        <v>1.6828202150896504E-6</v>
      </c>
      <c r="DS99" s="634">
        <f t="shared" si="67"/>
        <v>-3.524486354</v>
      </c>
      <c r="DT99" s="635">
        <f t="shared" ref="DT99" si="85">CB91</f>
        <v>-4.4748741000000001</v>
      </c>
      <c r="DU99" s="635">
        <f t="shared" ref="DU99" si="86">CC91</f>
        <v>-12.474681510000011</v>
      </c>
      <c r="DV99" s="636">
        <f t="shared" ref="DV99" si="87">CD91</f>
        <v>-21.31</v>
      </c>
    </row>
    <row r="100" spans="84:126" x14ac:dyDescent="0.25">
      <c r="CF100" s="191">
        <v>2050</v>
      </c>
      <c r="CG100" s="282">
        <f>'IPCC SR15 graphs'!BU$41/'IPCC SR15 graphs'!CG101-1</f>
        <v>-0.91037950495624631</v>
      </c>
      <c r="CH100" s="282">
        <f>'IPCC SR15 graphs'!BV$41/'IPCC SR15 graphs'!CH101-1</f>
        <v>-1.113801270386455</v>
      </c>
      <c r="CI100" s="282">
        <f>'IPCC SR15 graphs'!BW$41/'IPCC SR15 graphs'!CI101-1</f>
        <v>-1.0061590474327231</v>
      </c>
      <c r="CJ100" s="282">
        <f>'IPCC SR15 graphs'!BX$41/'IPCC SR15 graphs'!CJ101-1</f>
        <v>-1.1115996552687</v>
      </c>
      <c r="CK100" s="282">
        <f>'IPCC SR15 graphs'!BY$41/'IPCC SR15 graphs'!CK101-1</f>
        <v>-0.959837915519691</v>
      </c>
      <c r="CL100" s="282">
        <f>'IPCC SR15 graphs'!BZ$41/'IPCC SR15 graphs'!CL101-1</f>
        <v>-0.99532991499081036</v>
      </c>
      <c r="CM100" s="282">
        <f>'IPCC SR15 graphs'!CA$41/'IPCC SR15 graphs'!CM101-1</f>
        <v>-0.92843240258309989</v>
      </c>
      <c r="CN100" s="282">
        <f>'IPCC SR15 graphs'!CB$41/'IPCC SR15 graphs'!CN101-1</f>
        <v>-0.9530506266395361</v>
      </c>
      <c r="CO100" s="282">
        <f>'IPCC SR15 graphs'!CC$41/'IPCC SR15 graphs'!CO101-1</f>
        <v>-0.71877721336320466</v>
      </c>
      <c r="CP100" s="282">
        <f>'IPCC SR15 graphs'!CD$41/'IPCC SR15 graphs'!CP101-1</f>
        <v>-0.96719384067480119</v>
      </c>
      <c r="CR100" s="186"/>
      <c r="CS100" s="186"/>
      <c r="CT100" s="186"/>
      <c r="CU100" s="186"/>
      <c r="CV100" s="186"/>
      <c r="CW100" s="186"/>
      <c r="CX100" s="186"/>
      <c r="DM100" s="329"/>
      <c r="DN100" s="329"/>
      <c r="DO100" s="329"/>
      <c r="DP100" s="329"/>
      <c r="DQ100" s="329"/>
    </row>
    <row r="101" spans="84:126" x14ac:dyDescent="0.25">
      <c r="CF101" s="141">
        <v>2010</v>
      </c>
      <c r="CG101" s="283">
        <f>'base data'!$D$18</f>
        <v>38.224529350401248</v>
      </c>
      <c r="CH101" s="283">
        <f>'base data'!$D$18</f>
        <v>38.224529350401248</v>
      </c>
      <c r="CI101" s="283">
        <f>'base data'!$D$18</f>
        <v>38.224529350401248</v>
      </c>
      <c r="CJ101" s="283">
        <f>'base data'!$D$18</f>
        <v>38.224529350401248</v>
      </c>
      <c r="CK101" s="283">
        <f>'base data'!$D$18</f>
        <v>38.224529350401248</v>
      </c>
      <c r="CL101" s="283">
        <f>'base data'!$D$18</f>
        <v>38.224529350401248</v>
      </c>
      <c r="CM101" s="283">
        <f>'base data'!$D$18</f>
        <v>38.224529350401248</v>
      </c>
      <c r="CN101" s="283">
        <f>'base data'!$D$18</f>
        <v>38.224529350401248</v>
      </c>
      <c r="CO101" s="283">
        <f>'base data'!$D$18</f>
        <v>38.224529350401248</v>
      </c>
      <c r="CP101" s="283">
        <f>'base data'!$D$18</f>
        <v>38.224529350401248</v>
      </c>
      <c r="CR101" s="192"/>
      <c r="CS101" s="134"/>
      <c r="CT101" s="134"/>
      <c r="CU101" s="134"/>
      <c r="CV101" s="134"/>
      <c r="CW101" s="134"/>
      <c r="CX101" s="134"/>
      <c r="DM101" s="329"/>
      <c r="DN101" s="329"/>
      <c r="DO101" s="329"/>
      <c r="DP101" s="329"/>
      <c r="DQ101" s="329"/>
    </row>
    <row r="102" spans="84:126" x14ac:dyDescent="0.25">
      <c r="CR102" s="186"/>
      <c r="CS102" s="357"/>
      <c r="CT102" s="357"/>
      <c r="CU102" s="357"/>
      <c r="CV102" s="357"/>
      <c r="CW102" s="357"/>
      <c r="CX102" s="357"/>
      <c r="DM102" s="329"/>
      <c r="DN102" s="329"/>
      <c r="DO102" s="329"/>
      <c r="DP102" s="329"/>
      <c r="DQ102" s="329"/>
    </row>
    <row r="103" spans="84:126" x14ac:dyDescent="0.25">
      <c r="CR103" s="186"/>
      <c r="CS103" s="358"/>
      <c r="CT103" s="358"/>
      <c r="CU103" s="358"/>
      <c r="CV103" s="358"/>
      <c r="CW103" s="358"/>
      <c r="CX103" s="358"/>
      <c r="DM103" s="329"/>
      <c r="DN103" s="329"/>
      <c r="DO103" s="329"/>
      <c r="DP103" s="329"/>
      <c r="DQ103" s="329"/>
    </row>
    <row r="104" spans="84:126" x14ac:dyDescent="0.25">
      <c r="CR104" s="186"/>
      <c r="CS104" s="359"/>
      <c r="CT104" s="359"/>
      <c r="CU104" s="359"/>
      <c r="CV104" s="359"/>
      <c r="CW104" s="359"/>
      <c r="CX104" s="359"/>
      <c r="DM104" s="329"/>
      <c r="DN104" s="329"/>
      <c r="DO104" s="329"/>
      <c r="DP104" s="329"/>
      <c r="DQ104" s="329"/>
    </row>
    <row r="105" spans="84:126" x14ac:dyDescent="0.25">
      <c r="DM105" s="329"/>
      <c r="DN105" s="329"/>
      <c r="DO105" s="329"/>
      <c r="DP105" s="329"/>
      <c r="DQ105" s="329"/>
    </row>
    <row r="106" spans="84:126" x14ac:dyDescent="0.25">
      <c r="DM106" s="329"/>
      <c r="DN106" s="329"/>
      <c r="DO106" s="329"/>
      <c r="DP106" s="329"/>
      <c r="DQ106" s="329"/>
    </row>
    <row r="107" spans="84:126" x14ac:dyDescent="0.25">
      <c r="DM107" s="329"/>
      <c r="DN107" s="329"/>
      <c r="DO107" s="329"/>
      <c r="DP107" s="329"/>
      <c r="DQ107" s="329"/>
    </row>
    <row r="108" spans="84:126" x14ac:dyDescent="0.25">
      <c r="DM108" s="329"/>
      <c r="DN108" s="329"/>
      <c r="DO108" s="329"/>
      <c r="DP108" s="329"/>
      <c r="DQ108" s="329"/>
    </row>
    <row r="120" spans="84:102" x14ac:dyDescent="0.25">
      <c r="CF120" s="192"/>
      <c r="CG120" s="134"/>
      <c r="CH120" s="134"/>
      <c r="CI120" s="134"/>
      <c r="CJ120" s="134"/>
      <c r="CK120" s="134"/>
      <c r="CL120" s="134"/>
      <c r="CM120" s="134"/>
      <c r="CN120" s="134"/>
      <c r="CO120" s="134"/>
      <c r="CP120" s="134"/>
    </row>
    <row r="121" spans="84:102" x14ac:dyDescent="0.25">
      <c r="CF121" s="186"/>
      <c r="CG121" s="193"/>
      <c r="CH121" s="193"/>
      <c r="CI121" s="193"/>
      <c r="CJ121" s="193"/>
      <c r="CK121" s="193"/>
      <c r="CL121" s="193"/>
      <c r="CM121" s="193"/>
      <c r="CN121" s="193"/>
      <c r="CO121" s="193"/>
      <c r="CP121" s="193"/>
    </row>
    <row r="122" spans="84:102" x14ac:dyDescent="0.25">
      <c r="CF122" s="186"/>
      <c r="CG122" s="194"/>
      <c r="CH122" s="194"/>
      <c r="CI122" s="194"/>
      <c r="CJ122" s="194"/>
      <c r="CK122" s="194"/>
      <c r="CL122" s="194"/>
      <c r="CM122" s="194"/>
      <c r="CN122" s="194"/>
      <c r="CO122" s="194"/>
      <c r="CP122" s="194"/>
    </row>
    <row r="123" spans="84:102" x14ac:dyDescent="0.25">
      <c r="CR123" s="192"/>
      <c r="CS123" s="134"/>
      <c r="CT123" s="134"/>
      <c r="CU123" s="134"/>
      <c r="CV123" s="134"/>
      <c r="CW123" s="134"/>
      <c r="CX123" s="134"/>
    </row>
    <row r="124" spans="84:102" x14ac:dyDescent="0.25">
      <c r="CR124" s="186"/>
      <c r="CS124" s="193"/>
      <c r="CT124" s="193"/>
      <c r="CU124" s="193"/>
      <c r="CV124" s="193"/>
      <c r="CW124" s="193"/>
      <c r="CX124" s="193"/>
    </row>
    <row r="125" spans="84:102" x14ac:dyDescent="0.25">
      <c r="CR125" s="186"/>
      <c r="CS125" s="194"/>
      <c r="CT125" s="194"/>
      <c r="CU125" s="194"/>
      <c r="CV125" s="194"/>
      <c r="CW125" s="194"/>
      <c r="CX125" s="194"/>
    </row>
  </sheetData>
  <mergeCells count="17">
    <mergeCell ref="F5:I5"/>
    <mergeCell ref="F6:I6"/>
    <mergeCell ref="J3:O3"/>
    <mergeCell ref="Q3:U3"/>
    <mergeCell ref="I37:Q37"/>
    <mergeCell ref="CG8:CL8"/>
    <mergeCell ref="B43:C43"/>
    <mergeCell ref="B42:C42"/>
    <mergeCell ref="DG8:DJ8"/>
    <mergeCell ref="CS8:CX8"/>
    <mergeCell ref="B39:C39"/>
    <mergeCell ref="B40:C40"/>
    <mergeCell ref="B41:C41"/>
    <mergeCell ref="B38:C38"/>
    <mergeCell ref="CM9:CP9"/>
    <mergeCell ref="CM8:CP8"/>
    <mergeCell ref="CA8:CD8"/>
  </mergeCells>
  <conditionalFormatting sqref="C46:E46 P46:S46 F45:O45">
    <cfRule type="cellIs" dxfId="6" priority="5" stopIfTrue="1" operator="equal">
      <formula>"nein"</formula>
    </cfRule>
    <cfRule type="cellIs" dxfId="5" priority="6" stopIfTrue="1" operator="equal">
      <formula>"ja"</formula>
    </cfRule>
  </conditionalFormatting>
  <conditionalFormatting sqref="CG11:CP91">
    <cfRule type="cellIs" dxfId="4" priority="4" operator="equal">
      <formula>"#NV"</formula>
    </cfRule>
  </conditionalFormatting>
  <conditionalFormatting sqref="J5:O5">
    <cfRule type="cellIs" dxfId="3" priority="2" stopIfTrue="1" operator="equal">
      <formula>"no"</formula>
    </cfRule>
    <cfRule type="cellIs" dxfId="2" priority="3" stopIfTrue="1" operator="equal">
      <formula>"yes"</formula>
    </cfRule>
  </conditionalFormatting>
  <conditionalFormatting sqref="CS11:CX91">
    <cfRule type="cellIs" dxfId="1" priority="1" operator="equal">
      <formula>"#NV"</formula>
    </cfRule>
  </conditionalFormatting>
  <printOptions horizontalCentered="1" verticalCentered="1"/>
  <pageMargins left="0.74803149606299213" right="0.74803149606299213" top="0.98425196850393704" bottom="0.98425196850393704" header="0.51181102362204722" footer="0.51181102362204722"/>
  <pageSetup paperSize="9" firstPageNumber="0" orientation="landscape" r:id="rId1"/>
  <headerFooter alignWithMargins="0">
    <oddHeader>&amp;LRegensburger Modell&amp;RAnlage  1.2.2</oddHeader>
    <oddFooter>&amp;LSargl/Wolfsteiner/Wittmann&amp;R&amp;A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8" tint="0.39997558519241921"/>
  </sheetPr>
  <dimension ref="A1:I99"/>
  <sheetViews>
    <sheetView workbookViewId="0">
      <selection activeCell="A2" sqref="A2"/>
    </sheetView>
  </sheetViews>
  <sheetFormatPr baseColWidth="10" defaultRowHeight="15.75" x14ac:dyDescent="0.25"/>
  <cols>
    <col min="1" max="1" width="24.5703125" style="581" bestFit="1" customWidth="1"/>
    <col min="2" max="2" width="8" style="581" bestFit="1" customWidth="1"/>
    <col min="3" max="3" width="12.5703125" style="581" customWidth="1"/>
    <col min="4" max="4" width="11.42578125" style="581" customWidth="1"/>
    <col min="5" max="5" width="11.42578125" style="581"/>
    <col min="6" max="6" width="11.42578125" style="581" customWidth="1"/>
    <col min="7" max="7" width="11.42578125" style="581"/>
    <col min="8" max="8" width="11.42578125" style="581" customWidth="1"/>
    <col min="9" max="16384" width="11.42578125" style="581"/>
  </cols>
  <sheetData>
    <row r="1" spans="1:9" ht="10.5" customHeight="1" x14ac:dyDescent="0.25"/>
    <row r="2" spans="1:9" ht="18.75" x14ac:dyDescent="0.3">
      <c r="A2" s="647" t="s">
        <v>338</v>
      </c>
    </row>
    <row r="4" spans="1:9" x14ac:dyDescent="0.25">
      <c r="C4" s="584" t="s">
        <v>269</v>
      </c>
      <c r="E4" s="988" t="s">
        <v>270</v>
      </c>
      <c r="F4" s="988"/>
      <c r="G4" s="988"/>
    </row>
    <row r="6" spans="1:9" x14ac:dyDescent="0.25">
      <c r="A6" s="585"/>
      <c r="B6" s="586" t="s">
        <v>271</v>
      </c>
      <c r="C6" s="586" t="s">
        <v>319</v>
      </c>
      <c r="D6" s="655" t="s">
        <v>272</v>
      </c>
      <c r="E6" s="587" t="s">
        <v>320</v>
      </c>
      <c r="F6" s="655" t="s">
        <v>273</v>
      </c>
      <c r="G6" s="587" t="s">
        <v>321</v>
      </c>
      <c r="H6" s="586" t="s">
        <v>274</v>
      </c>
      <c r="I6" s="587" t="s">
        <v>322</v>
      </c>
    </row>
    <row r="7" spans="1:9" x14ac:dyDescent="0.25">
      <c r="A7" s="588">
        <v>2010</v>
      </c>
      <c r="B7" s="589">
        <f>HLOOKUP(A7,'IPCC SR15 data'!G1:Y39,39,1)/1000</f>
        <v>38.542037320000006</v>
      </c>
      <c r="C7" s="589">
        <f>B7</f>
        <v>38.542037320000006</v>
      </c>
      <c r="D7" s="656">
        <f>HLOOKUP(A7,'IPCC SR15 data'!$G$1:$Y$75,3,1)/1000</f>
        <v>35.782648500000001</v>
      </c>
      <c r="E7" s="590">
        <f>D7</f>
        <v>35.782648500000001</v>
      </c>
      <c r="F7" s="656">
        <f>'IPCC SR15 data'!G37/1000</f>
        <v>40.313502030000002</v>
      </c>
      <c r="G7" s="590">
        <f>F7</f>
        <v>40.313502030000002</v>
      </c>
      <c r="H7" s="589">
        <f>'IPCC SR15 data'!G57/1000</f>
        <v>36.369999999999997</v>
      </c>
      <c r="I7" s="590">
        <f>G7</f>
        <v>40.313502030000002</v>
      </c>
    </row>
    <row r="8" spans="1:9" x14ac:dyDescent="0.25">
      <c r="A8" s="591">
        <f>A7+1</f>
        <v>2011</v>
      </c>
      <c r="B8" s="592"/>
      <c r="C8" s="593">
        <f>FORECAST(A8,$B$7:$B$17,$A$7:$A$17)</f>
        <v>38.64418469200001</v>
      </c>
      <c r="D8" s="657"/>
      <c r="E8" s="595">
        <f>FORECAST($A8,D$7:D$17,$A$7:$A$17)</f>
        <v>35.927772629999993</v>
      </c>
      <c r="F8" s="657"/>
      <c r="G8" s="595">
        <f>FORECAST($A8,F$7:F$17,$A7:$A17)</f>
        <v>40.375284001000011</v>
      </c>
      <c r="H8" s="594"/>
      <c r="I8" s="595">
        <f>FORECAST($A8,H$7:H$17,$A$7:$A$17)</f>
        <v>36.702999999999975</v>
      </c>
    </row>
    <row r="9" spans="1:9" x14ac:dyDescent="0.25">
      <c r="A9" s="591">
        <f t="shared" ref="A9:A72" si="0">A8+1</f>
        <v>2012</v>
      </c>
      <c r="B9" s="592"/>
      <c r="C9" s="593">
        <f t="shared" ref="C9:C16" si="1">FORECAST(A9,$B$7:$B$17,$A$7:$A$17)</f>
        <v>38.746332064000001</v>
      </c>
      <c r="D9" s="657"/>
      <c r="E9" s="595">
        <f t="shared" ref="E9:E16" si="2">FORECAST(A9,$D$7:$D$17,$A$7:$A$17)</f>
        <v>36.072896759999992</v>
      </c>
      <c r="F9" s="657"/>
      <c r="G9" s="595">
        <f t="shared" ref="G9:G16" si="3">FORECAST($A9,F$7:F$17,$A$7:$A$17)</f>
        <v>40.437065971999999</v>
      </c>
      <c r="H9" s="594"/>
      <c r="I9" s="595">
        <f t="shared" ref="I9:I16" si="4">FORECAST($A9,H$7:H$17,$A$7:$A$17)</f>
        <v>37.035999999999945</v>
      </c>
    </row>
    <row r="10" spans="1:9" x14ac:dyDescent="0.25">
      <c r="A10" s="591">
        <f t="shared" si="0"/>
        <v>2013</v>
      </c>
      <c r="B10" s="592"/>
      <c r="C10" s="593">
        <f t="shared" si="1"/>
        <v>38.848479436000019</v>
      </c>
      <c r="D10" s="657"/>
      <c r="E10" s="595">
        <f t="shared" si="2"/>
        <v>36.218020889999991</v>
      </c>
      <c r="F10" s="657"/>
      <c r="G10" s="595">
        <f t="shared" si="3"/>
        <v>40.498847943000001</v>
      </c>
      <c r="H10" s="594"/>
      <c r="I10" s="595">
        <f t="shared" si="4"/>
        <v>37.369000000000028</v>
      </c>
    </row>
    <row r="11" spans="1:9" x14ac:dyDescent="0.25">
      <c r="A11" s="591">
        <f t="shared" si="0"/>
        <v>2014</v>
      </c>
      <c r="B11" s="592"/>
      <c r="C11" s="593">
        <f t="shared" si="1"/>
        <v>38.95062680800001</v>
      </c>
      <c r="D11" s="657"/>
      <c r="E11" s="595">
        <f t="shared" si="2"/>
        <v>36.36314501999999</v>
      </c>
      <c r="F11" s="657"/>
      <c r="G11" s="595">
        <f t="shared" si="3"/>
        <v>40.560629914000003</v>
      </c>
      <c r="H11" s="594"/>
      <c r="I11" s="595">
        <f t="shared" si="4"/>
        <v>37.701999999999998</v>
      </c>
    </row>
    <row r="12" spans="1:9" x14ac:dyDescent="0.25">
      <c r="A12" s="591">
        <f t="shared" si="0"/>
        <v>2015</v>
      </c>
      <c r="B12" s="592"/>
      <c r="C12" s="593">
        <f t="shared" si="1"/>
        <v>39.05277418</v>
      </c>
      <c r="D12" s="657"/>
      <c r="E12" s="595">
        <f t="shared" si="2"/>
        <v>36.50826914999999</v>
      </c>
      <c r="F12" s="657"/>
      <c r="G12" s="595">
        <f t="shared" si="3"/>
        <v>40.622411885000005</v>
      </c>
      <c r="H12" s="594"/>
      <c r="I12" s="595">
        <f t="shared" si="4"/>
        <v>38.034999999999968</v>
      </c>
    </row>
    <row r="13" spans="1:9" x14ac:dyDescent="0.25">
      <c r="A13" s="591">
        <f t="shared" si="0"/>
        <v>2016</v>
      </c>
      <c r="B13" s="592"/>
      <c r="C13" s="593">
        <f t="shared" si="1"/>
        <v>39.15492155199999</v>
      </c>
      <c r="D13" s="657"/>
      <c r="E13" s="595">
        <f t="shared" si="2"/>
        <v>36.653393279999989</v>
      </c>
      <c r="F13" s="657"/>
      <c r="G13" s="595">
        <f t="shared" si="3"/>
        <v>40.684193856000007</v>
      </c>
      <c r="H13" s="594"/>
      <c r="I13" s="595">
        <f t="shared" si="4"/>
        <v>38.367999999999938</v>
      </c>
    </row>
    <row r="14" spans="1:9" x14ac:dyDescent="0.25">
      <c r="A14" s="591">
        <f t="shared" si="0"/>
        <v>2017</v>
      </c>
      <c r="B14" s="592"/>
      <c r="C14" s="593">
        <f t="shared" si="1"/>
        <v>39.257068924000009</v>
      </c>
      <c r="D14" s="657"/>
      <c r="E14" s="595">
        <f t="shared" si="2"/>
        <v>36.798517409999988</v>
      </c>
      <c r="F14" s="657"/>
      <c r="G14" s="595">
        <f t="shared" si="3"/>
        <v>40.745975827000009</v>
      </c>
      <c r="H14" s="594"/>
      <c r="I14" s="595">
        <f t="shared" si="4"/>
        <v>38.701000000000022</v>
      </c>
    </row>
    <row r="15" spans="1:9" x14ac:dyDescent="0.25">
      <c r="A15" s="591">
        <f t="shared" si="0"/>
        <v>2018</v>
      </c>
      <c r="B15" s="592"/>
      <c r="C15" s="593">
        <f t="shared" si="1"/>
        <v>39.359216296</v>
      </c>
      <c r="D15" s="657"/>
      <c r="E15" s="595">
        <f t="shared" si="2"/>
        <v>36.943641539999987</v>
      </c>
      <c r="F15" s="657"/>
      <c r="G15" s="595">
        <f t="shared" si="3"/>
        <v>40.807757797999997</v>
      </c>
      <c r="H15" s="594"/>
      <c r="I15" s="595">
        <f t="shared" si="4"/>
        <v>39.033999999999992</v>
      </c>
    </row>
    <row r="16" spans="1:9" x14ac:dyDescent="0.25">
      <c r="A16" s="591">
        <f t="shared" si="0"/>
        <v>2019</v>
      </c>
      <c r="B16" s="592"/>
      <c r="C16" s="593">
        <f t="shared" si="1"/>
        <v>39.46136366799999</v>
      </c>
      <c r="D16" s="657"/>
      <c r="E16" s="595">
        <f t="shared" si="2"/>
        <v>37.088765669999987</v>
      </c>
      <c r="F16" s="657"/>
      <c r="G16" s="595">
        <f t="shared" si="3"/>
        <v>40.869539768999999</v>
      </c>
      <c r="H16" s="594"/>
      <c r="I16" s="595">
        <f t="shared" si="4"/>
        <v>39.366999999999962</v>
      </c>
    </row>
    <row r="17" spans="1:9" x14ac:dyDescent="0.25">
      <c r="A17" s="596">
        <f t="shared" si="0"/>
        <v>2020</v>
      </c>
      <c r="B17" s="597">
        <f>HLOOKUP(A17,'IPCC SR15 data'!$G$1:$Y$75,39,1)/1000</f>
        <v>39.563511039999995</v>
      </c>
      <c r="C17" s="597">
        <f t="shared" ref="C17:C47" si="5">B17</f>
        <v>39.563511039999995</v>
      </c>
      <c r="D17" s="658">
        <f>HLOOKUP(A17,'IPCC SR15 data'!$G$1:$Y$75,3,1)/1000</f>
        <v>37.2338898</v>
      </c>
      <c r="E17" s="598">
        <f>D17</f>
        <v>37.2338898</v>
      </c>
      <c r="F17" s="658">
        <f>'IPCC SR15 data'!I37/1000</f>
        <v>40.931321740000001</v>
      </c>
      <c r="G17" s="598">
        <f>F17</f>
        <v>40.931321740000001</v>
      </c>
      <c r="H17" s="597">
        <f>'IPCC SR15 data'!I57/1000</f>
        <v>39.700000000000003</v>
      </c>
      <c r="I17" s="598">
        <f>H17</f>
        <v>39.700000000000003</v>
      </c>
    </row>
    <row r="18" spans="1:9" x14ac:dyDescent="0.25">
      <c r="A18" s="591">
        <f t="shared" si="0"/>
        <v>2021</v>
      </c>
      <c r="B18" s="592"/>
      <c r="C18" s="593">
        <f>FORECAST(A18,$B$17:$B$27,$A$17:$A$27)</f>
        <v>37.228541300999495</v>
      </c>
      <c r="D18" s="657"/>
      <c r="E18" s="595">
        <f t="shared" ref="E18:E26" si="6">FORECAST(A18,$D$17:$D$27,$A$17:$A$27)</f>
        <v>35.416250149999996</v>
      </c>
      <c r="F18" s="657"/>
      <c r="G18" s="595">
        <f>FORECAST($A18,F$17:F$27,$A$17:$A$27)</f>
        <v>39.201502419000008</v>
      </c>
      <c r="H18" s="594"/>
      <c r="I18" s="595">
        <f>FORECAST($A18,H$17:H$27,$A$17:$A$27)</f>
        <v>39.507000000000005</v>
      </c>
    </row>
    <row r="19" spans="1:9" x14ac:dyDescent="0.25">
      <c r="A19" s="591">
        <f t="shared" si="0"/>
        <v>2022</v>
      </c>
      <c r="B19" s="592"/>
      <c r="C19" s="593">
        <f t="shared" ref="C19:C26" si="7">FORECAST(A19,$B$17:$B$27,$A$17:$A$27)</f>
        <v>34.893571561999124</v>
      </c>
      <c r="D19" s="657"/>
      <c r="E19" s="595">
        <f t="shared" si="6"/>
        <v>33.598610499999722</v>
      </c>
      <c r="F19" s="657"/>
      <c r="G19" s="595">
        <f t="shared" ref="G19:G26" si="8">FORECAST($A19,$F$17:$F$27,$A$17:$A$27)</f>
        <v>37.47168309799963</v>
      </c>
      <c r="H19" s="594"/>
      <c r="I19" s="595">
        <f t="shared" ref="I19:I26" si="9">FORECAST($A19,H$17:H$27,$A$17:$A$27)</f>
        <v>39.313999999999965</v>
      </c>
    </row>
    <row r="20" spans="1:9" x14ac:dyDescent="0.25">
      <c r="A20" s="591">
        <f t="shared" si="0"/>
        <v>2023</v>
      </c>
      <c r="B20" s="592"/>
      <c r="C20" s="593">
        <f t="shared" si="7"/>
        <v>32.558601822999663</v>
      </c>
      <c r="D20" s="657"/>
      <c r="E20" s="595">
        <f t="shared" si="6"/>
        <v>31.780970849999903</v>
      </c>
      <c r="F20" s="657"/>
      <c r="G20" s="595">
        <f t="shared" si="8"/>
        <v>35.741863776999708</v>
      </c>
      <c r="H20" s="594"/>
      <c r="I20" s="595">
        <f t="shared" si="9"/>
        <v>39.120999999999981</v>
      </c>
    </row>
    <row r="21" spans="1:9" x14ac:dyDescent="0.25">
      <c r="A21" s="591">
        <f t="shared" si="0"/>
        <v>2024</v>
      </c>
      <c r="B21" s="592"/>
      <c r="C21" s="593">
        <f t="shared" si="7"/>
        <v>30.223632083999291</v>
      </c>
      <c r="D21" s="657"/>
      <c r="E21" s="595">
        <f t="shared" si="6"/>
        <v>29.963331200000084</v>
      </c>
      <c r="F21" s="657"/>
      <c r="G21" s="595">
        <f t="shared" si="8"/>
        <v>34.012044455999785</v>
      </c>
      <c r="H21" s="594"/>
      <c r="I21" s="595">
        <f t="shared" si="9"/>
        <v>38.927999999999997</v>
      </c>
    </row>
    <row r="22" spans="1:9" x14ac:dyDescent="0.25">
      <c r="A22" s="591">
        <f t="shared" si="0"/>
        <v>2025</v>
      </c>
      <c r="B22" s="592"/>
      <c r="C22" s="593">
        <f t="shared" si="7"/>
        <v>27.88866234499983</v>
      </c>
      <c r="D22" s="657"/>
      <c r="E22" s="595">
        <f t="shared" si="6"/>
        <v>28.14569154999981</v>
      </c>
      <c r="F22" s="657"/>
      <c r="G22" s="595">
        <f t="shared" si="8"/>
        <v>32.282225134999862</v>
      </c>
      <c r="H22" s="594"/>
      <c r="I22" s="595">
        <f t="shared" si="9"/>
        <v>38.735000000000014</v>
      </c>
    </row>
    <row r="23" spans="1:9" x14ac:dyDescent="0.25">
      <c r="A23" s="591">
        <f t="shared" si="0"/>
        <v>2026</v>
      </c>
      <c r="B23" s="592"/>
      <c r="C23" s="593">
        <f t="shared" si="7"/>
        <v>25.553692605999458</v>
      </c>
      <c r="D23" s="657"/>
      <c r="E23" s="595">
        <f t="shared" si="6"/>
        <v>26.328051899999991</v>
      </c>
      <c r="F23" s="657"/>
      <c r="G23" s="595">
        <f t="shared" si="8"/>
        <v>30.55240581399994</v>
      </c>
      <c r="H23" s="594"/>
      <c r="I23" s="595">
        <f t="shared" si="9"/>
        <v>38.541999999999973</v>
      </c>
    </row>
    <row r="24" spans="1:9" x14ac:dyDescent="0.25">
      <c r="A24" s="591">
        <f t="shared" si="0"/>
        <v>2027</v>
      </c>
      <c r="B24" s="592"/>
      <c r="C24" s="593">
        <f t="shared" si="7"/>
        <v>23.218722866999087</v>
      </c>
      <c r="D24" s="657"/>
      <c r="E24" s="595">
        <f t="shared" si="6"/>
        <v>24.510412249999717</v>
      </c>
      <c r="F24" s="657"/>
      <c r="G24" s="595">
        <f t="shared" si="8"/>
        <v>28.822586493000017</v>
      </c>
      <c r="H24" s="594"/>
      <c r="I24" s="595">
        <f t="shared" si="9"/>
        <v>38.34899999999999</v>
      </c>
    </row>
    <row r="25" spans="1:9" x14ac:dyDescent="0.25">
      <c r="A25" s="591">
        <f t="shared" si="0"/>
        <v>2028</v>
      </c>
      <c r="B25" s="592"/>
      <c r="C25" s="593">
        <f t="shared" si="7"/>
        <v>20.883753127999626</v>
      </c>
      <c r="D25" s="657"/>
      <c r="E25" s="595">
        <f t="shared" si="6"/>
        <v>22.692772599999898</v>
      </c>
      <c r="F25" s="657"/>
      <c r="G25" s="595">
        <f t="shared" si="8"/>
        <v>27.09276717199964</v>
      </c>
      <c r="H25" s="594"/>
      <c r="I25" s="595">
        <f t="shared" si="9"/>
        <v>38.156000000000006</v>
      </c>
    </row>
    <row r="26" spans="1:9" x14ac:dyDescent="0.25">
      <c r="A26" s="591">
        <f t="shared" si="0"/>
        <v>2029</v>
      </c>
      <c r="B26" s="592"/>
      <c r="C26" s="593">
        <f t="shared" si="7"/>
        <v>18.548783388999254</v>
      </c>
      <c r="D26" s="657"/>
      <c r="E26" s="595">
        <f t="shared" si="6"/>
        <v>20.875132950000079</v>
      </c>
      <c r="F26" s="657"/>
      <c r="G26" s="595">
        <f t="shared" si="8"/>
        <v>25.362947850999717</v>
      </c>
      <c r="H26" s="594"/>
      <c r="I26" s="595">
        <f t="shared" si="9"/>
        <v>37.962999999999965</v>
      </c>
    </row>
    <row r="27" spans="1:9" x14ac:dyDescent="0.25">
      <c r="A27" s="596">
        <f t="shared" si="0"/>
        <v>2030</v>
      </c>
      <c r="B27" s="597">
        <f>HLOOKUP(A27,'IPCC SR15 data'!$G$1:$Y$75,39,1)/1000</f>
        <v>16.213813649999999</v>
      </c>
      <c r="C27" s="597">
        <f t="shared" si="5"/>
        <v>16.213813649999999</v>
      </c>
      <c r="D27" s="658">
        <f>HLOOKUP(A27,'IPCC SR15 data'!$G$1:$Y$75,3,1)/1000</f>
        <v>19.057493299999997</v>
      </c>
      <c r="E27" s="598">
        <f>D27</f>
        <v>19.057493299999997</v>
      </c>
      <c r="F27" s="658">
        <f>'IPCC SR15 data'!K37/1000</f>
        <v>23.63312853</v>
      </c>
      <c r="G27" s="598">
        <f>F27</f>
        <v>23.63312853</v>
      </c>
      <c r="H27" s="597">
        <f>'IPCC SR15 data'!K57/1000</f>
        <v>37.770000000000003</v>
      </c>
      <c r="I27" s="598">
        <f>H27</f>
        <v>37.770000000000003</v>
      </c>
    </row>
    <row r="28" spans="1:9" x14ac:dyDescent="0.25">
      <c r="A28" s="591">
        <f t="shared" si="0"/>
        <v>2031</v>
      </c>
      <c r="B28" s="592"/>
      <c r="C28" s="593">
        <f>FORECAST(A28,$B$27:$B$37,$A$27:$A$37)</f>
        <v>15.379766871200218</v>
      </c>
      <c r="D28" s="657"/>
      <c r="E28" s="595">
        <f t="shared" ref="E28:E36" si="10">FORECAST(A28,$D$27:$D$37,$A$27:$A$37)</f>
        <v>17.974675970000135</v>
      </c>
      <c r="F28" s="657"/>
      <c r="G28" s="595">
        <f>FORECAST($A28,F$27:F$37,$A$27:$A$37)</f>
        <v>22.422228616999746</v>
      </c>
      <c r="H28" s="594"/>
      <c r="I28" s="595">
        <f>FORECAST($A28,H$27:H$37,$A$27:$A$37)</f>
        <v>36.20699999999988</v>
      </c>
    </row>
    <row r="29" spans="1:9" x14ac:dyDescent="0.25">
      <c r="A29" s="591">
        <f t="shared" si="0"/>
        <v>2032</v>
      </c>
      <c r="B29" s="592"/>
      <c r="C29" s="593">
        <f t="shared" ref="C29:C36" si="11">FORECAST(A29,$B$27:$B$37,$A$27:$A$37)</f>
        <v>14.545720092400188</v>
      </c>
      <c r="D29" s="657"/>
      <c r="E29" s="595">
        <f t="shared" si="10"/>
        <v>16.891858640000464</v>
      </c>
      <c r="F29" s="657"/>
      <c r="G29" s="595">
        <f t="shared" ref="G29:G36" si="12">FORECAST($A29,$F$27:$F$37,$A$27:$A$37)</f>
        <v>21.211328703999698</v>
      </c>
      <c r="H29" s="594"/>
      <c r="I29" s="595">
        <f t="shared" ref="I29:I36" si="13">FORECAST($A29,H$27:H$37,$A$27:$A$37)</f>
        <v>34.643999999999778</v>
      </c>
    </row>
    <row r="30" spans="1:9" x14ac:dyDescent="0.25">
      <c r="A30" s="591">
        <f t="shared" si="0"/>
        <v>2033</v>
      </c>
      <c r="B30" s="592"/>
      <c r="C30" s="593">
        <f t="shared" si="11"/>
        <v>13.711673313600159</v>
      </c>
      <c r="D30" s="657"/>
      <c r="E30" s="595">
        <f t="shared" si="10"/>
        <v>15.809041310000339</v>
      </c>
      <c r="F30" s="657"/>
      <c r="G30" s="595">
        <f t="shared" si="12"/>
        <v>20.000428790999649</v>
      </c>
      <c r="H30" s="594"/>
      <c r="I30" s="595">
        <f t="shared" si="13"/>
        <v>33.081000000000131</v>
      </c>
    </row>
    <row r="31" spans="1:9" x14ac:dyDescent="0.25">
      <c r="A31" s="591">
        <f t="shared" si="0"/>
        <v>2034</v>
      </c>
      <c r="B31" s="592"/>
      <c r="C31" s="593">
        <f t="shared" si="11"/>
        <v>12.877626534800129</v>
      </c>
      <c r="D31" s="657"/>
      <c r="E31" s="595">
        <f t="shared" si="10"/>
        <v>14.726223980000213</v>
      </c>
      <c r="F31" s="657"/>
      <c r="G31" s="595">
        <f t="shared" si="12"/>
        <v>18.789528878000056</v>
      </c>
      <c r="H31" s="594"/>
      <c r="I31" s="595">
        <f t="shared" si="13"/>
        <v>31.518000000000029</v>
      </c>
    </row>
    <row r="32" spans="1:9" x14ac:dyDescent="0.25">
      <c r="A32" s="591">
        <f t="shared" si="0"/>
        <v>2035</v>
      </c>
      <c r="B32" s="592"/>
      <c r="C32" s="593">
        <f t="shared" si="11"/>
        <v>12.043579756000099</v>
      </c>
      <c r="D32" s="657"/>
      <c r="E32" s="595">
        <f t="shared" si="10"/>
        <v>13.643406650000088</v>
      </c>
      <c r="F32" s="657"/>
      <c r="G32" s="595">
        <f t="shared" si="12"/>
        <v>17.578628965000007</v>
      </c>
      <c r="H32" s="594"/>
      <c r="I32" s="595">
        <f t="shared" si="13"/>
        <v>29.954999999999927</v>
      </c>
    </row>
    <row r="33" spans="1:9" x14ac:dyDescent="0.25">
      <c r="A33" s="591">
        <f t="shared" si="0"/>
        <v>2036</v>
      </c>
      <c r="B33" s="592"/>
      <c r="C33" s="593">
        <f t="shared" si="11"/>
        <v>11.20953297720007</v>
      </c>
      <c r="D33" s="657"/>
      <c r="E33" s="595">
        <f t="shared" si="10"/>
        <v>12.560589320000418</v>
      </c>
      <c r="F33" s="657"/>
      <c r="G33" s="595">
        <f t="shared" si="12"/>
        <v>16.367729051999959</v>
      </c>
      <c r="H33" s="594"/>
      <c r="I33" s="595">
        <f t="shared" si="13"/>
        <v>28.391999999999825</v>
      </c>
    </row>
    <row r="34" spans="1:9" x14ac:dyDescent="0.25">
      <c r="A34" s="591">
        <f t="shared" si="0"/>
        <v>2037</v>
      </c>
      <c r="B34" s="592"/>
      <c r="C34" s="593">
        <f t="shared" si="11"/>
        <v>10.375486198400267</v>
      </c>
      <c r="D34" s="657"/>
      <c r="E34" s="595">
        <f t="shared" si="10"/>
        <v>11.477771990000292</v>
      </c>
      <c r="F34" s="657"/>
      <c r="G34" s="595">
        <f t="shared" si="12"/>
        <v>15.15682913899991</v>
      </c>
      <c r="H34" s="594"/>
      <c r="I34" s="595">
        <f t="shared" si="13"/>
        <v>26.829000000000178</v>
      </c>
    </row>
    <row r="35" spans="1:9" x14ac:dyDescent="0.25">
      <c r="A35" s="591">
        <f t="shared" si="0"/>
        <v>2038</v>
      </c>
      <c r="B35" s="592"/>
      <c r="C35" s="593">
        <f t="shared" si="11"/>
        <v>9.5414394196002377</v>
      </c>
      <c r="D35" s="657"/>
      <c r="E35" s="595">
        <f t="shared" si="10"/>
        <v>10.394954660000167</v>
      </c>
      <c r="F35" s="657"/>
      <c r="G35" s="595">
        <f t="shared" si="12"/>
        <v>13.945929225999862</v>
      </c>
      <c r="H35" s="594"/>
      <c r="I35" s="595">
        <f t="shared" si="13"/>
        <v>25.266000000000076</v>
      </c>
    </row>
    <row r="36" spans="1:9" x14ac:dyDescent="0.25">
      <c r="A36" s="591">
        <f t="shared" si="0"/>
        <v>2039</v>
      </c>
      <c r="B36" s="592"/>
      <c r="C36" s="593">
        <f t="shared" si="11"/>
        <v>8.707392640800208</v>
      </c>
      <c r="D36" s="657"/>
      <c r="E36" s="595">
        <f t="shared" si="10"/>
        <v>9.3121373300004961</v>
      </c>
      <c r="F36" s="657"/>
      <c r="G36" s="595">
        <f t="shared" si="12"/>
        <v>12.735029312999814</v>
      </c>
      <c r="H36" s="594"/>
      <c r="I36" s="595">
        <f t="shared" si="13"/>
        <v>23.702999999999975</v>
      </c>
    </row>
    <row r="37" spans="1:9" x14ac:dyDescent="0.25">
      <c r="A37" s="596">
        <f t="shared" si="0"/>
        <v>2040</v>
      </c>
      <c r="B37" s="597">
        <f>HLOOKUP(A37,'IPCC SR15 data'!$G$1:$Y$75,39,1)/1000</f>
        <v>7.8733458619999999</v>
      </c>
      <c r="C37" s="597">
        <f t="shared" si="5"/>
        <v>7.8733458619999999</v>
      </c>
      <c r="D37" s="658">
        <f>HLOOKUP(A37,'IPCC SR15 data'!$G$1:$Y$75,3,1)/1000</f>
        <v>8.2293199999999995</v>
      </c>
      <c r="E37" s="598">
        <f>D37</f>
        <v>8.2293199999999995</v>
      </c>
      <c r="F37" s="658">
        <f>'IPCC SR15 data'!M37/1000</f>
        <v>11.5241294</v>
      </c>
      <c r="G37" s="598">
        <f>F37</f>
        <v>11.5241294</v>
      </c>
      <c r="H37" s="597">
        <f>'IPCC SR15 data'!M57/1000</f>
        <v>22.14</v>
      </c>
      <c r="I37" s="598">
        <f>H37</f>
        <v>22.14</v>
      </c>
    </row>
    <row r="38" spans="1:9" x14ac:dyDescent="0.25">
      <c r="A38" s="591">
        <f t="shared" si="0"/>
        <v>2041</v>
      </c>
      <c r="B38" s="592"/>
      <c r="C38" s="593">
        <f>FORECAST(A38,$B$37:$B$47,$A$37:$A$47)</f>
        <v>7.3595750486001634</v>
      </c>
      <c r="D38" s="657"/>
      <c r="E38" s="595">
        <f t="shared" ref="E38:E46" si="14">FORECAST(A38,$D$37:$D$47,$A$37:$A$47)</f>
        <v>7.5858497700000953</v>
      </c>
      <c r="F38" s="657"/>
      <c r="G38" s="595">
        <f>FORECAST($A38,F$37:F$47,$A$37:$A$47)</f>
        <v>10.749608661799812</v>
      </c>
      <c r="H38" s="594"/>
      <c r="I38" s="595">
        <f>FORECAST($A38,H$37:H$47,$A$37:$A$47)</f>
        <v>20.051400000000285</v>
      </c>
    </row>
    <row r="39" spans="1:9" x14ac:dyDescent="0.25">
      <c r="A39" s="591">
        <f t="shared" si="0"/>
        <v>2042</v>
      </c>
      <c r="B39" s="592"/>
      <c r="C39" s="593">
        <f t="shared" ref="C39:C46" si="15">FORECAST(A39,$B$37:$B$47,$A$37:$A$47)</f>
        <v>6.8458042352001485</v>
      </c>
      <c r="D39" s="657"/>
      <c r="E39" s="595">
        <f t="shared" si="14"/>
        <v>6.9423795400000472</v>
      </c>
      <c r="F39" s="657"/>
      <c r="G39" s="595">
        <f t="shared" ref="G39:G46" si="16">FORECAST($A39,$F$37:$F$47,$A$37:$A$47)</f>
        <v>9.9750879235998582</v>
      </c>
      <c r="H39" s="594"/>
      <c r="I39" s="595">
        <f t="shared" ref="I39:I46" si="17">FORECAST($A39,H$37:H$47,$A$37:$A$47)</f>
        <v>17.962800000000243</v>
      </c>
    </row>
    <row r="40" spans="1:9" x14ac:dyDescent="0.25">
      <c r="A40" s="591">
        <f t="shared" si="0"/>
        <v>2043</v>
      </c>
      <c r="B40" s="592"/>
      <c r="C40" s="593">
        <f t="shared" si="15"/>
        <v>6.3320334218001335</v>
      </c>
      <c r="D40" s="657"/>
      <c r="E40" s="595">
        <f t="shared" si="14"/>
        <v>6.2989093099999991</v>
      </c>
      <c r="F40" s="657"/>
      <c r="G40" s="595">
        <f t="shared" si="16"/>
        <v>9.2005671853999047</v>
      </c>
      <c r="H40" s="594"/>
      <c r="I40" s="595">
        <f t="shared" si="17"/>
        <v>15.874200000000201</v>
      </c>
    </row>
    <row r="41" spans="1:9" x14ac:dyDescent="0.25">
      <c r="A41" s="591">
        <f t="shared" si="0"/>
        <v>2044</v>
      </c>
      <c r="B41" s="592"/>
      <c r="C41" s="593">
        <f t="shared" si="15"/>
        <v>5.8182626084001186</v>
      </c>
      <c r="D41" s="657"/>
      <c r="E41" s="595">
        <f t="shared" si="14"/>
        <v>5.655439079999951</v>
      </c>
      <c r="F41" s="657"/>
      <c r="G41" s="595">
        <f t="shared" si="16"/>
        <v>8.4260464471999512</v>
      </c>
      <c r="H41" s="594"/>
      <c r="I41" s="595">
        <f t="shared" si="17"/>
        <v>13.785600000000159</v>
      </c>
    </row>
    <row r="42" spans="1:9" x14ac:dyDescent="0.25">
      <c r="A42" s="591">
        <f t="shared" si="0"/>
        <v>2045</v>
      </c>
      <c r="B42" s="592"/>
      <c r="C42" s="593">
        <f t="shared" si="15"/>
        <v>5.3044917950001036</v>
      </c>
      <c r="D42" s="657"/>
      <c r="E42" s="595">
        <f t="shared" si="14"/>
        <v>5.0119688499999029</v>
      </c>
      <c r="F42" s="657"/>
      <c r="G42" s="595">
        <f t="shared" si="16"/>
        <v>7.6515257089999977</v>
      </c>
      <c r="H42" s="594"/>
      <c r="I42" s="595">
        <f t="shared" si="17"/>
        <v>11.697000000000116</v>
      </c>
    </row>
    <row r="43" spans="1:9" x14ac:dyDescent="0.25">
      <c r="A43" s="591">
        <f t="shared" si="0"/>
        <v>2046</v>
      </c>
      <c r="B43" s="592"/>
      <c r="C43" s="593">
        <f t="shared" si="15"/>
        <v>4.7907209816000886</v>
      </c>
      <c r="D43" s="657"/>
      <c r="E43" s="595">
        <f t="shared" si="14"/>
        <v>4.3684986200000822</v>
      </c>
      <c r="F43" s="657"/>
      <c r="G43" s="595">
        <f t="shared" si="16"/>
        <v>6.8770049707998169</v>
      </c>
      <c r="H43" s="594"/>
      <c r="I43" s="595">
        <f t="shared" si="17"/>
        <v>9.6084000000000742</v>
      </c>
    </row>
    <row r="44" spans="1:9" x14ac:dyDescent="0.25">
      <c r="A44" s="591">
        <f t="shared" si="0"/>
        <v>2047</v>
      </c>
      <c r="B44" s="592"/>
      <c r="C44" s="593">
        <f t="shared" si="15"/>
        <v>4.2769501682000737</v>
      </c>
      <c r="D44" s="657"/>
      <c r="E44" s="595">
        <f t="shared" si="14"/>
        <v>3.7250283900000341</v>
      </c>
      <c r="F44" s="657"/>
      <c r="G44" s="595">
        <f t="shared" si="16"/>
        <v>6.1024842325998634</v>
      </c>
      <c r="H44" s="594"/>
      <c r="I44" s="595">
        <f t="shared" si="17"/>
        <v>7.519800000000032</v>
      </c>
    </row>
    <row r="45" spans="1:9" x14ac:dyDescent="0.25">
      <c r="A45" s="591">
        <f t="shared" si="0"/>
        <v>2048</v>
      </c>
      <c r="B45" s="592"/>
      <c r="C45" s="593">
        <f t="shared" si="15"/>
        <v>3.7631793548000587</v>
      </c>
      <c r="D45" s="657"/>
      <c r="E45" s="595">
        <f t="shared" si="14"/>
        <v>3.0815581599999859</v>
      </c>
      <c r="F45" s="657"/>
      <c r="G45" s="595">
        <f t="shared" si="16"/>
        <v>5.3279634943999099</v>
      </c>
      <c r="H45" s="594"/>
      <c r="I45" s="595">
        <f t="shared" si="17"/>
        <v>5.4311999999999898</v>
      </c>
    </row>
    <row r="46" spans="1:9" x14ac:dyDescent="0.25">
      <c r="A46" s="591">
        <f t="shared" si="0"/>
        <v>2049</v>
      </c>
      <c r="B46" s="592"/>
      <c r="C46" s="593">
        <f t="shared" si="15"/>
        <v>3.2494085414000438</v>
      </c>
      <c r="D46" s="657"/>
      <c r="E46" s="595">
        <f t="shared" si="14"/>
        <v>2.4380879299999378</v>
      </c>
      <c r="F46" s="657"/>
      <c r="G46" s="595">
        <f t="shared" si="16"/>
        <v>4.5534427561999564</v>
      </c>
      <c r="H46" s="594"/>
      <c r="I46" s="595">
        <f t="shared" si="17"/>
        <v>3.3425999999999476</v>
      </c>
    </row>
    <row r="47" spans="1:9" x14ac:dyDescent="0.25">
      <c r="A47" s="596">
        <f t="shared" si="0"/>
        <v>2050</v>
      </c>
      <c r="B47" s="597">
        <f>HLOOKUP(A47,'IPCC SR15 data'!$G$1:$Y$75,39,1)/1000</f>
        <v>2.7356377279999999</v>
      </c>
      <c r="C47" s="597">
        <f t="shared" si="5"/>
        <v>2.7356377279999999</v>
      </c>
      <c r="D47" s="658">
        <f>HLOOKUP(A47,'IPCC SR15 data'!$G$1:$Y$75,3,1)/1000</f>
        <v>1.7946177000000001</v>
      </c>
      <c r="E47" s="598">
        <f>D47</f>
        <v>1.7946177000000001</v>
      </c>
      <c r="F47" s="658">
        <f>'IPCC SR15 data'!O37/1000</f>
        <v>3.7789220180000003</v>
      </c>
      <c r="G47" s="598">
        <f>F47</f>
        <v>3.7789220180000003</v>
      </c>
      <c r="H47" s="597">
        <f>'IPCC SR15 data'!O57/1000</f>
        <v>1.254</v>
      </c>
      <c r="I47" s="598">
        <f>H47</f>
        <v>1.254</v>
      </c>
    </row>
    <row r="48" spans="1:9" x14ac:dyDescent="0.25">
      <c r="A48" s="591">
        <f t="shared" si="0"/>
        <v>2051</v>
      </c>
      <c r="B48" s="592"/>
      <c r="C48" s="593">
        <f>FORECAST(A48,$B$47:$B$57,$A$47:$A$57)</f>
        <v>2.4552979802440404</v>
      </c>
      <c r="D48" s="657"/>
      <c r="E48" s="595">
        <f t="shared" ref="E48:E56" si="18">FORECAST(A48,$D$47:$D$57,$A$47:$A$57)</f>
        <v>1.3970390099999577</v>
      </c>
      <c r="F48" s="657"/>
      <c r="G48" s="595">
        <f>FORECAST($A48,F$47:F$57,$A$47:$A$57)</f>
        <v>3.2499613553998188</v>
      </c>
      <c r="H48" s="594"/>
      <c r="I48" s="595">
        <f>FORECAST($A48,H$47:H$57,$A$47:$A$57)</f>
        <v>-0.15540000000009968</v>
      </c>
    </row>
    <row r="49" spans="1:9" x14ac:dyDescent="0.25">
      <c r="A49" s="591">
        <f t="shared" si="0"/>
        <v>2052</v>
      </c>
      <c r="B49" s="592"/>
      <c r="C49" s="593">
        <f t="shared" ref="C49:C56" si="19">FORECAST(A49,$B$47:$B$57,$A$47:$A$57)</f>
        <v>2.1749582324880521</v>
      </c>
      <c r="D49" s="657"/>
      <c r="E49" s="595">
        <f t="shared" si="18"/>
        <v>0.9994603200000256</v>
      </c>
      <c r="F49" s="657"/>
      <c r="G49" s="595">
        <f t="shared" ref="G49:G56" si="20">FORECAST($A49,$F$47:$F$57,$A$47:$A$57)</f>
        <v>2.721000692799862</v>
      </c>
      <c r="H49" s="594"/>
      <c r="I49" s="595">
        <f t="shared" ref="I49:I56" si="21">FORECAST($A49,H$47:H$57,$A$47:$A$57)</f>
        <v>-1.5648000000001048</v>
      </c>
    </row>
    <row r="50" spans="1:9" x14ac:dyDescent="0.25">
      <c r="A50" s="591">
        <f t="shared" si="0"/>
        <v>2053</v>
      </c>
      <c r="B50" s="592"/>
      <c r="C50" s="593">
        <f t="shared" si="19"/>
        <v>1.89461848473195</v>
      </c>
      <c r="D50" s="657"/>
      <c r="E50" s="595">
        <f t="shared" si="18"/>
        <v>0.60188162999997985</v>
      </c>
      <c r="F50" s="657"/>
      <c r="G50" s="595">
        <f t="shared" si="20"/>
        <v>2.1920400301999052</v>
      </c>
      <c r="H50" s="594"/>
      <c r="I50" s="595">
        <f t="shared" si="21"/>
        <v>-2.9742000000001099</v>
      </c>
    </row>
    <row r="51" spans="1:9" x14ac:dyDescent="0.25">
      <c r="A51" s="591">
        <f t="shared" si="0"/>
        <v>2054</v>
      </c>
      <c r="B51" s="592"/>
      <c r="C51" s="593">
        <f t="shared" si="19"/>
        <v>1.6142787369759617</v>
      </c>
      <c r="D51" s="657"/>
      <c r="E51" s="595">
        <f t="shared" si="18"/>
        <v>0.2043029399999341</v>
      </c>
      <c r="F51" s="657"/>
      <c r="G51" s="595">
        <f t="shared" si="20"/>
        <v>1.6630793675999485</v>
      </c>
      <c r="H51" s="594"/>
      <c r="I51" s="595">
        <f t="shared" si="21"/>
        <v>-4.383600000000115</v>
      </c>
    </row>
    <row r="52" spans="1:9" x14ac:dyDescent="0.25">
      <c r="A52" s="591">
        <f t="shared" si="0"/>
        <v>2055</v>
      </c>
      <c r="B52" s="592"/>
      <c r="C52" s="593">
        <f t="shared" si="19"/>
        <v>1.3339389892199733</v>
      </c>
      <c r="D52" s="657"/>
      <c r="E52" s="595">
        <f t="shared" si="18"/>
        <v>-0.19327574999999797</v>
      </c>
      <c r="F52" s="657"/>
      <c r="G52" s="595">
        <f t="shared" si="20"/>
        <v>1.1341187049999917</v>
      </c>
      <c r="H52" s="594"/>
      <c r="I52" s="595">
        <f t="shared" si="21"/>
        <v>-5.7930000000001201</v>
      </c>
    </row>
    <row r="53" spans="1:9" x14ac:dyDescent="0.25">
      <c r="A53" s="591">
        <f t="shared" si="0"/>
        <v>2056</v>
      </c>
      <c r="B53" s="592"/>
      <c r="C53" s="593">
        <f t="shared" si="19"/>
        <v>1.053599241463985</v>
      </c>
      <c r="D53" s="657"/>
      <c r="E53" s="595">
        <f t="shared" si="18"/>
        <v>-0.59085444000004372</v>
      </c>
      <c r="F53" s="657"/>
      <c r="G53" s="595">
        <f t="shared" si="20"/>
        <v>0.60515804239980753</v>
      </c>
      <c r="H53" s="594"/>
      <c r="I53" s="595">
        <f t="shared" si="21"/>
        <v>-7.2024000000001251</v>
      </c>
    </row>
    <row r="54" spans="1:9" x14ac:dyDescent="0.25">
      <c r="A54" s="591">
        <f t="shared" si="0"/>
        <v>2057</v>
      </c>
      <c r="B54" s="592"/>
      <c r="C54" s="593">
        <f t="shared" si="19"/>
        <v>0.77325949370799663</v>
      </c>
      <c r="D54" s="657"/>
      <c r="E54" s="595">
        <f t="shared" si="18"/>
        <v>-0.98843312999997579</v>
      </c>
      <c r="F54" s="657"/>
      <c r="G54" s="595">
        <f t="shared" si="20"/>
        <v>7.6197379799850751E-2</v>
      </c>
      <c r="H54" s="594"/>
      <c r="I54" s="595">
        <f t="shared" si="21"/>
        <v>-8.6118000000001302</v>
      </c>
    </row>
    <row r="55" spans="1:9" x14ac:dyDescent="0.25">
      <c r="A55" s="591">
        <f t="shared" si="0"/>
        <v>2058</v>
      </c>
      <c r="B55" s="592"/>
      <c r="C55" s="593">
        <f t="shared" si="19"/>
        <v>0.49291974595200827</v>
      </c>
      <c r="D55" s="657"/>
      <c r="E55" s="595">
        <f t="shared" si="18"/>
        <v>-1.3860118200000215</v>
      </c>
      <c r="F55" s="657"/>
      <c r="G55" s="595">
        <f t="shared" si="20"/>
        <v>-0.45276328280010603</v>
      </c>
      <c r="H55" s="594"/>
      <c r="I55" s="595">
        <f t="shared" si="21"/>
        <v>-10.021200000000135</v>
      </c>
    </row>
    <row r="56" spans="1:9" x14ac:dyDescent="0.25">
      <c r="A56" s="591">
        <f t="shared" si="0"/>
        <v>2059</v>
      </c>
      <c r="B56" s="592"/>
      <c r="C56" s="593">
        <f t="shared" si="19"/>
        <v>0.21257999819601991</v>
      </c>
      <c r="D56" s="657"/>
      <c r="E56" s="595">
        <f t="shared" si="18"/>
        <v>-1.7835905100000673</v>
      </c>
      <c r="F56" s="657"/>
      <c r="G56" s="595">
        <f t="shared" si="20"/>
        <v>-0.9817239454000628</v>
      </c>
      <c r="H56" s="594"/>
      <c r="I56" s="595">
        <f t="shared" si="21"/>
        <v>-11.43060000000014</v>
      </c>
    </row>
    <row r="57" spans="1:9" x14ac:dyDescent="0.25">
      <c r="A57" s="596">
        <f t="shared" si="0"/>
        <v>2060</v>
      </c>
      <c r="B57" s="597">
        <f>HLOOKUP(A57,'IPCC SR15 data'!$G$1:$Y$75,39,1)/1000</f>
        <v>-6.7759749559999999E-2</v>
      </c>
      <c r="C57" s="597">
        <f>B57</f>
        <v>-6.7759749559999999E-2</v>
      </c>
      <c r="D57" s="658">
        <f>HLOOKUP(A57,'IPCC SR15 data'!$G$1:$Y$75,3,1)/1000</f>
        <v>-2.1811691999999998</v>
      </c>
      <c r="E57" s="598">
        <f>D57</f>
        <v>-2.1811691999999998</v>
      </c>
      <c r="F57" s="658">
        <f>'IPCC SR15 data'!Q37/1000</f>
        <v>-1.510684608</v>
      </c>
      <c r="G57" s="598">
        <f>F57</f>
        <v>-1.510684608</v>
      </c>
      <c r="H57" s="597">
        <f>'IPCC SR15 data'!Q57/1000</f>
        <v>-12.84</v>
      </c>
      <c r="I57" s="598">
        <f>H57</f>
        <v>-12.84</v>
      </c>
    </row>
    <row r="58" spans="1:9" x14ac:dyDescent="0.25">
      <c r="A58" s="591">
        <f t="shared" si="0"/>
        <v>2061</v>
      </c>
      <c r="B58" s="592"/>
      <c r="C58" s="593">
        <f>FORECAST(A58,$B$57:$B$67,$A$57:$A$67)</f>
        <v>-0.22799994500405774</v>
      </c>
      <c r="D58" s="657"/>
      <c r="E58" s="595">
        <f t="shared" ref="E58:E66" si="22">FORECAST(A58,$D$57:$D$67,$A$57:$A$67)</f>
        <v>-2.3387602199999833</v>
      </c>
      <c r="F58" s="657"/>
      <c r="G58" s="595">
        <f>FORECAST($A58,F$57:F$67,$A$57:$A$67)</f>
        <v>-2.0136529858000358</v>
      </c>
      <c r="H58" s="594"/>
      <c r="I58" s="595">
        <f>FORECAST($A58,H$57:H$67,$A$57:$A$67)</f>
        <v>-13.180999999999926</v>
      </c>
    </row>
    <row r="59" spans="1:9" x14ac:dyDescent="0.25">
      <c r="A59" s="591">
        <f t="shared" si="0"/>
        <v>2062</v>
      </c>
      <c r="B59" s="592"/>
      <c r="C59" s="593">
        <f t="shared" ref="C59:C66" si="23">FORECAST(A59,$B$57:$B$67,$A$57:$A$67)</f>
        <v>-0.38824014044803334</v>
      </c>
      <c r="D59" s="657"/>
      <c r="E59" s="595">
        <f t="shared" si="22"/>
        <v>-2.4963512399999672</v>
      </c>
      <c r="F59" s="657"/>
      <c r="G59" s="595">
        <f t="shared" ref="G59:G66" si="24">FORECAST($A59,$F$57:$F$67,$A$57:$A$67)</f>
        <v>-2.5166213636000521</v>
      </c>
      <c r="H59" s="594"/>
      <c r="I59" s="595">
        <f t="shared" ref="I59:I66" si="25">FORECAST($A59,H$57:H$67,$A$57:$A$67)</f>
        <v>-13.521999999999935</v>
      </c>
    </row>
    <row r="60" spans="1:9" x14ac:dyDescent="0.25">
      <c r="A60" s="591">
        <f t="shared" si="0"/>
        <v>2063</v>
      </c>
      <c r="B60" s="592"/>
      <c r="C60" s="593">
        <f t="shared" si="23"/>
        <v>-0.54848033589200895</v>
      </c>
      <c r="D60" s="657"/>
      <c r="E60" s="595">
        <f t="shared" si="22"/>
        <v>-2.6539422599999511</v>
      </c>
      <c r="F60" s="657"/>
      <c r="G60" s="595">
        <f t="shared" si="24"/>
        <v>-3.0195897414000683</v>
      </c>
      <c r="H60" s="594"/>
      <c r="I60" s="595">
        <f t="shared" si="25"/>
        <v>-13.862999999999943</v>
      </c>
    </row>
    <row r="61" spans="1:9" x14ac:dyDescent="0.25">
      <c r="A61" s="591">
        <f t="shared" si="0"/>
        <v>2064</v>
      </c>
      <c r="B61" s="592"/>
      <c r="C61" s="593">
        <f t="shared" si="23"/>
        <v>-0.7087205313360414</v>
      </c>
      <c r="D61" s="657"/>
      <c r="E61" s="595">
        <f t="shared" si="22"/>
        <v>-2.8115332799999919</v>
      </c>
      <c r="F61" s="657"/>
      <c r="G61" s="595">
        <f t="shared" si="24"/>
        <v>-3.5225581192000845</v>
      </c>
      <c r="H61" s="594"/>
      <c r="I61" s="595">
        <f t="shared" si="25"/>
        <v>-14.203999999999951</v>
      </c>
    </row>
    <row r="62" spans="1:9" x14ac:dyDescent="0.25">
      <c r="A62" s="591">
        <f t="shared" si="0"/>
        <v>2065</v>
      </c>
      <c r="B62" s="592"/>
      <c r="C62" s="593">
        <f t="shared" si="23"/>
        <v>-0.86896072678001701</v>
      </c>
      <c r="D62" s="657"/>
      <c r="E62" s="595">
        <f t="shared" si="22"/>
        <v>-2.9691242999999758</v>
      </c>
      <c r="F62" s="657"/>
      <c r="G62" s="595">
        <f t="shared" si="24"/>
        <v>-4.0255264970001008</v>
      </c>
      <c r="H62" s="594"/>
      <c r="I62" s="595">
        <f t="shared" si="25"/>
        <v>-14.544999999999959</v>
      </c>
    </row>
    <row r="63" spans="1:9" x14ac:dyDescent="0.25">
      <c r="A63" s="591">
        <f t="shared" si="0"/>
        <v>2066</v>
      </c>
      <c r="B63" s="592"/>
      <c r="C63" s="593">
        <f t="shared" si="23"/>
        <v>-1.0292009222240495</v>
      </c>
      <c r="D63" s="657"/>
      <c r="E63" s="595">
        <f t="shared" si="22"/>
        <v>-3.1267153199999598</v>
      </c>
      <c r="F63" s="657"/>
      <c r="G63" s="595">
        <f t="shared" si="24"/>
        <v>-4.528494874800117</v>
      </c>
      <c r="H63" s="594"/>
      <c r="I63" s="595">
        <f t="shared" si="25"/>
        <v>-14.885999999999967</v>
      </c>
    </row>
    <row r="64" spans="1:9" x14ac:dyDescent="0.25">
      <c r="A64" s="591">
        <f t="shared" si="0"/>
        <v>2067</v>
      </c>
      <c r="B64" s="592"/>
      <c r="C64" s="593">
        <f t="shared" si="23"/>
        <v>-1.1894411176680251</v>
      </c>
      <c r="D64" s="657"/>
      <c r="E64" s="595">
        <f t="shared" si="22"/>
        <v>-3.2843063399999437</v>
      </c>
      <c r="F64" s="657"/>
      <c r="G64" s="595">
        <f t="shared" si="24"/>
        <v>-5.0314632526001333</v>
      </c>
      <c r="H64" s="594"/>
      <c r="I64" s="595">
        <f t="shared" si="25"/>
        <v>-15.226999999999975</v>
      </c>
    </row>
    <row r="65" spans="1:9" x14ac:dyDescent="0.25">
      <c r="A65" s="591">
        <f t="shared" si="0"/>
        <v>2068</v>
      </c>
      <c r="B65" s="592"/>
      <c r="C65" s="593">
        <f t="shared" si="23"/>
        <v>-1.3496813131120575</v>
      </c>
      <c r="D65" s="657"/>
      <c r="E65" s="595">
        <f t="shared" si="22"/>
        <v>-3.4418973599999845</v>
      </c>
      <c r="F65" s="657"/>
      <c r="G65" s="595">
        <f t="shared" si="24"/>
        <v>-5.5344316304001495</v>
      </c>
      <c r="H65" s="594"/>
      <c r="I65" s="595">
        <f t="shared" si="25"/>
        <v>-15.567999999999984</v>
      </c>
    </row>
    <row r="66" spans="1:9" x14ac:dyDescent="0.25">
      <c r="A66" s="591">
        <f t="shared" si="0"/>
        <v>2069</v>
      </c>
      <c r="B66" s="592"/>
      <c r="C66" s="593">
        <f t="shared" si="23"/>
        <v>-1.5099215085560331</v>
      </c>
      <c r="D66" s="657"/>
      <c r="E66" s="595">
        <f t="shared" si="22"/>
        <v>-3.5994883799999684</v>
      </c>
      <c r="F66" s="657"/>
      <c r="G66" s="595">
        <f t="shared" si="24"/>
        <v>-6.0374000081999384</v>
      </c>
      <c r="H66" s="594"/>
      <c r="I66" s="595">
        <f t="shared" si="25"/>
        <v>-15.908999999999878</v>
      </c>
    </row>
    <row r="67" spans="1:9" x14ac:dyDescent="0.25">
      <c r="A67" s="596">
        <f t="shared" si="0"/>
        <v>2070</v>
      </c>
      <c r="B67" s="597">
        <f>HLOOKUP(A67,'IPCC SR15 data'!$G$1:$Y$75,39,1)/1000</f>
        <v>-1.6701617040000001</v>
      </c>
      <c r="C67" s="597">
        <f>B67</f>
        <v>-1.6701617040000001</v>
      </c>
      <c r="D67" s="658">
        <f>HLOOKUP(A67,'IPCC SR15 data'!$G$1:$Y$75,3,1)/1000</f>
        <v>-3.7570794000000003</v>
      </c>
      <c r="E67" s="598">
        <f>D67</f>
        <v>-3.7570794000000003</v>
      </c>
      <c r="F67" s="658">
        <f>'IPCC SR15 data'!S37/1000</f>
        <v>-6.5403683859999999</v>
      </c>
      <c r="G67" s="598">
        <f>F67</f>
        <v>-6.5403683859999999</v>
      </c>
      <c r="H67" s="597">
        <f>'IPCC SR15 data'!S57/1000</f>
        <v>-16.25</v>
      </c>
      <c r="I67" s="598">
        <f>H67</f>
        <v>-16.25</v>
      </c>
    </row>
    <row r="68" spans="1:9" x14ac:dyDescent="0.25">
      <c r="A68" s="591">
        <f t="shared" si="0"/>
        <v>2071</v>
      </c>
      <c r="B68" s="592"/>
      <c r="C68" s="593">
        <f>FORECAST(A68,$B$67:$B$77,$A$67:$A$77)</f>
        <v>-1.7493659771000125</v>
      </c>
      <c r="D68" s="657"/>
      <c r="E68" s="595">
        <f t="shared" ref="E68:E76" si="26">FORECAST(A68,$D$67:$D$77,$A$67:$A$77)</f>
        <v>-3.8151933400000075</v>
      </c>
      <c r="F68" s="657"/>
      <c r="G68" s="595">
        <f>FORECAST($A68,F$67:F$77,$A$67:$A$77)</f>
        <v>-6.9472179654000001</v>
      </c>
      <c r="H68" s="594"/>
      <c r="I68" s="595">
        <f>FORECAST($A68,H$67:H$77,$A$67:$A$77)</f>
        <v>-16.41799999999995</v>
      </c>
    </row>
    <row r="69" spans="1:9" x14ac:dyDescent="0.25">
      <c r="A69" s="591">
        <f t="shared" si="0"/>
        <v>2072</v>
      </c>
      <c r="B69" s="592"/>
      <c r="C69" s="593">
        <f t="shared" ref="C69:C76" si="27">FORECAST(A69,$B$67:$B$77,$A$67:$A$77)</f>
        <v>-1.8285702502000163</v>
      </c>
      <c r="D69" s="657"/>
      <c r="E69" s="595">
        <f t="shared" si="26"/>
        <v>-3.8733072800000059</v>
      </c>
      <c r="F69" s="657"/>
      <c r="G69" s="595">
        <f t="shared" ref="G69:G76" si="28">FORECAST($A69,$F$67:$F$77,$A$67:$A$77)</f>
        <v>-7.354067544799932</v>
      </c>
      <c r="H69" s="594"/>
      <c r="I69" s="595">
        <f t="shared" ref="I69:I76" si="29">FORECAST($A69,H$67:H$77,$A$67:$A$77)</f>
        <v>-16.585999999999956</v>
      </c>
    </row>
    <row r="70" spans="1:9" x14ac:dyDescent="0.25">
      <c r="A70" s="591">
        <f t="shared" si="0"/>
        <v>2073</v>
      </c>
      <c r="B70" s="592"/>
      <c r="C70" s="593">
        <f t="shared" si="27"/>
        <v>-1.9077745233000201</v>
      </c>
      <c r="D70" s="657"/>
      <c r="E70" s="595">
        <f t="shared" si="26"/>
        <v>-3.9314212200000043</v>
      </c>
      <c r="F70" s="657"/>
      <c r="G70" s="595">
        <f t="shared" si="28"/>
        <v>-7.7609171241999775</v>
      </c>
      <c r="H70" s="594"/>
      <c r="I70" s="595">
        <f t="shared" si="29"/>
        <v>-16.753999999999962</v>
      </c>
    </row>
    <row r="71" spans="1:9" x14ac:dyDescent="0.25">
      <c r="A71" s="591">
        <f t="shared" si="0"/>
        <v>2074</v>
      </c>
      <c r="B71" s="592"/>
      <c r="C71" s="593">
        <f t="shared" si="27"/>
        <v>-1.9869787964000238</v>
      </c>
      <c r="D71" s="657"/>
      <c r="E71" s="595">
        <f t="shared" si="26"/>
        <v>-3.9895351600000026</v>
      </c>
      <c r="F71" s="657"/>
      <c r="G71" s="595">
        <f t="shared" si="28"/>
        <v>-8.167766703600023</v>
      </c>
      <c r="H71" s="594"/>
      <c r="I71" s="595">
        <f t="shared" si="29"/>
        <v>-16.921999999999969</v>
      </c>
    </row>
    <row r="72" spans="1:9" x14ac:dyDescent="0.25">
      <c r="A72" s="591">
        <f t="shared" si="0"/>
        <v>2075</v>
      </c>
      <c r="B72" s="592"/>
      <c r="C72" s="593">
        <f t="shared" si="27"/>
        <v>-2.0661830694999992</v>
      </c>
      <c r="D72" s="657"/>
      <c r="E72" s="595">
        <f t="shared" si="26"/>
        <v>-4.047649100000001</v>
      </c>
      <c r="F72" s="657"/>
      <c r="G72" s="595">
        <f t="shared" si="28"/>
        <v>-8.5746162829999548</v>
      </c>
      <c r="H72" s="594"/>
      <c r="I72" s="595">
        <f t="shared" si="29"/>
        <v>-17.089999999999975</v>
      </c>
    </row>
    <row r="73" spans="1:9" x14ac:dyDescent="0.25">
      <c r="A73" s="591">
        <f t="shared" ref="A73:A97" si="30">A72+1</f>
        <v>2076</v>
      </c>
      <c r="B73" s="592"/>
      <c r="C73" s="593">
        <f t="shared" si="27"/>
        <v>-2.145387342600003</v>
      </c>
      <c r="D73" s="657"/>
      <c r="E73" s="595">
        <f t="shared" si="26"/>
        <v>-4.1057630399999994</v>
      </c>
      <c r="F73" s="657"/>
      <c r="G73" s="595">
        <f t="shared" si="28"/>
        <v>-8.9814658624000003</v>
      </c>
      <c r="H73" s="594"/>
      <c r="I73" s="595">
        <f t="shared" si="29"/>
        <v>-17.257999999999981</v>
      </c>
    </row>
    <row r="74" spans="1:9" x14ac:dyDescent="0.25">
      <c r="A74" s="591">
        <f t="shared" si="30"/>
        <v>2077</v>
      </c>
      <c r="B74" s="592"/>
      <c r="C74" s="593">
        <f t="shared" si="27"/>
        <v>-2.2245916157000067</v>
      </c>
      <c r="D74" s="657"/>
      <c r="E74" s="595">
        <f t="shared" si="26"/>
        <v>-4.1638769799999977</v>
      </c>
      <c r="F74" s="657"/>
      <c r="G74" s="595">
        <f t="shared" si="28"/>
        <v>-9.3883154417999322</v>
      </c>
      <c r="H74" s="594"/>
      <c r="I74" s="595">
        <f t="shared" si="29"/>
        <v>-17.425999999999988</v>
      </c>
    </row>
    <row r="75" spans="1:9" x14ac:dyDescent="0.25">
      <c r="A75" s="591">
        <f t="shared" si="30"/>
        <v>2078</v>
      </c>
      <c r="B75" s="592"/>
      <c r="C75" s="593">
        <f t="shared" si="27"/>
        <v>-2.3037958888000105</v>
      </c>
      <c r="D75" s="657"/>
      <c r="E75" s="595">
        <f t="shared" si="26"/>
        <v>-4.2219909199999961</v>
      </c>
      <c r="F75" s="657"/>
      <c r="G75" s="595">
        <f t="shared" si="28"/>
        <v>-9.7951650211999777</v>
      </c>
      <c r="H75" s="594"/>
      <c r="I75" s="595">
        <f t="shared" si="29"/>
        <v>-17.593999999999994</v>
      </c>
    </row>
    <row r="76" spans="1:9" x14ac:dyDescent="0.25">
      <c r="A76" s="591">
        <f t="shared" si="30"/>
        <v>2079</v>
      </c>
      <c r="B76" s="592"/>
      <c r="C76" s="593">
        <f t="shared" si="27"/>
        <v>-2.3830001619000143</v>
      </c>
      <c r="D76" s="657"/>
      <c r="E76" s="595">
        <f t="shared" si="26"/>
        <v>-4.2801048599999945</v>
      </c>
      <c r="F76" s="657"/>
      <c r="G76" s="595">
        <f t="shared" si="28"/>
        <v>-10.202014600600023</v>
      </c>
      <c r="H76" s="594"/>
      <c r="I76" s="595">
        <f t="shared" si="29"/>
        <v>-17.762</v>
      </c>
    </row>
    <row r="77" spans="1:9" x14ac:dyDescent="0.25">
      <c r="A77" s="596">
        <f t="shared" si="30"/>
        <v>2080</v>
      </c>
      <c r="B77" s="597">
        <f>HLOOKUP(A77,'IPCC SR15 data'!$G$1:$Y$75,39,1)/1000</f>
        <v>-2.4622044350000003</v>
      </c>
      <c r="C77" s="597">
        <f>B77</f>
        <v>-2.4622044350000003</v>
      </c>
      <c r="D77" s="658">
        <f>HLOOKUP(A77,'IPCC SR15 data'!$G$1:$Y$75,3,1)/1000</f>
        <v>-4.3382187999999999</v>
      </c>
      <c r="E77" s="598">
        <f>D77</f>
        <v>-4.3382187999999999</v>
      </c>
      <c r="F77" s="658">
        <f>'IPCC SR15 data'!U37/1000</f>
        <v>-10.608864180000001</v>
      </c>
      <c r="G77" s="598">
        <f>F77</f>
        <v>-10.608864180000001</v>
      </c>
      <c r="H77" s="597">
        <f>'IPCC SR15 data'!U57/1000</f>
        <v>-17.93</v>
      </c>
      <c r="I77" s="598">
        <f>H77</f>
        <v>-17.93</v>
      </c>
    </row>
    <row r="78" spans="1:9" x14ac:dyDescent="0.25">
      <c r="A78" s="591">
        <f t="shared" si="30"/>
        <v>2081</v>
      </c>
      <c r="B78" s="592"/>
      <c r="C78" s="593">
        <f>FORECAST(A78,$B$77:$B$87,$A$77:$A$87)</f>
        <v>-2.5462090075000106</v>
      </c>
      <c r="D78" s="657"/>
      <c r="E78" s="595">
        <f t="shared" ref="E78:E86" si="31">FORECAST(A78,$D$77:$D$87,$A$77:$A$87)</f>
        <v>-4.3434462000000007</v>
      </c>
      <c r="F78" s="657"/>
      <c r="G78" s="595">
        <f>FORECAST($A78,F$77:F$87,$A$77:$A$87)</f>
        <v>-10.789065820000019</v>
      </c>
      <c r="H78" s="594"/>
      <c r="I78" s="595">
        <f>FORECAST($A78,H$77:H$87,$A$77:$A$87)</f>
        <v>-18.091999999999985</v>
      </c>
    </row>
    <row r="79" spans="1:9" x14ac:dyDescent="0.25">
      <c r="A79" s="591">
        <f t="shared" si="30"/>
        <v>2082</v>
      </c>
      <c r="B79" s="592"/>
      <c r="C79" s="593">
        <f t="shared" ref="C79:C86" si="32">FORECAST(A79,$B$77:$B$87,$A$77:$A$87)</f>
        <v>-2.630213580000003</v>
      </c>
      <c r="D79" s="657"/>
      <c r="E79" s="595">
        <f t="shared" si="31"/>
        <v>-4.3486736000000015</v>
      </c>
      <c r="F79" s="657"/>
      <c r="G79" s="595">
        <f t="shared" ref="G79:G86" si="33">FORECAST($A79,$F$77:$F$87,$A$77:$A$87)</f>
        <v>-10.969267460000026</v>
      </c>
      <c r="H79" s="594"/>
      <c r="I79" s="595">
        <f t="shared" ref="I79:I86" si="34">FORECAST($A79,H$77:H$87,$A$77:$A$87)</f>
        <v>-18.253999999999962</v>
      </c>
    </row>
    <row r="80" spans="1:9" x14ac:dyDescent="0.25">
      <c r="A80" s="591">
        <f t="shared" si="30"/>
        <v>2083</v>
      </c>
      <c r="B80" s="592"/>
      <c r="C80" s="593">
        <f t="shared" si="32"/>
        <v>-2.7142181524999955</v>
      </c>
      <c r="D80" s="657"/>
      <c r="E80" s="595">
        <f t="shared" si="31"/>
        <v>-4.3539010000000005</v>
      </c>
      <c r="F80" s="657"/>
      <c r="G80" s="595">
        <f t="shared" si="33"/>
        <v>-11.149469100000033</v>
      </c>
      <c r="H80" s="594"/>
      <c r="I80" s="595">
        <f t="shared" si="34"/>
        <v>-18.415999999999997</v>
      </c>
    </row>
    <row r="81" spans="1:9" x14ac:dyDescent="0.25">
      <c r="A81" s="591">
        <f t="shared" si="30"/>
        <v>2084</v>
      </c>
      <c r="B81" s="592"/>
      <c r="C81" s="593">
        <f t="shared" si="32"/>
        <v>-2.798222724999988</v>
      </c>
      <c r="D81" s="657"/>
      <c r="E81" s="595">
        <f t="shared" si="31"/>
        <v>-4.3591284000000012</v>
      </c>
      <c r="F81" s="657"/>
      <c r="G81" s="595">
        <f t="shared" si="33"/>
        <v>-11.329670739999983</v>
      </c>
      <c r="H81" s="594"/>
      <c r="I81" s="595">
        <f t="shared" si="34"/>
        <v>-18.577999999999975</v>
      </c>
    </row>
    <row r="82" spans="1:9" x14ac:dyDescent="0.25">
      <c r="A82" s="591">
        <f t="shared" si="30"/>
        <v>2085</v>
      </c>
      <c r="B82" s="592"/>
      <c r="C82" s="593">
        <f t="shared" si="32"/>
        <v>-2.8822272975000089</v>
      </c>
      <c r="D82" s="657"/>
      <c r="E82" s="595">
        <f t="shared" si="31"/>
        <v>-4.3643558000000002</v>
      </c>
      <c r="F82" s="657"/>
      <c r="G82" s="595">
        <f t="shared" si="33"/>
        <v>-11.50987237999999</v>
      </c>
      <c r="H82" s="594"/>
      <c r="I82" s="595">
        <f t="shared" si="34"/>
        <v>-18.740000000000009</v>
      </c>
    </row>
    <row r="83" spans="1:9" x14ac:dyDescent="0.25">
      <c r="A83" s="591">
        <f t="shared" si="30"/>
        <v>2086</v>
      </c>
      <c r="B83" s="592"/>
      <c r="C83" s="593">
        <f t="shared" si="32"/>
        <v>-2.9662318700000014</v>
      </c>
      <c r="D83" s="657"/>
      <c r="E83" s="595">
        <f t="shared" si="31"/>
        <v>-4.369583200000001</v>
      </c>
      <c r="F83" s="657"/>
      <c r="G83" s="595">
        <f t="shared" si="33"/>
        <v>-11.690074019999997</v>
      </c>
      <c r="H83" s="594"/>
      <c r="I83" s="595">
        <f t="shared" si="34"/>
        <v>-18.901999999999987</v>
      </c>
    </row>
    <row r="84" spans="1:9" x14ac:dyDescent="0.25">
      <c r="A84" s="591">
        <f t="shared" si="30"/>
        <v>2087</v>
      </c>
      <c r="B84" s="592"/>
      <c r="C84" s="593">
        <f t="shared" si="32"/>
        <v>-3.0502364424999939</v>
      </c>
      <c r="D84" s="657"/>
      <c r="E84" s="595">
        <f t="shared" si="31"/>
        <v>-4.3748106</v>
      </c>
      <c r="F84" s="657"/>
      <c r="G84" s="595">
        <f t="shared" si="33"/>
        <v>-11.870275660000004</v>
      </c>
      <c r="H84" s="594"/>
      <c r="I84" s="595">
        <f t="shared" si="34"/>
        <v>-19.063999999999965</v>
      </c>
    </row>
    <row r="85" spans="1:9" x14ac:dyDescent="0.25">
      <c r="A85" s="591">
        <f t="shared" si="30"/>
        <v>2088</v>
      </c>
      <c r="B85" s="592"/>
      <c r="C85" s="593">
        <f t="shared" si="32"/>
        <v>-3.1342410150000148</v>
      </c>
      <c r="D85" s="657"/>
      <c r="E85" s="595">
        <f t="shared" si="31"/>
        <v>-4.3800380000000008</v>
      </c>
      <c r="F85" s="657"/>
      <c r="G85" s="595">
        <f t="shared" si="33"/>
        <v>-12.050477300000011</v>
      </c>
      <c r="H85" s="594"/>
      <c r="I85" s="595">
        <f t="shared" si="34"/>
        <v>-19.225999999999999</v>
      </c>
    </row>
    <row r="86" spans="1:9" x14ac:dyDescent="0.25">
      <c r="A86" s="591">
        <f t="shared" si="30"/>
        <v>2089</v>
      </c>
      <c r="B86" s="592"/>
      <c r="C86" s="593">
        <f t="shared" si="32"/>
        <v>-3.2182455875000073</v>
      </c>
      <c r="D86" s="657"/>
      <c r="E86" s="595">
        <f t="shared" si="31"/>
        <v>-4.3852654000000015</v>
      </c>
      <c r="F86" s="657"/>
      <c r="G86" s="595">
        <f t="shared" si="33"/>
        <v>-12.230678940000018</v>
      </c>
      <c r="H86" s="594"/>
      <c r="I86" s="595">
        <f t="shared" si="34"/>
        <v>-19.387999999999977</v>
      </c>
    </row>
    <row r="87" spans="1:9" x14ac:dyDescent="0.25">
      <c r="A87" s="596">
        <f t="shared" si="30"/>
        <v>2090</v>
      </c>
      <c r="B87" s="597">
        <f>HLOOKUP(A87,'IPCC SR15 data'!$G$1:$Y$75,39,1)/1000</f>
        <v>-3.3022501600000003</v>
      </c>
      <c r="C87" s="597">
        <f>B87</f>
        <v>-3.3022501600000003</v>
      </c>
      <c r="D87" s="658">
        <f>HLOOKUP(A87,'IPCC SR15 data'!$G$1:$Y$75,3,1)/1000</f>
        <v>-4.3904927999999996</v>
      </c>
      <c r="E87" s="598">
        <f>D87</f>
        <v>-4.3904927999999996</v>
      </c>
      <c r="F87" s="658">
        <f>'IPCC SR15 data'!W37/1000</f>
        <v>-12.410880579999999</v>
      </c>
      <c r="G87" s="598">
        <f>F87</f>
        <v>-12.410880579999999</v>
      </c>
      <c r="H87" s="597">
        <f>'IPCC SR15 data'!W57/1000</f>
        <v>-19.55</v>
      </c>
      <c r="I87" s="598">
        <f>H87</f>
        <v>-19.55</v>
      </c>
    </row>
    <row r="88" spans="1:9" x14ac:dyDescent="0.25">
      <c r="A88" s="591">
        <f t="shared" si="30"/>
        <v>2091</v>
      </c>
      <c r="B88" s="592"/>
      <c r="C88" s="593">
        <f>FORECAST(A88,$B$87:$B$97,$A$87:$A$97)</f>
        <v>-3.3244737794000017</v>
      </c>
      <c r="D88" s="657"/>
      <c r="E88" s="595">
        <f>FORECAST(A88,$D$87:$D$97,$A$87:$A$97)</f>
        <v>-4.3989309299999988</v>
      </c>
      <c r="F88" s="657"/>
      <c r="G88" s="595">
        <f>FORECAST($A88,F$87:F$97,$A$87:$A$97)</f>
        <v>-12.474681510000011</v>
      </c>
      <c r="H88" s="594"/>
      <c r="I88" s="595">
        <f>FORECAST($A88,H$87:H$97,$A$87:$A$97)</f>
        <v>-19.725999999999999</v>
      </c>
    </row>
    <row r="89" spans="1:9" x14ac:dyDescent="0.25">
      <c r="A89" s="591">
        <f t="shared" si="30"/>
        <v>2092</v>
      </c>
      <c r="B89" s="592"/>
      <c r="C89" s="593">
        <f t="shared" ref="C89:C96" si="35">FORECAST(A89,$B$87:$B$97,$A$87:$A$97)</f>
        <v>-3.3466973987999964</v>
      </c>
      <c r="D89" s="657"/>
      <c r="E89" s="595">
        <f t="shared" ref="E89:E96" si="36">FORECAST(A89,$D$87:$D$97,$A$87:$A$97)</f>
        <v>-4.4073690600000006</v>
      </c>
      <c r="F89" s="657"/>
      <c r="G89" s="595">
        <f t="shared" ref="G89:G96" si="37">FORECAST($A89,$F$87:$F$97,$A$87:$A$97)</f>
        <v>-12.538482439999996</v>
      </c>
      <c r="H89" s="594"/>
      <c r="I89" s="595">
        <f t="shared" ref="I89:I96" si="38">FORECAST($A89,H$87:H$97,$A$87:$A$97)</f>
        <v>-19.901999999999987</v>
      </c>
    </row>
    <row r="90" spans="1:9" x14ac:dyDescent="0.25">
      <c r="A90" s="591">
        <f t="shared" si="30"/>
        <v>2093</v>
      </c>
      <c r="B90" s="592"/>
      <c r="C90" s="593">
        <f t="shared" si="35"/>
        <v>-3.3689210181999982</v>
      </c>
      <c r="D90" s="657"/>
      <c r="E90" s="595">
        <f t="shared" si="36"/>
        <v>-4.4158071900000024</v>
      </c>
      <c r="F90" s="657"/>
      <c r="G90" s="595">
        <f t="shared" si="37"/>
        <v>-12.602283370000009</v>
      </c>
      <c r="H90" s="594"/>
      <c r="I90" s="595">
        <f t="shared" si="38"/>
        <v>-20.078000000000031</v>
      </c>
    </row>
    <row r="91" spans="1:9" x14ac:dyDescent="0.25">
      <c r="A91" s="591">
        <f t="shared" si="30"/>
        <v>2094</v>
      </c>
      <c r="B91" s="592"/>
      <c r="C91" s="593">
        <f t="shared" si="35"/>
        <v>-3.3911446376000001</v>
      </c>
      <c r="D91" s="657"/>
      <c r="E91" s="595">
        <f t="shared" si="36"/>
        <v>-4.4242453200000007</v>
      </c>
      <c r="F91" s="657"/>
      <c r="G91" s="595">
        <f t="shared" si="37"/>
        <v>-12.666084299999994</v>
      </c>
      <c r="H91" s="594"/>
      <c r="I91" s="595">
        <f t="shared" si="38"/>
        <v>-20.254000000000019</v>
      </c>
    </row>
    <row r="92" spans="1:9" x14ac:dyDescent="0.25">
      <c r="A92" s="591">
        <f t="shared" si="30"/>
        <v>2095</v>
      </c>
      <c r="B92" s="592"/>
      <c r="C92" s="593">
        <f t="shared" si="35"/>
        <v>-3.4133682570000019</v>
      </c>
      <c r="D92" s="657"/>
      <c r="E92" s="595">
        <f t="shared" si="36"/>
        <v>-4.432683449999999</v>
      </c>
      <c r="F92" s="657"/>
      <c r="G92" s="595">
        <f t="shared" si="37"/>
        <v>-12.729885230000008</v>
      </c>
      <c r="H92" s="594"/>
      <c r="I92" s="595">
        <f t="shared" si="38"/>
        <v>-20.430000000000007</v>
      </c>
    </row>
    <row r="93" spans="1:9" x14ac:dyDescent="0.25">
      <c r="A93" s="591">
        <f t="shared" si="30"/>
        <v>2096</v>
      </c>
      <c r="B93" s="592"/>
      <c r="C93" s="593">
        <f t="shared" si="35"/>
        <v>-3.4355918763999966</v>
      </c>
      <c r="D93" s="657"/>
      <c r="E93" s="595">
        <f t="shared" si="36"/>
        <v>-4.4411215800000008</v>
      </c>
      <c r="F93" s="657"/>
      <c r="G93" s="595">
        <f t="shared" si="37"/>
        <v>-12.793686160000021</v>
      </c>
      <c r="H93" s="594"/>
      <c r="I93" s="595">
        <f t="shared" si="38"/>
        <v>-20.605999999999995</v>
      </c>
    </row>
    <row r="94" spans="1:9" x14ac:dyDescent="0.25">
      <c r="A94" s="591">
        <f t="shared" si="30"/>
        <v>2097</v>
      </c>
      <c r="B94" s="592"/>
      <c r="C94" s="593">
        <f t="shared" si="35"/>
        <v>-3.4578154957999985</v>
      </c>
      <c r="D94" s="657"/>
      <c r="E94" s="595">
        <f t="shared" si="36"/>
        <v>-4.4495597100000026</v>
      </c>
      <c r="F94" s="657"/>
      <c r="G94" s="595">
        <f t="shared" si="37"/>
        <v>-12.857487090000006</v>
      </c>
      <c r="H94" s="594"/>
      <c r="I94" s="595">
        <f t="shared" si="38"/>
        <v>-20.781999999999982</v>
      </c>
    </row>
    <row r="95" spans="1:9" x14ac:dyDescent="0.25">
      <c r="A95" s="591">
        <f t="shared" si="30"/>
        <v>2098</v>
      </c>
      <c r="B95" s="592"/>
      <c r="C95" s="593">
        <f t="shared" si="35"/>
        <v>-3.4800391152000003</v>
      </c>
      <c r="D95" s="657"/>
      <c r="E95" s="595">
        <f t="shared" si="36"/>
        <v>-4.4579978400000009</v>
      </c>
      <c r="F95" s="657"/>
      <c r="G95" s="595">
        <f t="shared" si="37"/>
        <v>-12.92128802000002</v>
      </c>
      <c r="H95" s="594"/>
      <c r="I95" s="595">
        <f t="shared" si="38"/>
        <v>-20.958000000000027</v>
      </c>
    </row>
    <row r="96" spans="1:9" x14ac:dyDescent="0.25">
      <c r="A96" s="591">
        <f t="shared" si="30"/>
        <v>2099</v>
      </c>
      <c r="B96" s="592"/>
      <c r="C96" s="593">
        <f t="shared" si="35"/>
        <v>-3.5022627346000021</v>
      </c>
      <c r="D96" s="657"/>
      <c r="E96" s="595">
        <f t="shared" si="36"/>
        <v>-4.4664359699999991</v>
      </c>
      <c r="F96" s="657"/>
      <c r="G96" s="595">
        <f t="shared" si="37"/>
        <v>-12.985088950000005</v>
      </c>
      <c r="H96" s="594"/>
      <c r="I96" s="595">
        <f t="shared" si="38"/>
        <v>-21.134000000000015</v>
      </c>
    </row>
    <row r="97" spans="1:9" x14ac:dyDescent="0.25">
      <c r="A97" s="599">
        <f t="shared" si="30"/>
        <v>2100</v>
      </c>
      <c r="B97" s="600">
        <f>HLOOKUP(A97,'IPCC SR15 data'!$G$1:$Y$75,39,1)/1000</f>
        <v>-3.524486354</v>
      </c>
      <c r="C97" s="600">
        <f>B97</f>
        <v>-3.524486354</v>
      </c>
      <c r="D97" s="659">
        <f>HLOOKUP(A97,'IPCC SR15 data'!$G$1:$Y$75,3,1)/1000</f>
        <v>-4.4748741000000001</v>
      </c>
      <c r="E97" s="601">
        <f>D97</f>
        <v>-4.4748741000000001</v>
      </c>
      <c r="F97" s="659">
        <f>'IPCC SR15 data'!Y37/1000</f>
        <v>-13.048889880000001</v>
      </c>
      <c r="G97" s="601">
        <f>F97</f>
        <v>-13.048889880000001</v>
      </c>
      <c r="H97" s="600">
        <f>'IPCC SR15 data'!Y57/1000</f>
        <v>-21.31</v>
      </c>
      <c r="I97" s="601">
        <f>H97</f>
        <v>-21.31</v>
      </c>
    </row>
    <row r="98" spans="1:9" x14ac:dyDescent="0.25">
      <c r="A98" s="591" t="s">
        <v>277</v>
      </c>
      <c r="B98" s="602"/>
      <c r="C98" s="603">
        <f>SUM(C15:C97)</f>
        <v>470.23942765139708</v>
      </c>
      <c r="D98" s="660"/>
      <c r="E98" s="604">
        <f>SUM(E15:E97)</f>
        <v>398.3517015600018</v>
      </c>
      <c r="F98" s="660"/>
      <c r="G98" s="604">
        <f>SUM(G15:G97)</f>
        <v>313.6844947369944</v>
      </c>
      <c r="H98" s="603"/>
      <c r="I98" s="604">
        <f>SUM(I15:I97)</f>
        <v>125.48600000000039</v>
      </c>
    </row>
    <row r="99" spans="1:9" x14ac:dyDescent="0.25">
      <c r="A99" s="605" t="s">
        <v>278</v>
      </c>
      <c r="B99" s="606"/>
      <c r="C99" s="607">
        <f>SUMIF(C7:C97,"&lt;0")</f>
        <v>-94.103516559580441</v>
      </c>
      <c r="D99" s="661"/>
      <c r="E99" s="608">
        <f>SUMIF(E7:E97,"&lt;0")</f>
        <v>-166.40831379999989</v>
      </c>
      <c r="F99" s="661"/>
      <c r="G99" s="608">
        <f>SUMIF(G7:G97,"&lt;0")</f>
        <v>-377.11327837220091</v>
      </c>
      <c r="H99" s="607"/>
      <c r="I99" s="608">
        <f>SUMIF(I7:I97,"&lt;0")</f>
        <v>-777.26199999999994</v>
      </c>
    </row>
  </sheetData>
  <mergeCells count="1">
    <mergeCell ref="E4:G4"/>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8" tint="-0.249977111117893"/>
  </sheetPr>
  <dimension ref="A1:Y114"/>
  <sheetViews>
    <sheetView workbookViewId="0"/>
  </sheetViews>
  <sheetFormatPr baseColWidth="10" defaultRowHeight="15.75" x14ac:dyDescent="0.25"/>
  <cols>
    <col min="1" max="1" width="25.140625" style="581" bestFit="1" customWidth="1"/>
    <col min="2" max="2" width="36.85546875" style="581" bestFit="1" customWidth="1"/>
    <col min="3" max="3" width="5" style="581" bestFit="1" customWidth="1"/>
    <col min="4" max="4" width="7.42578125" style="581" bestFit="1" customWidth="1"/>
    <col min="5" max="5" width="15.28515625" style="581" bestFit="1" customWidth="1"/>
    <col min="6" max="6" width="10.7109375" style="581" bestFit="1" customWidth="1"/>
    <col min="7" max="16384" width="11.42578125" style="581"/>
  </cols>
  <sheetData>
    <row r="1" spans="1:25" x14ac:dyDescent="0.25">
      <c r="A1" s="581" t="s">
        <v>186</v>
      </c>
      <c r="B1" s="581" t="s">
        <v>187</v>
      </c>
      <c r="C1" s="581" t="s">
        <v>157</v>
      </c>
      <c r="D1" s="581" t="s">
        <v>188</v>
      </c>
      <c r="E1" s="581" t="s">
        <v>189</v>
      </c>
      <c r="F1" s="581" t="s">
        <v>190</v>
      </c>
      <c r="G1" s="582">
        <v>2010</v>
      </c>
      <c r="H1" s="582">
        <f>G1+5</f>
        <v>2015</v>
      </c>
      <c r="I1" s="582">
        <f t="shared" ref="I1:Y1" si="0">H1+5</f>
        <v>2020</v>
      </c>
      <c r="J1" s="582">
        <f t="shared" si="0"/>
        <v>2025</v>
      </c>
      <c r="K1" s="582">
        <f t="shared" si="0"/>
        <v>2030</v>
      </c>
      <c r="L1" s="582">
        <f t="shared" si="0"/>
        <v>2035</v>
      </c>
      <c r="M1" s="582">
        <f t="shared" si="0"/>
        <v>2040</v>
      </c>
      <c r="N1" s="582">
        <f t="shared" si="0"/>
        <v>2045</v>
      </c>
      <c r="O1" s="582">
        <f t="shared" si="0"/>
        <v>2050</v>
      </c>
      <c r="P1" s="582">
        <f t="shared" si="0"/>
        <v>2055</v>
      </c>
      <c r="Q1" s="582">
        <f t="shared" si="0"/>
        <v>2060</v>
      </c>
      <c r="R1" s="582">
        <f t="shared" si="0"/>
        <v>2065</v>
      </c>
      <c r="S1" s="582">
        <f t="shared" si="0"/>
        <v>2070</v>
      </c>
      <c r="T1" s="582">
        <f t="shared" si="0"/>
        <v>2075</v>
      </c>
      <c r="U1" s="582">
        <f t="shared" si="0"/>
        <v>2080</v>
      </c>
      <c r="V1" s="582">
        <f t="shared" si="0"/>
        <v>2085</v>
      </c>
      <c r="W1" s="582">
        <f t="shared" si="0"/>
        <v>2090</v>
      </c>
      <c r="X1" s="582">
        <f t="shared" si="0"/>
        <v>2095</v>
      </c>
      <c r="Y1" s="582">
        <f t="shared" si="0"/>
        <v>2100</v>
      </c>
    </row>
    <row r="2" spans="1:25" x14ac:dyDescent="0.25">
      <c r="A2" s="581" t="s">
        <v>191</v>
      </c>
      <c r="B2" s="581" t="s">
        <v>192</v>
      </c>
      <c r="D2" s="581" t="s">
        <v>193</v>
      </c>
      <c r="E2" s="581" t="s">
        <v>194</v>
      </c>
      <c r="F2" s="581" t="s">
        <v>195</v>
      </c>
      <c r="G2" s="662">
        <v>38148.946499999998</v>
      </c>
      <c r="H2" s="662">
        <v>41270.106299999999</v>
      </c>
      <c r="I2" s="662">
        <v>43907.550300000003</v>
      </c>
      <c r="J2" s="662">
        <v>30788.225600000002</v>
      </c>
      <c r="K2" s="662">
        <v>21076.126799999998</v>
      </c>
      <c r="L2" s="662">
        <v>12666.2737</v>
      </c>
      <c r="M2" s="662">
        <v>5447.7891</v>
      </c>
      <c r="N2" s="662">
        <v>-543.68709999999999</v>
      </c>
      <c r="O2" s="662">
        <v>-413.24380000000002</v>
      </c>
      <c r="P2" s="662">
        <v>-3728.9052999999999</v>
      </c>
      <c r="Q2" s="662">
        <v>-5258.9562999999998</v>
      </c>
      <c r="R2" s="662">
        <v>-6501.4727999999996</v>
      </c>
      <c r="S2" s="662">
        <v>-7657.0573999999997</v>
      </c>
      <c r="T2" s="662">
        <v>-8285.7705999999998</v>
      </c>
      <c r="U2" s="662">
        <v>-8418.9858000000004</v>
      </c>
      <c r="V2" s="662">
        <v>-9072.2250999999997</v>
      </c>
      <c r="W2" s="662">
        <v>-9964.3564000000006</v>
      </c>
      <c r="X2" s="662">
        <v>-8276.8093000000008</v>
      </c>
      <c r="Y2" s="662">
        <v>-8611.3822999999993</v>
      </c>
    </row>
    <row r="3" spans="1:25" s="583" customFormat="1" x14ac:dyDescent="0.25">
      <c r="A3" s="583" t="s">
        <v>191</v>
      </c>
      <c r="B3" s="583" t="s">
        <v>196</v>
      </c>
      <c r="C3" s="583" t="s">
        <v>197</v>
      </c>
      <c r="D3" s="583" t="s">
        <v>193</v>
      </c>
      <c r="E3" s="583" t="s">
        <v>194</v>
      </c>
      <c r="F3" s="583" t="s">
        <v>195</v>
      </c>
      <c r="G3" s="663">
        <v>35782.648500000003</v>
      </c>
      <c r="H3" s="663" t="s">
        <v>198</v>
      </c>
      <c r="I3" s="663">
        <v>37233.889799999997</v>
      </c>
      <c r="J3" s="663" t="s">
        <v>198</v>
      </c>
      <c r="K3" s="663">
        <v>19057.493299999998</v>
      </c>
      <c r="L3" s="663" t="s">
        <v>198</v>
      </c>
      <c r="M3" s="663">
        <v>8229.32</v>
      </c>
      <c r="N3" s="663" t="s">
        <v>198</v>
      </c>
      <c r="O3" s="663">
        <v>1794.6177</v>
      </c>
      <c r="P3" s="663" t="s">
        <v>198</v>
      </c>
      <c r="Q3" s="663">
        <v>-2181.1691999999998</v>
      </c>
      <c r="R3" s="663" t="s">
        <v>198</v>
      </c>
      <c r="S3" s="663">
        <v>-3757.0794000000001</v>
      </c>
      <c r="T3" s="663" t="s">
        <v>198</v>
      </c>
      <c r="U3" s="663">
        <v>-4338.2187999999996</v>
      </c>
      <c r="V3" s="663" t="s">
        <v>198</v>
      </c>
      <c r="W3" s="663">
        <v>-4390.4928</v>
      </c>
      <c r="X3" s="663" t="s">
        <v>198</v>
      </c>
      <c r="Y3" s="663">
        <v>-4474.8741</v>
      </c>
    </row>
    <row r="4" spans="1:25" x14ac:dyDescent="0.25">
      <c r="A4" s="581" t="s">
        <v>191</v>
      </c>
      <c r="B4" s="581" t="s">
        <v>199</v>
      </c>
      <c r="D4" s="581" t="s">
        <v>193</v>
      </c>
      <c r="E4" s="581" t="s">
        <v>194</v>
      </c>
      <c r="F4" s="581" t="s">
        <v>195</v>
      </c>
      <c r="G4" s="662">
        <v>38205.410199999998</v>
      </c>
      <c r="H4" s="662" t="s">
        <v>198</v>
      </c>
      <c r="I4" s="662">
        <v>43338.075700000001</v>
      </c>
      <c r="J4" s="662" t="s">
        <v>198</v>
      </c>
      <c r="K4" s="662">
        <v>20138.552299999999</v>
      </c>
      <c r="L4" s="662" t="s">
        <v>198</v>
      </c>
      <c r="M4" s="662">
        <v>8223.1919999999991</v>
      </c>
      <c r="N4" s="662" t="s">
        <v>198</v>
      </c>
      <c r="O4" s="662">
        <v>399.23750000000001</v>
      </c>
      <c r="P4" s="662" t="s">
        <v>198</v>
      </c>
      <c r="Q4" s="662">
        <v>-4896.1063999999997</v>
      </c>
      <c r="R4" s="662" t="s">
        <v>198</v>
      </c>
      <c r="S4" s="662">
        <v>-7038.6183000000001</v>
      </c>
      <c r="T4" s="662" t="s">
        <v>198</v>
      </c>
      <c r="U4" s="662">
        <v>-7989.1827000000003</v>
      </c>
      <c r="V4" s="662" t="s">
        <v>198</v>
      </c>
      <c r="W4" s="662">
        <v>-8407.2674999999999</v>
      </c>
      <c r="X4" s="662" t="s">
        <v>198</v>
      </c>
      <c r="Y4" s="662">
        <v>-8986.8595999999998</v>
      </c>
    </row>
    <row r="5" spans="1:25" x14ac:dyDescent="0.25">
      <c r="A5" s="581" t="s">
        <v>200</v>
      </c>
      <c r="B5" s="581" t="s">
        <v>201</v>
      </c>
      <c r="D5" s="581" t="s">
        <v>193</v>
      </c>
      <c r="E5" s="581" t="s">
        <v>194</v>
      </c>
      <c r="F5" s="581" t="s">
        <v>195</v>
      </c>
      <c r="G5" s="662">
        <v>33910.33</v>
      </c>
      <c r="H5" s="662">
        <v>36077.260699999999</v>
      </c>
      <c r="I5" s="662">
        <v>38682.763599999998</v>
      </c>
      <c r="J5" s="662">
        <v>29352.4509</v>
      </c>
      <c r="K5" s="662">
        <v>21604.8704</v>
      </c>
      <c r="L5" s="662">
        <v>13371.3932</v>
      </c>
      <c r="M5" s="662">
        <v>6795.0826999999999</v>
      </c>
      <c r="N5" s="662">
        <v>-279.43150000000003</v>
      </c>
      <c r="O5" s="662">
        <v>-4957.6403</v>
      </c>
      <c r="P5" s="662">
        <v>-6502.5316000000003</v>
      </c>
      <c r="Q5" s="662">
        <v>-7023.2802000000001</v>
      </c>
      <c r="R5" s="662">
        <v>-7010.6706000000004</v>
      </c>
      <c r="S5" s="662">
        <v>-7004.2178000000004</v>
      </c>
      <c r="T5" s="662">
        <v>-6977.6580000000004</v>
      </c>
      <c r="U5" s="662">
        <v>-6913.2912999999999</v>
      </c>
      <c r="V5" s="662">
        <v>-6879.2389999999996</v>
      </c>
      <c r="W5" s="662">
        <v>-6773.2305999999999</v>
      </c>
      <c r="X5" s="662">
        <v>-6846.3809000000001</v>
      </c>
      <c r="Y5" s="662">
        <v>-6818.7646000000004</v>
      </c>
    </row>
    <row r="6" spans="1:25" x14ac:dyDescent="0.25">
      <c r="A6" s="581" t="s">
        <v>200</v>
      </c>
      <c r="B6" s="581" t="s">
        <v>202</v>
      </c>
      <c r="D6" s="581" t="s">
        <v>193</v>
      </c>
      <c r="E6" s="581" t="s">
        <v>194</v>
      </c>
      <c r="F6" s="581" t="s">
        <v>195</v>
      </c>
      <c r="G6" s="662">
        <v>37824.425900000002</v>
      </c>
      <c r="H6" s="662">
        <v>40688.868499999997</v>
      </c>
      <c r="I6" s="662">
        <v>43736.3442</v>
      </c>
      <c r="J6" s="662">
        <v>32690.451400000002</v>
      </c>
      <c r="K6" s="662">
        <v>25635.644</v>
      </c>
      <c r="L6" s="662">
        <v>14850.990100000001</v>
      </c>
      <c r="M6" s="662">
        <v>14951.0417</v>
      </c>
      <c r="N6" s="662">
        <v>9870.6821999999993</v>
      </c>
      <c r="O6" s="662">
        <v>8028.0765000000001</v>
      </c>
      <c r="P6" s="662">
        <v>2881.9281000000001</v>
      </c>
      <c r="Q6" s="662">
        <v>-97.501499999999993</v>
      </c>
      <c r="R6" s="662">
        <v>-2751.0194999999999</v>
      </c>
      <c r="S6" s="662">
        <v>-3308.3975999999998</v>
      </c>
      <c r="T6" s="662">
        <v>-1656.3051</v>
      </c>
      <c r="U6" s="662">
        <v>-1987.684</v>
      </c>
      <c r="V6" s="662">
        <v>-1279.9679000000001</v>
      </c>
      <c r="W6" s="662">
        <v>-1001.174</v>
      </c>
      <c r="X6" s="662">
        <v>-656.32500000000005</v>
      </c>
      <c r="Y6" s="662">
        <v>-347.19580000000002</v>
      </c>
    </row>
    <row r="7" spans="1:25" x14ac:dyDescent="0.25">
      <c r="A7" s="581" t="s">
        <v>200</v>
      </c>
      <c r="B7" s="581" t="s">
        <v>203</v>
      </c>
      <c r="D7" s="581" t="s">
        <v>193</v>
      </c>
      <c r="E7" s="581" t="s">
        <v>194</v>
      </c>
      <c r="F7" s="581" t="s">
        <v>195</v>
      </c>
      <c r="G7" s="662">
        <v>33899.282700000003</v>
      </c>
      <c r="H7" s="662">
        <v>36228.664100000002</v>
      </c>
      <c r="I7" s="662">
        <v>38995.428200000002</v>
      </c>
      <c r="J7" s="662">
        <v>30261.010200000001</v>
      </c>
      <c r="K7" s="662">
        <v>19725.436300000001</v>
      </c>
      <c r="L7" s="662">
        <v>8663.6334000000006</v>
      </c>
      <c r="M7" s="662">
        <v>6200.6457</v>
      </c>
      <c r="N7" s="662">
        <v>3907.3670999999999</v>
      </c>
      <c r="O7" s="662">
        <v>1749.3975</v>
      </c>
      <c r="P7" s="662">
        <v>-916.71659999999997</v>
      </c>
      <c r="Q7" s="662">
        <v>-2602.2159999999999</v>
      </c>
      <c r="R7" s="662">
        <v>-3774.3033</v>
      </c>
      <c r="S7" s="662">
        <v>-4687.8980000000001</v>
      </c>
      <c r="T7" s="662">
        <v>-5346.2951000000003</v>
      </c>
      <c r="U7" s="662">
        <v>-6078.7119000000002</v>
      </c>
      <c r="V7" s="662">
        <v>-6939.1161000000002</v>
      </c>
      <c r="W7" s="662">
        <v>-7828.8792000000003</v>
      </c>
      <c r="X7" s="662">
        <v>-8814.3516</v>
      </c>
      <c r="Y7" s="662">
        <v>-9040.7774000000009</v>
      </c>
    </row>
    <row r="8" spans="1:25" x14ac:dyDescent="0.25">
      <c r="A8" s="581" t="s">
        <v>200</v>
      </c>
      <c r="B8" s="581" t="s">
        <v>204</v>
      </c>
      <c r="D8" s="581" t="s">
        <v>193</v>
      </c>
      <c r="E8" s="581" t="s">
        <v>194</v>
      </c>
      <c r="F8" s="581" t="s">
        <v>195</v>
      </c>
      <c r="G8" s="662">
        <v>34477.484400000001</v>
      </c>
      <c r="H8" s="662">
        <v>37205.995600000002</v>
      </c>
      <c r="I8" s="662">
        <v>40326.822500000002</v>
      </c>
      <c r="J8" s="662">
        <v>31407.625100000001</v>
      </c>
      <c r="K8" s="662">
        <v>20727.246800000001</v>
      </c>
      <c r="L8" s="662">
        <v>9349.7229000000007</v>
      </c>
      <c r="M8" s="662">
        <v>6751.9642000000003</v>
      </c>
      <c r="N8" s="662">
        <v>4416.3612000000003</v>
      </c>
      <c r="O8" s="662">
        <v>2357.0416</v>
      </c>
      <c r="P8" s="662">
        <v>-11.2104</v>
      </c>
      <c r="Q8" s="662">
        <v>-1600.5369000000001</v>
      </c>
      <c r="R8" s="662">
        <v>-2707.7592</v>
      </c>
      <c r="S8" s="662">
        <v>-3528.2669999999998</v>
      </c>
      <c r="T8" s="662">
        <v>-4290.7939999999999</v>
      </c>
      <c r="U8" s="662">
        <v>-5058.9594999999999</v>
      </c>
      <c r="V8" s="662">
        <v>-5987.2329</v>
      </c>
      <c r="W8" s="662">
        <v>-6944.3885</v>
      </c>
      <c r="X8" s="662">
        <v>-7971.3917000000001</v>
      </c>
      <c r="Y8" s="662">
        <v>-8122.0547999999999</v>
      </c>
    </row>
    <row r="9" spans="1:25" x14ac:dyDescent="0.25">
      <c r="A9" s="581" t="s">
        <v>205</v>
      </c>
      <c r="B9" s="581" t="s">
        <v>206</v>
      </c>
      <c r="D9" s="581" t="s">
        <v>193</v>
      </c>
      <c r="E9" s="581" t="s">
        <v>194</v>
      </c>
      <c r="F9" s="581" t="s">
        <v>195</v>
      </c>
      <c r="G9" s="662">
        <v>36978.6</v>
      </c>
      <c r="H9" s="662">
        <v>39863.9</v>
      </c>
      <c r="I9" s="662">
        <v>39376.5</v>
      </c>
      <c r="J9" s="662">
        <v>37004.800000000003</v>
      </c>
      <c r="K9" s="662">
        <v>33233.9</v>
      </c>
      <c r="L9" s="662">
        <v>24219.200000000001</v>
      </c>
      <c r="M9" s="662">
        <v>16601.2</v>
      </c>
      <c r="N9" s="662">
        <v>9874.7099999999991</v>
      </c>
      <c r="O9" s="662">
        <v>4072.32</v>
      </c>
      <c r="P9" s="662">
        <v>-1068</v>
      </c>
      <c r="Q9" s="662">
        <v>-5159.1099999999997</v>
      </c>
      <c r="R9" s="662">
        <v>-8251.76</v>
      </c>
      <c r="S9" s="662">
        <v>-10391.700000000001</v>
      </c>
      <c r="T9" s="662">
        <v>-11807</v>
      </c>
      <c r="U9" s="662">
        <v>-12730.6</v>
      </c>
      <c r="V9" s="662">
        <v>-13426.5</v>
      </c>
      <c r="W9" s="662">
        <v>-13834.8</v>
      </c>
      <c r="X9" s="662">
        <v>-13939.1</v>
      </c>
      <c r="Y9" s="662">
        <v>-13854.9</v>
      </c>
    </row>
    <row r="10" spans="1:25" x14ac:dyDescent="0.25">
      <c r="A10" s="581" t="s">
        <v>205</v>
      </c>
      <c r="B10" s="581" t="s">
        <v>207</v>
      </c>
      <c r="D10" s="581" t="s">
        <v>193</v>
      </c>
      <c r="E10" s="581" t="s">
        <v>194</v>
      </c>
      <c r="F10" s="581" t="s">
        <v>195</v>
      </c>
      <c r="G10" s="662">
        <v>36978.6</v>
      </c>
      <c r="H10" s="662">
        <v>39863.9</v>
      </c>
      <c r="I10" s="662">
        <v>39176</v>
      </c>
      <c r="J10" s="662">
        <v>38289.5</v>
      </c>
      <c r="K10" s="662">
        <v>28288</v>
      </c>
      <c r="L10" s="662">
        <v>19578</v>
      </c>
      <c r="M10" s="662">
        <v>12163</v>
      </c>
      <c r="N10" s="662">
        <v>5941.27</v>
      </c>
      <c r="O10" s="662">
        <v>930.13099999999997</v>
      </c>
      <c r="P10" s="662">
        <v>-2905.83</v>
      </c>
      <c r="Q10" s="662">
        <v>-5430.25</v>
      </c>
      <c r="R10" s="662">
        <v>-7004.67</v>
      </c>
      <c r="S10" s="662">
        <v>-7874.18</v>
      </c>
      <c r="T10" s="662">
        <v>-8091.69</v>
      </c>
      <c r="U10" s="662">
        <v>-7885.6</v>
      </c>
      <c r="V10" s="662">
        <v>-7451.89</v>
      </c>
      <c r="W10" s="662">
        <v>-6857.95</v>
      </c>
      <c r="X10" s="662">
        <v>-6123.82</v>
      </c>
      <c r="Y10" s="662">
        <v>-5263.53</v>
      </c>
    </row>
    <row r="11" spans="1:25" x14ac:dyDescent="0.25">
      <c r="A11" s="581" t="s">
        <v>205</v>
      </c>
      <c r="B11" s="581" t="s">
        <v>208</v>
      </c>
      <c r="D11" s="581" t="s">
        <v>193</v>
      </c>
      <c r="E11" s="581" t="s">
        <v>194</v>
      </c>
      <c r="F11" s="581" t="s">
        <v>195</v>
      </c>
      <c r="G11" s="662">
        <v>36978.6</v>
      </c>
      <c r="H11" s="662">
        <v>39863.9</v>
      </c>
      <c r="I11" s="662">
        <v>39059</v>
      </c>
      <c r="J11" s="662">
        <v>30369.4</v>
      </c>
      <c r="K11" s="662">
        <v>13439</v>
      </c>
      <c r="L11" s="662">
        <v>1990.06</v>
      </c>
      <c r="M11" s="662">
        <v>-4832.83</v>
      </c>
      <c r="N11" s="662">
        <v>-8666.59</v>
      </c>
      <c r="O11" s="662">
        <v>-10558.9</v>
      </c>
      <c r="P11" s="662">
        <v>-10925.6</v>
      </c>
      <c r="Q11" s="662">
        <v>-10555.5</v>
      </c>
      <c r="R11" s="662">
        <v>-9927.43</v>
      </c>
      <c r="S11" s="662">
        <v>-9135.24</v>
      </c>
      <c r="T11" s="662">
        <v>-8237.1</v>
      </c>
      <c r="U11" s="662">
        <v>-7287.48</v>
      </c>
      <c r="V11" s="662">
        <v>-6324.64</v>
      </c>
      <c r="W11" s="662">
        <v>-5377.61</v>
      </c>
      <c r="X11" s="662">
        <v>-4468.1899999999996</v>
      </c>
      <c r="Y11" s="662">
        <v>-3612.11</v>
      </c>
    </row>
    <row r="12" spans="1:25" x14ac:dyDescent="0.25">
      <c r="A12" s="581" t="s">
        <v>205</v>
      </c>
      <c r="B12" s="581" t="s">
        <v>209</v>
      </c>
      <c r="D12" s="581" t="s">
        <v>193</v>
      </c>
      <c r="E12" s="581" t="s">
        <v>194</v>
      </c>
      <c r="F12" s="581" t="s">
        <v>195</v>
      </c>
      <c r="G12" s="662">
        <v>36978.6</v>
      </c>
      <c r="H12" s="662">
        <v>39863.9</v>
      </c>
      <c r="I12" s="662">
        <v>39194.800000000003</v>
      </c>
      <c r="J12" s="662">
        <v>38613.199999999997</v>
      </c>
      <c r="K12" s="662">
        <v>22216.6</v>
      </c>
      <c r="L12" s="662">
        <v>10364.5</v>
      </c>
      <c r="M12" s="662">
        <v>3219.1</v>
      </c>
      <c r="N12" s="662">
        <v>-828.78099999999995</v>
      </c>
      <c r="O12" s="662">
        <v>-3010.2</v>
      </c>
      <c r="P12" s="662">
        <v>-3936.59</v>
      </c>
      <c r="Q12" s="662">
        <v>-3960.21</v>
      </c>
      <c r="R12" s="662">
        <v>-3839.24</v>
      </c>
      <c r="S12" s="662">
        <v>-3683.52</v>
      </c>
      <c r="T12" s="662">
        <v>-3509.14</v>
      </c>
      <c r="U12" s="662">
        <v>-3328.08</v>
      </c>
      <c r="V12" s="662">
        <v>-3147.93</v>
      </c>
      <c r="W12" s="662">
        <v>-2971.81</v>
      </c>
      <c r="X12" s="662">
        <v>-2801.65</v>
      </c>
      <c r="Y12" s="662">
        <v>-2638.63</v>
      </c>
    </row>
    <row r="13" spans="1:25" x14ac:dyDescent="0.25">
      <c r="A13" s="581" t="s">
        <v>205</v>
      </c>
      <c r="B13" s="581" t="s">
        <v>210</v>
      </c>
      <c r="D13" s="581" t="s">
        <v>193</v>
      </c>
      <c r="E13" s="581" t="s">
        <v>194</v>
      </c>
      <c r="F13" s="581" t="s">
        <v>195</v>
      </c>
      <c r="G13" s="662">
        <v>36978.6</v>
      </c>
      <c r="H13" s="662">
        <v>39863.9</v>
      </c>
      <c r="I13" s="662">
        <v>39144.6</v>
      </c>
      <c r="J13" s="662">
        <v>29339.5</v>
      </c>
      <c r="K13" s="662">
        <v>11412.3</v>
      </c>
      <c r="L13" s="662">
        <v>1876.43</v>
      </c>
      <c r="M13" s="662">
        <v>-2552.4299999999998</v>
      </c>
      <c r="N13" s="662">
        <v>-4249.1499999999996</v>
      </c>
      <c r="O13" s="662">
        <v>-4328.97</v>
      </c>
      <c r="P13" s="662">
        <v>-4242.53</v>
      </c>
      <c r="Q13" s="662">
        <v>-4092.55</v>
      </c>
      <c r="R13" s="662">
        <v>-3913.43</v>
      </c>
      <c r="S13" s="662">
        <v>-3723.95</v>
      </c>
      <c r="T13" s="662">
        <v>-3531.87</v>
      </c>
      <c r="U13" s="662">
        <v>-3341.67</v>
      </c>
      <c r="V13" s="662">
        <v>-3156.03</v>
      </c>
      <c r="W13" s="662">
        <v>-2976.62</v>
      </c>
      <c r="X13" s="662">
        <v>-2804.5</v>
      </c>
      <c r="Y13" s="662">
        <v>-2640.32</v>
      </c>
    </row>
    <row r="14" spans="1:25" x14ac:dyDescent="0.25">
      <c r="A14" s="581" t="s">
        <v>211</v>
      </c>
      <c r="B14" s="581" t="s">
        <v>196</v>
      </c>
      <c r="D14" s="581" t="s">
        <v>193</v>
      </c>
      <c r="E14" s="581" t="s">
        <v>194</v>
      </c>
      <c r="F14" s="581" t="s">
        <v>195</v>
      </c>
      <c r="G14" s="662">
        <v>35775.488109999998</v>
      </c>
      <c r="H14" s="662" t="s">
        <v>198</v>
      </c>
      <c r="I14" s="662">
        <v>37684.328679999999</v>
      </c>
      <c r="J14" s="662" t="s">
        <v>198</v>
      </c>
      <c r="K14" s="662">
        <v>19308.123510000001</v>
      </c>
      <c r="L14" s="662" t="s">
        <v>198</v>
      </c>
      <c r="M14" s="662">
        <v>10579.882</v>
      </c>
      <c r="N14" s="662" t="s">
        <v>198</v>
      </c>
      <c r="O14" s="662">
        <v>3262.708705</v>
      </c>
      <c r="P14" s="662" t="s">
        <v>198</v>
      </c>
      <c r="Q14" s="662">
        <v>-633.59883230000003</v>
      </c>
      <c r="R14" s="662" t="s">
        <v>198</v>
      </c>
      <c r="S14" s="662">
        <v>-4335.4468429999997</v>
      </c>
      <c r="T14" s="662" t="s">
        <v>198</v>
      </c>
      <c r="U14" s="662">
        <v>-8420.9895919999999</v>
      </c>
      <c r="V14" s="662" t="s">
        <v>198</v>
      </c>
      <c r="W14" s="662">
        <v>-12963.82416</v>
      </c>
      <c r="X14" s="662" t="s">
        <v>198</v>
      </c>
      <c r="Y14" s="662">
        <v>-17674.16662</v>
      </c>
    </row>
    <row r="15" spans="1:25" x14ac:dyDescent="0.25">
      <c r="A15" s="581" t="s">
        <v>211</v>
      </c>
      <c r="B15" s="581" t="s">
        <v>199</v>
      </c>
      <c r="D15" s="581" t="s">
        <v>193</v>
      </c>
      <c r="E15" s="581" t="s">
        <v>194</v>
      </c>
      <c r="F15" s="581" t="s">
        <v>195</v>
      </c>
      <c r="G15" s="662">
        <v>35775.471080000003</v>
      </c>
      <c r="H15" s="662" t="s">
        <v>198</v>
      </c>
      <c r="I15" s="662">
        <v>41337.619749999998</v>
      </c>
      <c r="J15" s="662" t="s">
        <v>198</v>
      </c>
      <c r="K15" s="662">
        <v>36001.983260000001</v>
      </c>
      <c r="L15" s="662" t="s">
        <v>198</v>
      </c>
      <c r="M15" s="662">
        <v>9535.7634409999991</v>
      </c>
      <c r="N15" s="662" t="s">
        <v>198</v>
      </c>
      <c r="O15" s="662">
        <v>-7452.1882400000004</v>
      </c>
      <c r="P15" s="662" t="s">
        <v>198</v>
      </c>
      <c r="Q15" s="662">
        <v>-13187.10828</v>
      </c>
      <c r="R15" s="662" t="s">
        <v>198</v>
      </c>
      <c r="S15" s="662">
        <v>-14127.61544</v>
      </c>
      <c r="T15" s="662" t="s">
        <v>198</v>
      </c>
      <c r="U15" s="662">
        <v>-18177.968850000001</v>
      </c>
      <c r="V15" s="662" t="s">
        <v>198</v>
      </c>
      <c r="W15" s="662">
        <v>-23522.446070000002</v>
      </c>
      <c r="X15" s="662" t="s">
        <v>198</v>
      </c>
      <c r="Y15" s="662">
        <v>-31683.69888</v>
      </c>
    </row>
    <row r="16" spans="1:25" x14ac:dyDescent="0.25">
      <c r="A16" s="581" t="s">
        <v>211</v>
      </c>
      <c r="B16" s="581" t="s">
        <v>212</v>
      </c>
      <c r="D16" s="581" t="s">
        <v>193</v>
      </c>
      <c r="E16" s="581" t="s">
        <v>194</v>
      </c>
      <c r="F16" s="581" t="s">
        <v>195</v>
      </c>
      <c r="G16" s="662">
        <v>35775.476320000002</v>
      </c>
      <c r="H16" s="662" t="s">
        <v>198</v>
      </c>
      <c r="I16" s="662">
        <v>41975.990790000003</v>
      </c>
      <c r="J16" s="662" t="s">
        <v>198</v>
      </c>
      <c r="K16" s="662">
        <v>35675.427360000001</v>
      </c>
      <c r="L16" s="662" t="s">
        <v>198</v>
      </c>
      <c r="M16" s="662">
        <v>4907.9185600000001</v>
      </c>
      <c r="N16" s="662" t="s">
        <v>198</v>
      </c>
      <c r="O16" s="662">
        <v>-8996.2072599999992</v>
      </c>
      <c r="P16" s="662" t="s">
        <v>198</v>
      </c>
      <c r="Q16" s="662">
        <v>-9657.7946140000004</v>
      </c>
      <c r="R16" s="662" t="s">
        <v>198</v>
      </c>
      <c r="S16" s="662">
        <v>-9489.1503809999995</v>
      </c>
      <c r="T16" s="662" t="s">
        <v>198</v>
      </c>
      <c r="U16" s="662">
        <v>-12164.53507</v>
      </c>
      <c r="V16" s="662" t="s">
        <v>198</v>
      </c>
      <c r="W16" s="662">
        <v>-18180.579470000001</v>
      </c>
      <c r="X16" s="662" t="s">
        <v>198</v>
      </c>
      <c r="Y16" s="662">
        <v>-26395.107349999998</v>
      </c>
    </row>
    <row r="17" spans="1:25" x14ac:dyDescent="0.25">
      <c r="A17" s="581" t="s">
        <v>213</v>
      </c>
      <c r="B17" s="581" t="s">
        <v>192</v>
      </c>
      <c r="D17" s="581" t="s">
        <v>193</v>
      </c>
      <c r="E17" s="581" t="s">
        <v>194</v>
      </c>
      <c r="F17" s="581" t="s">
        <v>195</v>
      </c>
      <c r="G17" s="662">
        <v>35549.210619999998</v>
      </c>
      <c r="H17" s="662">
        <v>37203.761720000002</v>
      </c>
      <c r="I17" s="662">
        <v>38439.829429999998</v>
      </c>
      <c r="J17" s="662">
        <v>29916.30111</v>
      </c>
      <c r="K17" s="662">
        <v>25273.298500000001</v>
      </c>
      <c r="L17" s="662">
        <v>17271.98014</v>
      </c>
      <c r="M17" s="662">
        <v>8110.9414880000004</v>
      </c>
      <c r="N17" s="662">
        <v>2016.7241819999999</v>
      </c>
      <c r="O17" s="662">
        <v>-1286.6220089999999</v>
      </c>
      <c r="P17" s="662">
        <v>-5092.3214520000001</v>
      </c>
      <c r="Q17" s="662">
        <v>-7549.4097499999998</v>
      </c>
      <c r="R17" s="662">
        <v>-9484.0499679999994</v>
      </c>
      <c r="S17" s="662">
        <v>-10157.14738</v>
      </c>
      <c r="T17" s="662">
        <v>-10105.095219999999</v>
      </c>
      <c r="U17" s="662">
        <v>-10019.797769999999</v>
      </c>
      <c r="V17" s="662">
        <v>-9758.4224460000005</v>
      </c>
      <c r="W17" s="662">
        <v>-9734.6696790000005</v>
      </c>
      <c r="X17" s="662">
        <v>-9410.8043629999993</v>
      </c>
      <c r="Y17" s="662">
        <v>-9816.3667000000005</v>
      </c>
    </row>
    <row r="18" spans="1:25" x14ac:dyDescent="0.25">
      <c r="A18" s="581" t="s">
        <v>213</v>
      </c>
      <c r="B18" s="581" t="s">
        <v>201</v>
      </c>
      <c r="D18" s="581" t="s">
        <v>193</v>
      </c>
      <c r="E18" s="581" t="s">
        <v>194</v>
      </c>
      <c r="F18" s="581" t="s">
        <v>195</v>
      </c>
      <c r="G18" s="662">
        <v>35234.371420000003</v>
      </c>
      <c r="H18" s="662">
        <v>37630.742189999997</v>
      </c>
      <c r="I18" s="662">
        <v>38346.404629999997</v>
      </c>
      <c r="J18" s="662">
        <v>28930.286459999999</v>
      </c>
      <c r="K18" s="662">
        <v>24564.95866</v>
      </c>
      <c r="L18" s="662">
        <v>17328.527020000001</v>
      </c>
      <c r="M18" s="662">
        <v>7860.0496430000003</v>
      </c>
      <c r="N18" s="662">
        <v>2355.052287</v>
      </c>
      <c r="O18" s="662">
        <v>127.74813589999999</v>
      </c>
      <c r="P18" s="662" t="s">
        <v>198</v>
      </c>
      <c r="Q18" s="662">
        <v>-6989.8841149999998</v>
      </c>
      <c r="R18" s="662" t="s">
        <v>198</v>
      </c>
      <c r="S18" s="662">
        <v>-9254.9379079999999</v>
      </c>
      <c r="T18" s="662" t="s">
        <v>198</v>
      </c>
      <c r="U18" s="662">
        <v>-10007.752200000001</v>
      </c>
      <c r="V18" s="662" t="s">
        <v>198</v>
      </c>
      <c r="W18" s="662">
        <v>-9765.2500010000003</v>
      </c>
      <c r="X18" s="662" t="s">
        <v>198</v>
      </c>
      <c r="Y18" s="662">
        <v>-10419.676600000001</v>
      </c>
    </row>
    <row r="19" spans="1:25" x14ac:dyDescent="0.25">
      <c r="A19" s="581" t="s">
        <v>213</v>
      </c>
      <c r="B19" s="581" t="s">
        <v>214</v>
      </c>
      <c r="D19" s="581" t="s">
        <v>193</v>
      </c>
      <c r="E19" s="581" t="s">
        <v>194</v>
      </c>
      <c r="F19" s="581" t="s">
        <v>195</v>
      </c>
      <c r="G19" s="662">
        <v>35767.090819999998</v>
      </c>
      <c r="H19" s="662">
        <v>38443.642910000002</v>
      </c>
      <c r="I19" s="662">
        <v>35626.504240000002</v>
      </c>
      <c r="J19" s="662">
        <v>28449.281739999999</v>
      </c>
      <c r="K19" s="662">
        <v>22603.42627</v>
      </c>
      <c r="L19" s="662">
        <v>15003.204180000001</v>
      </c>
      <c r="M19" s="662">
        <v>10047.28613</v>
      </c>
      <c r="N19" s="662">
        <v>4009.9180500000002</v>
      </c>
      <c r="O19" s="662">
        <v>-1112.730611</v>
      </c>
      <c r="P19" s="662" t="s">
        <v>198</v>
      </c>
      <c r="Q19" s="662">
        <v>-5275.6221109999997</v>
      </c>
      <c r="R19" s="662" t="s">
        <v>198</v>
      </c>
      <c r="S19" s="662">
        <v>-9482.8361010000008</v>
      </c>
      <c r="T19" s="662" t="s">
        <v>198</v>
      </c>
      <c r="U19" s="662">
        <v>-9359.5587570000007</v>
      </c>
      <c r="V19" s="662" t="s">
        <v>198</v>
      </c>
      <c r="W19" s="662">
        <v>-7605.0775560000002</v>
      </c>
      <c r="X19" s="662" t="s">
        <v>198</v>
      </c>
      <c r="Y19" s="662">
        <v>-9759.5414230000006</v>
      </c>
    </row>
    <row r="20" spans="1:25" x14ac:dyDescent="0.25">
      <c r="A20" s="581" t="s">
        <v>213</v>
      </c>
      <c r="B20" s="581" t="s">
        <v>215</v>
      </c>
      <c r="D20" s="581" t="s">
        <v>193</v>
      </c>
      <c r="E20" s="581" t="s">
        <v>194</v>
      </c>
      <c r="F20" s="581" t="s">
        <v>195</v>
      </c>
      <c r="G20" s="662">
        <v>35766.073900000003</v>
      </c>
      <c r="H20" s="662">
        <v>38465.424480000001</v>
      </c>
      <c r="I20" s="662">
        <v>35469.188479999997</v>
      </c>
      <c r="J20" s="662">
        <v>29815.390790000001</v>
      </c>
      <c r="K20" s="662">
        <v>22059.964680000001</v>
      </c>
      <c r="L20" s="662">
        <v>10742.66642</v>
      </c>
      <c r="M20" s="662">
        <v>4571.0500899999997</v>
      </c>
      <c r="N20" s="662">
        <v>2832.6201780000001</v>
      </c>
      <c r="O20" s="662">
        <v>-1988.1058760000001</v>
      </c>
      <c r="P20" s="662" t="s">
        <v>198</v>
      </c>
      <c r="Q20" s="662">
        <v>-8144.6710620000003</v>
      </c>
      <c r="R20" s="662" t="s">
        <v>198</v>
      </c>
      <c r="S20" s="662">
        <v>-10885.68075</v>
      </c>
      <c r="T20" s="662" t="s">
        <v>198</v>
      </c>
      <c r="U20" s="662">
        <v>-10413.714679999999</v>
      </c>
      <c r="V20" s="662" t="s">
        <v>198</v>
      </c>
      <c r="W20" s="662">
        <v>-10129.36808</v>
      </c>
      <c r="X20" s="662" t="s">
        <v>198</v>
      </c>
      <c r="Y20" s="662">
        <v>-11206.807699999999</v>
      </c>
    </row>
    <row r="21" spans="1:25" x14ac:dyDescent="0.25">
      <c r="A21" s="581" t="s">
        <v>213</v>
      </c>
      <c r="B21" s="581" t="s">
        <v>216</v>
      </c>
      <c r="D21" s="581" t="s">
        <v>193</v>
      </c>
      <c r="E21" s="581" t="s">
        <v>194</v>
      </c>
      <c r="F21" s="581" t="s">
        <v>195</v>
      </c>
      <c r="G21" s="662">
        <v>35766.704100000003</v>
      </c>
      <c r="H21" s="662">
        <v>38049.18262</v>
      </c>
      <c r="I21" s="662">
        <v>34553.030279999999</v>
      </c>
      <c r="J21" s="662">
        <v>28810.5612</v>
      </c>
      <c r="K21" s="662">
        <v>21505.51742</v>
      </c>
      <c r="L21" s="662">
        <v>10886.70752</v>
      </c>
      <c r="M21" s="662">
        <v>3618.111308</v>
      </c>
      <c r="N21" s="662">
        <v>2697.4420580000001</v>
      </c>
      <c r="O21" s="662">
        <v>-719.07145700000001</v>
      </c>
      <c r="P21" s="662" t="s">
        <v>198</v>
      </c>
      <c r="Q21" s="662">
        <v>-7530.4462080000003</v>
      </c>
      <c r="R21" s="662" t="s">
        <v>198</v>
      </c>
      <c r="S21" s="662">
        <v>-10274.07699</v>
      </c>
      <c r="T21" s="662" t="s">
        <v>198</v>
      </c>
      <c r="U21" s="662">
        <v>-9494.5065930000001</v>
      </c>
      <c r="V21" s="662" t="s">
        <v>198</v>
      </c>
      <c r="W21" s="662">
        <v>-9411.7872729999999</v>
      </c>
      <c r="X21" s="662" t="s">
        <v>198</v>
      </c>
      <c r="Y21" s="662">
        <v>-10601.719080000001</v>
      </c>
    </row>
    <row r="22" spans="1:25" x14ac:dyDescent="0.25">
      <c r="A22" s="581" t="s">
        <v>213</v>
      </c>
      <c r="B22" s="581" t="s">
        <v>217</v>
      </c>
      <c r="D22" s="581" t="s">
        <v>193</v>
      </c>
      <c r="E22" s="581" t="s">
        <v>194</v>
      </c>
      <c r="F22" s="581" t="s">
        <v>195</v>
      </c>
      <c r="G22" s="662">
        <v>35810.091800000002</v>
      </c>
      <c r="H22" s="662">
        <v>38342.77377</v>
      </c>
      <c r="I22" s="662">
        <v>34110.36621</v>
      </c>
      <c r="J22" s="662">
        <v>28112.424640000001</v>
      </c>
      <c r="K22" s="662">
        <v>20992.198410000001</v>
      </c>
      <c r="L22" s="662">
        <v>12744.012940000001</v>
      </c>
      <c r="M22" s="662">
        <v>7809.3214529999996</v>
      </c>
      <c r="N22" s="662">
        <v>3439.3196819999998</v>
      </c>
      <c r="O22" s="662">
        <v>-1278.5589910000001</v>
      </c>
      <c r="P22" s="662" t="s">
        <v>198</v>
      </c>
      <c r="Q22" s="662">
        <v>-5434.157553</v>
      </c>
      <c r="R22" s="662" t="s">
        <v>198</v>
      </c>
      <c r="S22" s="662">
        <v>-8083.6357429999998</v>
      </c>
      <c r="T22" s="662" t="s">
        <v>198</v>
      </c>
      <c r="U22" s="662">
        <v>-8088.1752120000001</v>
      </c>
      <c r="V22" s="662" t="s">
        <v>198</v>
      </c>
      <c r="W22" s="662">
        <v>-7243.8115239999997</v>
      </c>
      <c r="X22" s="662" t="s">
        <v>198</v>
      </c>
      <c r="Y22" s="662">
        <v>-7426.9286709999997</v>
      </c>
    </row>
    <row r="23" spans="1:25" x14ac:dyDescent="0.25">
      <c r="A23" s="581" t="s">
        <v>213</v>
      </c>
      <c r="B23" s="581" t="s">
        <v>218</v>
      </c>
      <c r="D23" s="581" t="s">
        <v>193</v>
      </c>
      <c r="E23" s="581" t="s">
        <v>194</v>
      </c>
      <c r="F23" s="581" t="s">
        <v>195</v>
      </c>
      <c r="G23" s="662">
        <v>35771.835290000003</v>
      </c>
      <c r="H23" s="662">
        <v>38459.960290000003</v>
      </c>
      <c r="I23" s="662">
        <v>35428.475590000002</v>
      </c>
      <c r="J23" s="662">
        <v>29872.438969999999</v>
      </c>
      <c r="K23" s="662">
        <v>24017.943200000002</v>
      </c>
      <c r="L23" s="662">
        <v>16906.890790000001</v>
      </c>
      <c r="M23" s="662">
        <v>12479.48926</v>
      </c>
      <c r="N23" s="662">
        <v>6413.2860110000001</v>
      </c>
      <c r="O23" s="662">
        <v>902.62114469999995</v>
      </c>
      <c r="P23" s="662" t="s">
        <v>198</v>
      </c>
      <c r="Q23" s="662">
        <v>-3055.7575689999999</v>
      </c>
      <c r="R23" s="662" t="s">
        <v>198</v>
      </c>
      <c r="S23" s="662">
        <v>-5130.399821</v>
      </c>
      <c r="T23" s="662" t="s">
        <v>198</v>
      </c>
      <c r="U23" s="662">
        <v>-5869.4018969999997</v>
      </c>
      <c r="V23" s="662" t="s">
        <v>198</v>
      </c>
      <c r="W23" s="662">
        <v>-5740.7422690000003</v>
      </c>
      <c r="X23" s="662" t="s">
        <v>198</v>
      </c>
      <c r="Y23" s="662">
        <v>-4812.8996989999996</v>
      </c>
    </row>
    <row r="24" spans="1:25" x14ac:dyDescent="0.25">
      <c r="A24" s="581" t="s">
        <v>213</v>
      </c>
      <c r="B24" s="581" t="s">
        <v>219</v>
      </c>
      <c r="D24" s="581" t="s">
        <v>193</v>
      </c>
      <c r="E24" s="581" t="s">
        <v>194</v>
      </c>
      <c r="F24" s="581" t="s">
        <v>195</v>
      </c>
      <c r="G24" s="662">
        <v>35771.835290000003</v>
      </c>
      <c r="H24" s="662">
        <v>38431.543619999997</v>
      </c>
      <c r="I24" s="662">
        <v>35234.793949999999</v>
      </c>
      <c r="J24" s="662">
        <v>29446.731449999999</v>
      </c>
      <c r="K24" s="662">
        <v>23523.95117</v>
      </c>
      <c r="L24" s="662">
        <v>16265.32617</v>
      </c>
      <c r="M24" s="662">
        <v>9384.9210619999994</v>
      </c>
      <c r="N24" s="662">
        <v>3117.1455890000002</v>
      </c>
      <c r="O24" s="662">
        <v>-519.20662440000001</v>
      </c>
      <c r="P24" s="662" t="s">
        <v>198</v>
      </c>
      <c r="Q24" s="662">
        <v>-6350.7288820000003</v>
      </c>
      <c r="R24" s="662" t="s">
        <v>198</v>
      </c>
      <c r="S24" s="662">
        <v>-10491.86231</v>
      </c>
      <c r="T24" s="662" t="s">
        <v>198</v>
      </c>
      <c r="U24" s="662">
        <v>-10640.48674</v>
      </c>
      <c r="V24" s="662" t="s">
        <v>198</v>
      </c>
      <c r="W24" s="662">
        <v>-10149.861489999999</v>
      </c>
      <c r="X24" s="662" t="s">
        <v>198</v>
      </c>
      <c r="Y24" s="662">
        <v>-13027.96745</v>
      </c>
    </row>
    <row r="25" spans="1:25" x14ac:dyDescent="0.25">
      <c r="A25" s="581" t="s">
        <v>213</v>
      </c>
      <c r="B25" s="581" t="s">
        <v>220</v>
      </c>
      <c r="D25" s="581" t="s">
        <v>193</v>
      </c>
      <c r="E25" s="581" t="s">
        <v>194</v>
      </c>
      <c r="F25" s="581" t="s">
        <v>195</v>
      </c>
      <c r="G25" s="662">
        <v>35797.505539999998</v>
      </c>
      <c r="H25" s="662">
        <v>38167.321620000002</v>
      </c>
      <c r="I25" s="662">
        <v>34632.694340000002</v>
      </c>
      <c r="J25" s="662">
        <v>28435.02507</v>
      </c>
      <c r="K25" s="662">
        <v>21517.5612</v>
      </c>
      <c r="L25" s="662">
        <v>14625.449790000001</v>
      </c>
      <c r="M25" s="662">
        <v>6774.7239179999997</v>
      </c>
      <c r="N25" s="662">
        <v>1398.425242</v>
      </c>
      <c r="O25" s="662">
        <v>-464.87429049999997</v>
      </c>
      <c r="P25" s="662" t="s">
        <v>198</v>
      </c>
      <c r="Q25" s="662">
        <v>-6518.1745199999996</v>
      </c>
      <c r="R25" s="662" t="s">
        <v>198</v>
      </c>
      <c r="S25" s="662">
        <v>-10582.12443</v>
      </c>
      <c r="T25" s="662" t="s">
        <v>198</v>
      </c>
      <c r="U25" s="662">
        <v>-11074.79248</v>
      </c>
      <c r="V25" s="662" t="s">
        <v>198</v>
      </c>
      <c r="W25" s="662">
        <v>-11314.39429</v>
      </c>
      <c r="X25" s="662" t="s">
        <v>198</v>
      </c>
      <c r="Y25" s="662">
        <v>-12033.88631</v>
      </c>
    </row>
    <row r="26" spans="1:25" x14ac:dyDescent="0.25">
      <c r="A26" s="581" t="s">
        <v>213</v>
      </c>
      <c r="B26" s="581" t="s">
        <v>221</v>
      </c>
      <c r="D26" s="581" t="s">
        <v>193</v>
      </c>
      <c r="E26" s="581" t="s">
        <v>194</v>
      </c>
      <c r="F26" s="581" t="s">
        <v>195</v>
      </c>
      <c r="G26" s="662">
        <v>35828.364260000002</v>
      </c>
      <c r="H26" s="662">
        <v>37644.384769999997</v>
      </c>
      <c r="I26" s="662">
        <v>34189.11361</v>
      </c>
      <c r="J26" s="662">
        <v>26701.223470000001</v>
      </c>
      <c r="K26" s="662">
        <v>18303.797689999999</v>
      </c>
      <c r="L26" s="662">
        <v>10051.019039999999</v>
      </c>
      <c r="M26" s="662">
        <v>4910.1102300000002</v>
      </c>
      <c r="N26" s="662">
        <v>670.96223459999999</v>
      </c>
      <c r="O26" s="662">
        <v>-2269.9450689999999</v>
      </c>
      <c r="P26" s="662" t="s">
        <v>198</v>
      </c>
      <c r="Q26" s="662">
        <v>-3294.2363690000002</v>
      </c>
      <c r="R26" s="662" t="s">
        <v>198</v>
      </c>
      <c r="S26" s="662">
        <v>-3634.1234340000001</v>
      </c>
      <c r="T26" s="662" t="s">
        <v>198</v>
      </c>
      <c r="U26" s="662">
        <v>-2094.0413010000002</v>
      </c>
      <c r="V26" s="662" t="s">
        <v>198</v>
      </c>
      <c r="W26" s="662">
        <v>-157.85524240000001</v>
      </c>
      <c r="X26" s="662" t="s">
        <v>198</v>
      </c>
      <c r="Y26" s="662">
        <v>1516.974121</v>
      </c>
    </row>
    <row r="27" spans="1:25" x14ac:dyDescent="0.25">
      <c r="A27" s="581" t="s">
        <v>213</v>
      </c>
      <c r="B27" s="581" t="s">
        <v>196</v>
      </c>
      <c r="D27" s="581" t="s">
        <v>193</v>
      </c>
      <c r="E27" s="581" t="s">
        <v>194</v>
      </c>
      <c r="F27" s="581" t="s">
        <v>195</v>
      </c>
      <c r="G27" s="662">
        <v>35488.828780000003</v>
      </c>
      <c r="H27" s="662" t="s">
        <v>198</v>
      </c>
      <c r="I27" s="662">
        <v>33208.799480000001</v>
      </c>
      <c r="J27" s="662" t="s">
        <v>198</v>
      </c>
      <c r="K27" s="662">
        <v>17967.968260000001</v>
      </c>
      <c r="L27" s="662" t="s">
        <v>198</v>
      </c>
      <c r="M27" s="662">
        <v>6413.9462080000003</v>
      </c>
      <c r="N27" s="662" t="s">
        <v>198</v>
      </c>
      <c r="O27" s="662">
        <v>968.03625499999998</v>
      </c>
      <c r="P27" s="662" t="s">
        <v>198</v>
      </c>
      <c r="Q27" s="662">
        <v>-1649.9985449999999</v>
      </c>
      <c r="R27" s="662" t="s">
        <v>198</v>
      </c>
      <c r="S27" s="662">
        <v>-4136.9238290000003</v>
      </c>
      <c r="T27" s="662" t="s">
        <v>198</v>
      </c>
      <c r="U27" s="662">
        <v>-7370.2054449999996</v>
      </c>
      <c r="V27" s="662" t="s">
        <v>198</v>
      </c>
      <c r="W27" s="662">
        <v>-10567.70752</v>
      </c>
      <c r="X27" s="662" t="s">
        <v>198</v>
      </c>
      <c r="Y27" s="662">
        <v>-14340.424639999999</v>
      </c>
    </row>
    <row r="28" spans="1:25" x14ac:dyDescent="0.25">
      <c r="A28" s="581" t="s">
        <v>222</v>
      </c>
      <c r="B28" s="581" t="s">
        <v>192</v>
      </c>
      <c r="D28" s="581" t="s">
        <v>193</v>
      </c>
      <c r="E28" s="581" t="s">
        <v>194</v>
      </c>
      <c r="F28" s="581" t="s">
        <v>195</v>
      </c>
      <c r="G28" s="662">
        <v>40078.431380000002</v>
      </c>
      <c r="H28" s="662" t="s">
        <v>198</v>
      </c>
      <c r="I28" s="662">
        <v>40495.547229999996</v>
      </c>
      <c r="J28" s="662" t="s">
        <v>198</v>
      </c>
      <c r="K28" s="662">
        <v>18563.805479999999</v>
      </c>
      <c r="L28" s="662" t="s">
        <v>198</v>
      </c>
      <c r="M28" s="662">
        <v>9448.4616559999995</v>
      </c>
      <c r="N28" s="662" t="s">
        <v>198</v>
      </c>
      <c r="O28" s="662">
        <v>2763.3051610000002</v>
      </c>
      <c r="P28" s="662" t="s">
        <v>198</v>
      </c>
      <c r="Q28" s="662">
        <v>-2429.0698900000002</v>
      </c>
      <c r="R28" s="662" t="s">
        <v>198</v>
      </c>
      <c r="S28" s="662">
        <v>-7626.7931019999996</v>
      </c>
      <c r="T28" s="662" t="s">
        <v>198</v>
      </c>
      <c r="U28" s="662">
        <v>-12539.72388</v>
      </c>
      <c r="V28" s="662" t="s">
        <v>198</v>
      </c>
      <c r="W28" s="662">
        <v>-13806.45305</v>
      </c>
      <c r="X28" s="662" t="s">
        <v>198</v>
      </c>
      <c r="Y28" s="662">
        <v>-14262.34288</v>
      </c>
    </row>
    <row r="29" spans="1:25" x14ac:dyDescent="0.25">
      <c r="A29" s="581" t="s">
        <v>222</v>
      </c>
      <c r="B29" s="581" t="s">
        <v>223</v>
      </c>
      <c r="D29" s="581" t="s">
        <v>193</v>
      </c>
      <c r="E29" s="581" t="s">
        <v>194</v>
      </c>
      <c r="F29" s="581" t="s">
        <v>195</v>
      </c>
      <c r="G29" s="662">
        <v>40079.047870000002</v>
      </c>
      <c r="H29" s="662" t="s">
        <v>198</v>
      </c>
      <c r="I29" s="662">
        <v>40499.335800000001</v>
      </c>
      <c r="J29" s="662" t="s">
        <v>198</v>
      </c>
      <c r="K29" s="662">
        <v>40989.17252</v>
      </c>
      <c r="L29" s="662" t="s">
        <v>198</v>
      </c>
      <c r="M29" s="662">
        <v>16534.065340000001</v>
      </c>
      <c r="N29" s="662" t="s">
        <v>198</v>
      </c>
      <c r="O29" s="662">
        <v>6342.2704530000001</v>
      </c>
      <c r="P29" s="662" t="s">
        <v>198</v>
      </c>
      <c r="Q29" s="662">
        <v>-212.1156623</v>
      </c>
      <c r="R29" s="662" t="s">
        <v>198</v>
      </c>
      <c r="S29" s="662">
        <v>-4340.9405800000004</v>
      </c>
      <c r="T29" s="662" t="s">
        <v>198</v>
      </c>
      <c r="U29" s="662">
        <v>-8784.0502759999999</v>
      </c>
      <c r="V29" s="662" t="s">
        <v>198</v>
      </c>
      <c r="W29" s="662">
        <v>-13196.09275</v>
      </c>
      <c r="X29" s="662" t="s">
        <v>198</v>
      </c>
      <c r="Y29" s="662">
        <v>-13893.52579</v>
      </c>
    </row>
    <row r="30" spans="1:25" x14ac:dyDescent="0.25">
      <c r="A30" s="581" t="s">
        <v>222</v>
      </c>
      <c r="B30" s="581" t="s">
        <v>224</v>
      </c>
      <c r="D30" s="581" t="s">
        <v>193</v>
      </c>
      <c r="E30" s="581" t="s">
        <v>194</v>
      </c>
      <c r="F30" s="581" t="s">
        <v>195</v>
      </c>
      <c r="G30" s="662">
        <v>40094.788289999997</v>
      </c>
      <c r="H30" s="662" t="s">
        <v>198</v>
      </c>
      <c r="I30" s="662">
        <v>41037.408340000002</v>
      </c>
      <c r="J30" s="662" t="s">
        <v>198</v>
      </c>
      <c r="K30" s="662">
        <v>15744.37946</v>
      </c>
      <c r="L30" s="662" t="s">
        <v>198</v>
      </c>
      <c r="M30" s="662">
        <v>6340.0932499999999</v>
      </c>
      <c r="N30" s="662" t="s">
        <v>198</v>
      </c>
      <c r="O30" s="662">
        <v>-523.13594539999997</v>
      </c>
      <c r="P30" s="662" t="s">
        <v>198</v>
      </c>
      <c r="Q30" s="662">
        <v>-8790.3228010000003</v>
      </c>
      <c r="R30" s="662" t="s">
        <v>198</v>
      </c>
      <c r="S30" s="662">
        <v>-10828.029570000001</v>
      </c>
      <c r="T30" s="662" t="s">
        <v>198</v>
      </c>
      <c r="U30" s="662">
        <v>-12677.77643</v>
      </c>
      <c r="V30" s="662" t="s">
        <v>198</v>
      </c>
      <c r="W30" s="662">
        <v>-13738.599399999999</v>
      </c>
      <c r="X30" s="662" t="s">
        <v>198</v>
      </c>
      <c r="Y30" s="662">
        <v>-14214.541139999999</v>
      </c>
    </row>
    <row r="31" spans="1:25" x14ac:dyDescent="0.25">
      <c r="A31" s="581" t="s">
        <v>222</v>
      </c>
      <c r="B31" s="581" t="s">
        <v>225</v>
      </c>
      <c r="D31" s="581" t="s">
        <v>193</v>
      </c>
      <c r="E31" s="581" t="s">
        <v>194</v>
      </c>
      <c r="F31" s="581" t="s">
        <v>195</v>
      </c>
      <c r="G31" s="662">
        <v>40094.788289999997</v>
      </c>
      <c r="H31" s="662" t="s">
        <v>198</v>
      </c>
      <c r="I31" s="662">
        <v>41037.408340000002</v>
      </c>
      <c r="J31" s="662" t="s">
        <v>198</v>
      </c>
      <c r="K31" s="662">
        <v>15792.070369999999</v>
      </c>
      <c r="L31" s="662" t="s">
        <v>198</v>
      </c>
      <c r="M31" s="662">
        <v>6383.0516969999999</v>
      </c>
      <c r="N31" s="662" t="s">
        <v>198</v>
      </c>
      <c r="O31" s="662">
        <v>-491.82386059999999</v>
      </c>
      <c r="P31" s="662" t="s">
        <v>198</v>
      </c>
      <c r="Q31" s="662">
        <v>-8908.7710740000002</v>
      </c>
      <c r="R31" s="662" t="s">
        <v>198</v>
      </c>
      <c r="S31" s="662">
        <v>-10883.61454</v>
      </c>
      <c r="T31" s="662" t="s">
        <v>198</v>
      </c>
      <c r="U31" s="662">
        <v>-12709.87916</v>
      </c>
      <c r="V31" s="662" t="s">
        <v>198</v>
      </c>
      <c r="W31" s="662">
        <v>-13755.88954</v>
      </c>
      <c r="X31" s="662" t="s">
        <v>198</v>
      </c>
      <c r="Y31" s="662">
        <v>-14191.80204</v>
      </c>
    </row>
    <row r="32" spans="1:25" x14ac:dyDescent="0.25">
      <c r="A32" s="581" t="s">
        <v>222</v>
      </c>
      <c r="B32" s="581" t="s">
        <v>202</v>
      </c>
      <c r="D32" s="581" t="s">
        <v>193</v>
      </c>
      <c r="E32" s="581" t="s">
        <v>194</v>
      </c>
      <c r="F32" s="581" t="s">
        <v>195</v>
      </c>
      <c r="G32" s="662">
        <v>40094.788289999997</v>
      </c>
      <c r="H32" s="662" t="s">
        <v>198</v>
      </c>
      <c r="I32" s="662">
        <v>41037.408340000002</v>
      </c>
      <c r="J32" s="662" t="s">
        <v>198</v>
      </c>
      <c r="K32" s="662">
        <v>26850.376929999999</v>
      </c>
      <c r="L32" s="662" t="s">
        <v>198</v>
      </c>
      <c r="M32" s="662">
        <v>17567.407169999999</v>
      </c>
      <c r="N32" s="662" t="s">
        <v>198</v>
      </c>
      <c r="O32" s="662">
        <v>9561.6578140000001</v>
      </c>
      <c r="P32" s="662" t="s">
        <v>198</v>
      </c>
      <c r="Q32" s="662">
        <v>432.85443700000002</v>
      </c>
      <c r="R32" s="662" t="s">
        <v>198</v>
      </c>
      <c r="S32" s="662">
        <v>-3781.374311</v>
      </c>
      <c r="T32" s="662" t="s">
        <v>198</v>
      </c>
      <c r="U32" s="662">
        <v>-7459.9019930000004</v>
      </c>
      <c r="V32" s="662" t="s">
        <v>198</v>
      </c>
      <c r="W32" s="662">
        <v>-10137.53204</v>
      </c>
      <c r="X32" s="662" t="s">
        <v>198</v>
      </c>
      <c r="Y32" s="662">
        <v>-11379.19002</v>
      </c>
    </row>
    <row r="33" spans="1:25" x14ac:dyDescent="0.25">
      <c r="A33" s="581" t="s">
        <v>222</v>
      </c>
      <c r="B33" s="581" t="s">
        <v>226</v>
      </c>
      <c r="D33" s="581" t="s">
        <v>193</v>
      </c>
      <c r="E33" s="581" t="s">
        <v>194</v>
      </c>
      <c r="F33" s="581" t="s">
        <v>195</v>
      </c>
      <c r="G33" s="662">
        <v>40094.788289999997</v>
      </c>
      <c r="H33" s="662" t="s">
        <v>198</v>
      </c>
      <c r="I33" s="662">
        <v>41037.408340000002</v>
      </c>
      <c r="J33" s="662" t="s">
        <v>198</v>
      </c>
      <c r="K33" s="662">
        <v>27072.636040000001</v>
      </c>
      <c r="L33" s="662" t="s">
        <v>198</v>
      </c>
      <c r="M33" s="662">
        <v>17501.374380000001</v>
      </c>
      <c r="N33" s="662" t="s">
        <v>198</v>
      </c>
      <c r="O33" s="662">
        <v>9155.9391539999997</v>
      </c>
      <c r="P33" s="662" t="s">
        <v>198</v>
      </c>
      <c r="Q33" s="662">
        <v>303.54612259999999</v>
      </c>
      <c r="R33" s="662" t="s">
        <v>198</v>
      </c>
      <c r="S33" s="662">
        <v>-3814.7775980000001</v>
      </c>
      <c r="T33" s="662" t="s">
        <v>198</v>
      </c>
      <c r="U33" s="662">
        <v>-7375.3274789999996</v>
      </c>
      <c r="V33" s="662" t="s">
        <v>198</v>
      </c>
      <c r="W33" s="662">
        <v>-10049.473760000001</v>
      </c>
      <c r="X33" s="662" t="s">
        <v>198</v>
      </c>
      <c r="Y33" s="662">
        <v>-11300.33726</v>
      </c>
    </row>
    <row r="34" spans="1:25" x14ac:dyDescent="0.25">
      <c r="A34" s="581" t="s">
        <v>222</v>
      </c>
      <c r="B34" s="581" t="s">
        <v>227</v>
      </c>
      <c r="D34" s="581" t="s">
        <v>193</v>
      </c>
      <c r="E34" s="581" t="s">
        <v>194</v>
      </c>
      <c r="F34" s="581" t="s">
        <v>195</v>
      </c>
      <c r="G34" s="662">
        <v>40094.788289999997</v>
      </c>
      <c r="H34" s="662" t="s">
        <v>198</v>
      </c>
      <c r="I34" s="662">
        <v>41037.408340000002</v>
      </c>
      <c r="J34" s="662" t="s">
        <v>198</v>
      </c>
      <c r="K34" s="662">
        <v>22663.636009999998</v>
      </c>
      <c r="L34" s="662" t="s">
        <v>198</v>
      </c>
      <c r="M34" s="662">
        <v>12667.233039999999</v>
      </c>
      <c r="N34" s="662" t="s">
        <v>198</v>
      </c>
      <c r="O34" s="662">
        <v>5598.9815310000004</v>
      </c>
      <c r="P34" s="662" t="s">
        <v>198</v>
      </c>
      <c r="Q34" s="662">
        <v>-1001.033258</v>
      </c>
      <c r="R34" s="662" t="s">
        <v>198</v>
      </c>
      <c r="S34" s="662">
        <v>-3142.838178</v>
      </c>
      <c r="T34" s="662" t="s">
        <v>198</v>
      </c>
      <c r="U34" s="662">
        <v>-4806.2285359999996</v>
      </c>
      <c r="V34" s="662" t="s">
        <v>198</v>
      </c>
      <c r="W34" s="662">
        <v>-5679.0730409999996</v>
      </c>
      <c r="X34" s="662" t="s">
        <v>198</v>
      </c>
      <c r="Y34" s="662">
        <v>-5570.1813990000001</v>
      </c>
    </row>
    <row r="35" spans="1:25" x14ac:dyDescent="0.25">
      <c r="A35" s="581" t="s">
        <v>222</v>
      </c>
      <c r="B35" s="581" t="s">
        <v>228</v>
      </c>
      <c r="D35" s="581" t="s">
        <v>193</v>
      </c>
      <c r="E35" s="581" t="s">
        <v>194</v>
      </c>
      <c r="F35" s="581" t="s">
        <v>195</v>
      </c>
      <c r="G35" s="662">
        <v>40094.788289999997</v>
      </c>
      <c r="H35" s="662" t="s">
        <v>198</v>
      </c>
      <c r="I35" s="662">
        <v>41037.408340000002</v>
      </c>
      <c r="J35" s="662" t="s">
        <v>198</v>
      </c>
      <c r="K35" s="662">
        <v>26202.249349999998</v>
      </c>
      <c r="L35" s="662" t="s">
        <v>198</v>
      </c>
      <c r="M35" s="662">
        <v>16686.465980000001</v>
      </c>
      <c r="N35" s="662" t="s">
        <v>198</v>
      </c>
      <c r="O35" s="662">
        <v>8785.0130580000005</v>
      </c>
      <c r="P35" s="662" t="s">
        <v>198</v>
      </c>
      <c r="Q35" s="662">
        <v>527.11669800000004</v>
      </c>
      <c r="R35" s="662" t="s">
        <v>198</v>
      </c>
      <c r="S35" s="662">
        <v>-3044.9244629999998</v>
      </c>
      <c r="T35" s="662" t="s">
        <v>198</v>
      </c>
      <c r="U35" s="662">
        <v>-6025.531798</v>
      </c>
      <c r="V35" s="662" t="s">
        <v>198</v>
      </c>
      <c r="W35" s="662">
        <v>-8144.2387429999999</v>
      </c>
      <c r="X35" s="662" t="s">
        <v>198</v>
      </c>
      <c r="Y35" s="662">
        <v>-9150.6762980000003</v>
      </c>
    </row>
    <row r="36" spans="1:25" x14ac:dyDescent="0.25">
      <c r="A36" s="581" t="s">
        <v>222</v>
      </c>
      <c r="B36" s="581" t="s">
        <v>196</v>
      </c>
      <c r="D36" s="581" t="s">
        <v>193</v>
      </c>
      <c r="E36" s="581" t="s">
        <v>194</v>
      </c>
      <c r="F36" s="581" t="s">
        <v>195</v>
      </c>
      <c r="G36" s="662">
        <v>40265.628019999996</v>
      </c>
      <c r="H36" s="662" t="s">
        <v>198</v>
      </c>
      <c r="I36" s="662">
        <v>38093.862679999998</v>
      </c>
      <c r="J36" s="662" t="s">
        <v>198</v>
      </c>
      <c r="K36" s="662">
        <v>23404.16216</v>
      </c>
      <c r="L36" s="662" t="s">
        <v>198</v>
      </c>
      <c r="M36" s="662">
        <v>14933.85584</v>
      </c>
      <c r="N36" s="662" t="s">
        <v>198</v>
      </c>
      <c r="O36" s="662">
        <v>3629.9649709999999</v>
      </c>
      <c r="P36" s="662" t="s">
        <v>198</v>
      </c>
      <c r="Q36" s="662">
        <v>-4029.7428530000002</v>
      </c>
      <c r="R36" s="662" t="s">
        <v>198</v>
      </c>
      <c r="S36" s="662">
        <v>-8118.5456089999998</v>
      </c>
      <c r="T36" s="662" t="s">
        <v>198</v>
      </c>
      <c r="U36" s="662">
        <v>-11932.14884</v>
      </c>
      <c r="V36" s="662" t="s">
        <v>198</v>
      </c>
      <c r="W36" s="662">
        <v>-14315.90065</v>
      </c>
      <c r="X36" s="662" t="s">
        <v>198</v>
      </c>
      <c r="Y36" s="662">
        <v>-15487.08144</v>
      </c>
    </row>
    <row r="37" spans="1:25" s="583" customFormat="1" x14ac:dyDescent="0.25">
      <c r="A37" s="583" t="s">
        <v>222</v>
      </c>
      <c r="B37" s="583" t="s">
        <v>199</v>
      </c>
      <c r="C37" s="583" t="s">
        <v>229</v>
      </c>
      <c r="D37" s="583" t="s">
        <v>193</v>
      </c>
      <c r="E37" s="583" t="s">
        <v>194</v>
      </c>
      <c r="F37" s="583" t="s">
        <v>195</v>
      </c>
      <c r="G37" s="663">
        <v>40313.502030000003</v>
      </c>
      <c r="H37" s="663" t="s">
        <v>198</v>
      </c>
      <c r="I37" s="663">
        <v>40931.321739999999</v>
      </c>
      <c r="J37" s="663" t="s">
        <v>198</v>
      </c>
      <c r="K37" s="663">
        <v>23633.128530000002</v>
      </c>
      <c r="L37" s="663" t="s">
        <v>198</v>
      </c>
      <c r="M37" s="663">
        <v>11524.1294</v>
      </c>
      <c r="N37" s="663" t="s">
        <v>198</v>
      </c>
      <c r="O37" s="663">
        <v>3778.9220180000002</v>
      </c>
      <c r="P37" s="663" t="s">
        <v>198</v>
      </c>
      <c r="Q37" s="663">
        <v>-1510.684608</v>
      </c>
      <c r="R37" s="663" t="s">
        <v>198</v>
      </c>
      <c r="S37" s="663">
        <v>-6540.3683860000001</v>
      </c>
      <c r="T37" s="663" t="s">
        <v>198</v>
      </c>
      <c r="U37" s="663">
        <v>-10608.86418</v>
      </c>
      <c r="V37" s="663" t="s">
        <v>198</v>
      </c>
      <c r="W37" s="663">
        <v>-12410.880579999999</v>
      </c>
      <c r="X37" s="663" t="s">
        <v>198</v>
      </c>
      <c r="Y37" s="663">
        <v>-13048.889880000001</v>
      </c>
    </row>
    <row r="38" spans="1:25" x14ac:dyDescent="0.25">
      <c r="A38" s="581" t="s">
        <v>230</v>
      </c>
      <c r="B38" s="581" t="s">
        <v>201</v>
      </c>
      <c r="D38" s="581" t="s">
        <v>193</v>
      </c>
      <c r="E38" s="581" t="s">
        <v>194</v>
      </c>
      <c r="F38" s="581" t="s">
        <v>195</v>
      </c>
      <c r="G38" s="662">
        <v>38542.01816</v>
      </c>
      <c r="H38" s="662" t="s">
        <v>198</v>
      </c>
      <c r="I38" s="662">
        <v>39615.222549999999</v>
      </c>
      <c r="J38" s="662" t="s">
        <v>198</v>
      </c>
      <c r="K38" s="662">
        <v>23824.22308</v>
      </c>
      <c r="L38" s="662" t="s">
        <v>198</v>
      </c>
      <c r="M38" s="662">
        <v>12039.055050000001</v>
      </c>
      <c r="N38" s="662" t="s">
        <v>198</v>
      </c>
      <c r="O38" s="662">
        <v>2737.839477</v>
      </c>
      <c r="P38" s="662" t="s">
        <v>198</v>
      </c>
      <c r="Q38" s="662">
        <v>-7103.209038</v>
      </c>
      <c r="R38" s="662" t="s">
        <v>198</v>
      </c>
      <c r="S38" s="662">
        <v>-11119.14575</v>
      </c>
      <c r="T38" s="662" t="s">
        <v>198</v>
      </c>
      <c r="U38" s="662">
        <v>-14120.389510000001</v>
      </c>
      <c r="V38" s="662" t="s">
        <v>198</v>
      </c>
      <c r="W38" s="662">
        <v>-16521.499540000001</v>
      </c>
      <c r="X38" s="662" t="s">
        <v>198</v>
      </c>
      <c r="Y38" s="662">
        <v>-17726.896560000001</v>
      </c>
    </row>
    <row r="39" spans="1:25" s="583" customFormat="1" x14ac:dyDescent="0.25">
      <c r="A39" s="583" t="s">
        <v>230</v>
      </c>
      <c r="B39" s="583" t="s">
        <v>231</v>
      </c>
      <c r="C39" s="583" t="s">
        <v>232</v>
      </c>
      <c r="D39" s="583" t="s">
        <v>193</v>
      </c>
      <c r="E39" s="583" t="s">
        <v>194</v>
      </c>
      <c r="F39" s="583" t="s">
        <v>195</v>
      </c>
      <c r="G39" s="663">
        <v>38542.037320000003</v>
      </c>
      <c r="H39" s="663" t="s">
        <v>198</v>
      </c>
      <c r="I39" s="663">
        <v>39563.511039999998</v>
      </c>
      <c r="J39" s="663" t="s">
        <v>198</v>
      </c>
      <c r="K39" s="663">
        <v>16213.81365</v>
      </c>
      <c r="L39" s="663" t="s">
        <v>198</v>
      </c>
      <c r="M39" s="663">
        <v>7873.3458620000001</v>
      </c>
      <c r="N39" s="663" t="s">
        <v>198</v>
      </c>
      <c r="O39" s="663">
        <v>2735.6377280000002</v>
      </c>
      <c r="P39" s="663" t="s">
        <v>198</v>
      </c>
      <c r="Q39" s="663">
        <v>-67.759749560000003</v>
      </c>
      <c r="R39" s="663" t="s">
        <v>198</v>
      </c>
      <c r="S39" s="663">
        <v>-1670.1617040000001</v>
      </c>
      <c r="T39" s="663" t="s">
        <v>198</v>
      </c>
      <c r="U39" s="663">
        <v>-2462.2044350000001</v>
      </c>
      <c r="V39" s="663" t="s">
        <v>198</v>
      </c>
      <c r="W39" s="663">
        <v>-3302.2501600000001</v>
      </c>
      <c r="X39" s="663" t="s">
        <v>198</v>
      </c>
      <c r="Y39" s="663">
        <v>-3524.4863540000001</v>
      </c>
    </row>
    <row r="40" spans="1:25" x14ac:dyDescent="0.25">
      <c r="A40" s="581" t="s">
        <v>233</v>
      </c>
      <c r="B40" s="581" t="s">
        <v>192</v>
      </c>
      <c r="D40" s="581" t="s">
        <v>193</v>
      </c>
      <c r="E40" s="581" t="s">
        <v>194</v>
      </c>
      <c r="F40" s="581" t="s">
        <v>195</v>
      </c>
      <c r="G40" s="662">
        <v>34853.411379999998</v>
      </c>
      <c r="H40" s="662">
        <v>37830.047129999999</v>
      </c>
      <c r="I40" s="662">
        <v>41831.620880000002</v>
      </c>
      <c r="J40" s="662">
        <v>35792.794130000002</v>
      </c>
      <c r="K40" s="662">
        <v>24388.624</v>
      </c>
      <c r="L40" s="662">
        <v>14716.66613</v>
      </c>
      <c r="M40" s="662">
        <v>8563.6867500000008</v>
      </c>
      <c r="N40" s="662">
        <v>3560.850625</v>
      </c>
      <c r="O40" s="662">
        <v>-283.07331249999999</v>
      </c>
      <c r="P40" s="662">
        <v>-3155.4715630000001</v>
      </c>
      <c r="Q40" s="662">
        <v>-5721.433188</v>
      </c>
      <c r="R40" s="662">
        <v>-7925.230125</v>
      </c>
      <c r="S40" s="662">
        <v>-9214.8021250000002</v>
      </c>
      <c r="T40" s="662">
        <v>-10806.90338</v>
      </c>
      <c r="U40" s="662">
        <v>-12170.50994</v>
      </c>
      <c r="V40" s="662">
        <v>-14642.43475</v>
      </c>
      <c r="W40" s="662">
        <v>-15359.839809999999</v>
      </c>
      <c r="X40" s="662">
        <v>-15618.55219</v>
      </c>
      <c r="Y40" s="662">
        <v>-15996.918879999999</v>
      </c>
    </row>
    <row r="41" spans="1:25" x14ac:dyDescent="0.25">
      <c r="A41" s="581" t="s">
        <v>233</v>
      </c>
      <c r="B41" s="581" t="s">
        <v>234</v>
      </c>
      <c r="D41" s="581" t="s">
        <v>193</v>
      </c>
      <c r="E41" s="581" t="s">
        <v>194</v>
      </c>
      <c r="F41" s="581" t="s">
        <v>195</v>
      </c>
      <c r="G41" s="662">
        <v>34853.411379999998</v>
      </c>
      <c r="H41" s="662">
        <v>37830.031130000003</v>
      </c>
      <c r="I41" s="662">
        <v>41831.40438</v>
      </c>
      <c r="J41" s="662">
        <v>40062.569499999998</v>
      </c>
      <c r="K41" s="662">
        <v>33007.720999999998</v>
      </c>
      <c r="L41" s="662">
        <v>25954.596750000001</v>
      </c>
      <c r="M41" s="662">
        <v>20038.337749999999</v>
      </c>
      <c r="N41" s="662">
        <v>14057.592500000001</v>
      </c>
      <c r="O41" s="662">
        <v>9166.3022500000006</v>
      </c>
      <c r="P41" s="662">
        <v>5243.8832499999999</v>
      </c>
      <c r="Q41" s="662">
        <v>2200.2558749999998</v>
      </c>
      <c r="R41" s="662">
        <v>-139.09450000000001</v>
      </c>
      <c r="S41" s="662">
        <v>-1898.5155</v>
      </c>
      <c r="T41" s="662">
        <v>-4251.8905000000004</v>
      </c>
      <c r="U41" s="662">
        <v>-6128.6308749999998</v>
      </c>
      <c r="V41" s="662">
        <v>-8086.948875</v>
      </c>
      <c r="W41" s="662">
        <v>-9667.3162499999999</v>
      </c>
      <c r="X41" s="662">
        <v>-10518.538500000001</v>
      </c>
      <c r="Y41" s="662">
        <v>-11901.409879999999</v>
      </c>
    </row>
    <row r="42" spans="1:25" x14ac:dyDescent="0.25">
      <c r="A42" s="581" t="s">
        <v>233</v>
      </c>
      <c r="B42" s="581" t="s">
        <v>235</v>
      </c>
      <c r="D42" s="581" t="s">
        <v>193</v>
      </c>
      <c r="E42" s="581" t="s">
        <v>194</v>
      </c>
      <c r="F42" s="581" t="s">
        <v>195</v>
      </c>
      <c r="G42" s="662">
        <v>34853.411379999998</v>
      </c>
      <c r="H42" s="662">
        <v>37830.031130000003</v>
      </c>
      <c r="I42" s="662">
        <v>41831.40438</v>
      </c>
      <c r="J42" s="662">
        <v>42768.795749999997</v>
      </c>
      <c r="K42" s="662">
        <v>39624.253499999999</v>
      </c>
      <c r="L42" s="662">
        <v>18414.519130000001</v>
      </c>
      <c r="M42" s="662">
        <v>6947.415438</v>
      </c>
      <c r="N42" s="662">
        <v>2286.4337500000001</v>
      </c>
      <c r="O42" s="662">
        <v>-2187.464125</v>
      </c>
      <c r="P42" s="662">
        <v>-5143.2573130000001</v>
      </c>
      <c r="Q42" s="662">
        <v>-8152.2941559999999</v>
      </c>
      <c r="R42" s="662">
        <v>-9710.6038129999997</v>
      </c>
      <c r="S42" s="662">
        <v>-10935.697469999999</v>
      </c>
      <c r="T42" s="662">
        <v>-12733.01484</v>
      </c>
      <c r="U42" s="662">
        <v>-14431.391879999999</v>
      </c>
      <c r="V42" s="662">
        <v>-15850.140659999999</v>
      </c>
      <c r="W42" s="662">
        <v>-17930.809410000002</v>
      </c>
      <c r="X42" s="662">
        <v>-18401.48863</v>
      </c>
      <c r="Y42" s="662">
        <v>-18303.078310000001</v>
      </c>
    </row>
    <row r="43" spans="1:25" x14ac:dyDescent="0.25">
      <c r="A43" s="581" t="s">
        <v>233</v>
      </c>
      <c r="B43" s="581" t="s">
        <v>223</v>
      </c>
      <c r="D43" s="581" t="s">
        <v>193</v>
      </c>
      <c r="E43" s="581" t="s">
        <v>194</v>
      </c>
      <c r="F43" s="581" t="s">
        <v>195</v>
      </c>
      <c r="G43" s="662">
        <v>34853.411379999998</v>
      </c>
      <c r="H43" s="662">
        <v>37830.031130000003</v>
      </c>
      <c r="I43" s="662">
        <v>41831.40438</v>
      </c>
      <c r="J43" s="662">
        <v>42762.768250000001</v>
      </c>
      <c r="K43" s="662">
        <v>39602.054499999998</v>
      </c>
      <c r="L43" s="662">
        <v>19191.707999999999</v>
      </c>
      <c r="M43" s="662">
        <v>8971.5836249999993</v>
      </c>
      <c r="N43" s="662">
        <v>4706.699063</v>
      </c>
      <c r="O43" s="662">
        <v>245.8409375</v>
      </c>
      <c r="P43" s="662">
        <v>-3138.115875</v>
      </c>
      <c r="Q43" s="662">
        <v>-6020.66975</v>
      </c>
      <c r="R43" s="662">
        <v>-8204.76</v>
      </c>
      <c r="S43" s="662">
        <v>-9507.4587499999998</v>
      </c>
      <c r="T43" s="662">
        <v>-10977.40163</v>
      </c>
      <c r="U43" s="662">
        <v>-12600.792439999999</v>
      </c>
      <c r="V43" s="662">
        <v>-13935.70269</v>
      </c>
      <c r="W43" s="662">
        <v>-15553.088379999999</v>
      </c>
      <c r="X43" s="662">
        <v>-16272.350630000001</v>
      </c>
      <c r="Y43" s="662">
        <v>-15569.17669</v>
      </c>
    </row>
    <row r="44" spans="1:25" x14ac:dyDescent="0.25">
      <c r="A44" s="581" t="s">
        <v>233</v>
      </c>
      <c r="B44" s="581" t="s">
        <v>236</v>
      </c>
      <c r="D44" s="581" t="s">
        <v>193</v>
      </c>
      <c r="E44" s="581" t="s">
        <v>194</v>
      </c>
      <c r="F44" s="581" t="s">
        <v>195</v>
      </c>
      <c r="G44" s="662">
        <v>34853.411379999998</v>
      </c>
      <c r="H44" s="662">
        <v>37830.031130000003</v>
      </c>
      <c r="I44" s="662">
        <v>41831.40438</v>
      </c>
      <c r="J44" s="662">
        <v>42762.768250000001</v>
      </c>
      <c r="K44" s="662">
        <v>39602.054499999998</v>
      </c>
      <c r="L44" s="662">
        <v>30029.716250000001</v>
      </c>
      <c r="M44" s="662">
        <v>19615.128499999999</v>
      </c>
      <c r="N44" s="662">
        <v>13406.38675</v>
      </c>
      <c r="O44" s="662">
        <v>8575.9619999999995</v>
      </c>
      <c r="P44" s="662">
        <v>4290.9395000000004</v>
      </c>
      <c r="Q44" s="662">
        <v>812.37275</v>
      </c>
      <c r="R44" s="662">
        <v>-1496.66275</v>
      </c>
      <c r="S44" s="662">
        <v>-3336.9337500000001</v>
      </c>
      <c r="T44" s="662">
        <v>-5616.5502500000002</v>
      </c>
      <c r="U44" s="662">
        <v>-7619.7595000000001</v>
      </c>
      <c r="V44" s="662">
        <v>-9279.1168749999997</v>
      </c>
      <c r="W44" s="662">
        <v>-11046.69025</v>
      </c>
      <c r="X44" s="662">
        <v>-11964.915129999999</v>
      </c>
      <c r="Y44" s="662">
        <v>-13354.234630000001</v>
      </c>
    </row>
    <row r="45" spans="1:25" x14ac:dyDescent="0.25">
      <c r="A45" s="581" t="s">
        <v>237</v>
      </c>
      <c r="B45" s="581" t="s">
        <v>238</v>
      </c>
      <c r="D45" s="581" t="s">
        <v>193</v>
      </c>
      <c r="E45" s="581" t="s">
        <v>194</v>
      </c>
      <c r="F45" s="581" t="s">
        <v>195</v>
      </c>
      <c r="G45" s="662">
        <v>37423.042970000002</v>
      </c>
      <c r="H45" s="662" t="s">
        <v>198</v>
      </c>
      <c r="I45" s="662">
        <v>35426.136720000002</v>
      </c>
      <c r="J45" s="662" t="s">
        <v>198</v>
      </c>
      <c r="K45" s="662">
        <v>22357.039059999999</v>
      </c>
      <c r="L45" s="662" t="s">
        <v>198</v>
      </c>
      <c r="M45" s="662">
        <v>6096.3999020000001</v>
      </c>
      <c r="N45" s="662" t="s">
        <v>198</v>
      </c>
      <c r="O45" s="662">
        <v>-4592.6479490000002</v>
      </c>
      <c r="P45" s="662" t="s">
        <v>198</v>
      </c>
      <c r="Q45" s="662">
        <v>-9381.1171880000002</v>
      </c>
      <c r="R45" s="662" t="s">
        <v>198</v>
      </c>
      <c r="S45" s="662">
        <v>-12080.39746</v>
      </c>
      <c r="T45" s="662" t="s">
        <v>198</v>
      </c>
      <c r="U45" s="662">
        <v>-13677.233399999999</v>
      </c>
      <c r="V45" s="662" t="s">
        <v>198</v>
      </c>
      <c r="W45" s="662">
        <v>-14462.827149999999</v>
      </c>
      <c r="X45" s="662" t="s">
        <v>198</v>
      </c>
      <c r="Y45" s="662">
        <v>-14800.829100000001</v>
      </c>
    </row>
    <row r="46" spans="1:25" x14ac:dyDescent="0.25">
      <c r="A46" s="581" t="s">
        <v>237</v>
      </c>
      <c r="B46" s="581" t="s">
        <v>239</v>
      </c>
      <c r="D46" s="581" t="s">
        <v>193</v>
      </c>
      <c r="E46" s="581" t="s">
        <v>194</v>
      </c>
      <c r="F46" s="581" t="s">
        <v>195</v>
      </c>
      <c r="G46" s="662">
        <v>37423.042970000002</v>
      </c>
      <c r="H46" s="662" t="s">
        <v>198</v>
      </c>
      <c r="I46" s="662">
        <v>35563.011720000002</v>
      </c>
      <c r="J46" s="662" t="s">
        <v>198</v>
      </c>
      <c r="K46" s="662">
        <v>22986.890630000002</v>
      </c>
      <c r="L46" s="662" t="s">
        <v>198</v>
      </c>
      <c r="M46" s="662">
        <v>7652.5639650000003</v>
      </c>
      <c r="N46" s="662" t="s">
        <v>198</v>
      </c>
      <c r="O46" s="662">
        <v>-1362.323975</v>
      </c>
      <c r="P46" s="662" t="s">
        <v>198</v>
      </c>
      <c r="Q46" s="662">
        <v>-5218.419922</v>
      </c>
      <c r="R46" s="662" t="s">
        <v>198</v>
      </c>
      <c r="S46" s="662">
        <v>-8503.1191409999992</v>
      </c>
      <c r="T46" s="662" t="s">
        <v>198</v>
      </c>
      <c r="U46" s="662">
        <v>-10357.20801</v>
      </c>
      <c r="V46" s="662" t="s">
        <v>198</v>
      </c>
      <c r="W46" s="662">
        <v>-11745.19434</v>
      </c>
      <c r="X46" s="662" t="s">
        <v>198</v>
      </c>
      <c r="Y46" s="662">
        <v>-12926.632809999999</v>
      </c>
    </row>
    <row r="47" spans="1:25" x14ac:dyDescent="0.25">
      <c r="A47" s="581" t="s">
        <v>237</v>
      </c>
      <c r="B47" s="581" t="s">
        <v>240</v>
      </c>
      <c r="D47" s="581" t="s">
        <v>193</v>
      </c>
      <c r="E47" s="581" t="s">
        <v>194</v>
      </c>
      <c r="F47" s="581" t="s">
        <v>195</v>
      </c>
      <c r="G47" s="662">
        <v>37423.042970000002</v>
      </c>
      <c r="H47" s="662" t="s">
        <v>198</v>
      </c>
      <c r="I47" s="662">
        <v>35468.601560000003</v>
      </c>
      <c r="J47" s="662" t="s">
        <v>198</v>
      </c>
      <c r="K47" s="662">
        <v>22347.990229999999</v>
      </c>
      <c r="L47" s="662" t="s">
        <v>198</v>
      </c>
      <c r="M47" s="662">
        <v>5982.4912109999996</v>
      </c>
      <c r="N47" s="662" t="s">
        <v>198</v>
      </c>
      <c r="O47" s="662">
        <v>-4667.6381840000004</v>
      </c>
      <c r="P47" s="662" t="s">
        <v>198</v>
      </c>
      <c r="Q47" s="662">
        <v>-9171.2001949999994</v>
      </c>
      <c r="R47" s="662" t="s">
        <v>198</v>
      </c>
      <c r="S47" s="662">
        <v>-11860.57617</v>
      </c>
      <c r="T47" s="662" t="s">
        <v>198</v>
      </c>
      <c r="U47" s="662">
        <v>-13521.24512</v>
      </c>
      <c r="V47" s="662" t="s">
        <v>198</v>
      </c>
      <c r="W47" s="662">
        <v>-14393.98242</v>
      </c>
      <c r="X47" s="662" t="s">
        <v>198</v>
      </c>
      <c r="Y47" s="662">
        <v>-14796.954100000001</v>
      </c>
    </row>
    <row r="48" spans="1:25" x14ac:dyDescent="0.25">
      <c r="A48" s="581" t="s">
        <v>237</v>
      </c>
      <c r="B48" s="581" t="s">
        <v>241</v>
      </c>
      <c r="D48" s="581" t="s">
        <v>193</v>
      </c>
      <c r="E48" s="581" t="s">
        <v>194</v>
      </c>
      <c r="F48" s="581" t="s">
        <v>195</v>
      </c>
      <c r="G48" s="662">
        <v>37423.042970000002</v>
      </c>
      <c r="H48" s="662" t="s">
        <v>198</v>
      </c>
      <c r="I48" s="662">
        <v>34451.273439999997</v>
      </c>
      <c r="J48" s="662" t="s">
        <v>198</v>
      </c>
      <c r="K48" s="662">
        <v>20404.970700000002</v>
      </c>
      <c r="L48" s="662" t="s">
        <v>198</v>
      </c>
      <c r="M48" s="662">
        <v>4127.8759769999997</v>
      </c>
      <c r="N48" s="662" t="s">
        <v>198</v>
      </c>
      <c r="O48" s="662">
        <v>-6638.5219729999999</v>
      </c>
      <c r="P48" s="662" t="s">
        <v>198</v>
      </c>
      <c r="Q48" s="662">
        <v>-11060.98047</v>
      </c>
      <c r="R48" s="662" t="s">
        <v>198</v>
      </c>
      <c r="S48" s="662">
        <v>-13444.918949999999</v>
      </c>
      <c r="T48" s="662" t="s">
        <v>198</v>
      </c>
      <c r="U48" s="662">
        <v>-14841.10547</v>
      </c>
      <c r="V48" s="662" t="s">
        <v>198</v>
      </c>
      <c r="W48" s="662">
        <v>-14973.99805</v>
      </c>
      <c r="X48" s="662" t="s">
        <v>198</v>
      </c>
      <c r="Y48" s="662">
        <v>-15005.4082</v>
      </c>
    </row>
    <row r="49" spans="1:25" x14ac:dyDescent="0.25">
      <c r="A49" s="581" t="s">
        <v>242</v>
      </c>
      <c r="B49" s="581" t="s">
        <v>192</v>
      </c>
      <c r="D49" s="581" t="s">
        <v>193</v>
      </c>
      <c r="E49" s="581" t="s">
        <v>194</v>
      </c>
      <c r="F49" s="581" t="s">
        <v>195</v>
      </c>
      <c r="G49" s="662">
        <v>38842.928</v>
      </c>
      <c r="H49" s="662">
        <v>42927.371200000001</v>
      </c>
      <c r="I49" s="662">
        <v>45171.882799999999</v>
      </c>
      <c r="J49" s="662">
        <v>36199.1</v>
      </c>
      <c r="K49" s="662">
        <v>25056.33</v>
      </c>
      <c r="L49" s="662">
        <v>15186.2</v>
      </c>
      <c r="M49" s="662">
        <v>8161.7169999999996</v>
      </c>
      <c r="N49" s="662">
        <v>2464.797</v>
      </c>
      <c r="O49" s="662">
        <v>-1894.876</v>
      </c>
      <c r="P49" s="662">
        <v>-5689.1170000000002</v>
      </c>
      <c r="Q49" s="662">
        <v>-8680.5339999999997</v>
      </c>
      <c r="R49" s="662" t="s">
        <v>198</v>
      </c>
      <c r="S49" s="662">
        <v>-12133.05</v>
      </c>
      <c r="T49" s="662" t="s">
        <v>198</v>
      </c>
      <c r="U49" s="662">
        <v>-12884.94</v>
      </c>
      <c r="V49" s="662" t="s">
        <v>198</v>
      </c>
      <c r="W49" s="662">
        <v>-12748.99</v>
      </c>
      <c r="X49" s="662" t="s">
        <v>198</v>
      </c>
      <c r="Y49" s="662">
        <v>-13373.91</v>
      </c>
    </row>
    <row r="50" spans="1:25" x14ac:dyDescent="0.25">
      <c r="A50" s="581" t="s">
        <v>242</v>
      </c>
      <c r="B50" s="581" t="s">
        <v>235</v>
      </c>
      <c r="D50" s="581" t="s">
        <v>193</v>
      </c>
      <c r="E50" s="581" t="s">
        <v>194</v>
      </c>
      <c r="F50" s="581" t="s">
        <v>195</v>
      </c>
      <c r="G50" s="662">
        <v>38842.928</v>
      </c>
      <c r="H50" s="662">
        <v>42927.371200000001</v>
      </c>
      <c r="I50" s="662">
        <v>45171.882799999999</v>
      </c>
      <c r="J50" s="662">
        <v>43281.066899999998</v>
      </c>
      <c r="K50" s="662">
        <v>40939.562599999997</v>
      </c>
      <c r="L50" s="662">
        <v>27962.116699999999</v>
      </c>
      <c r="M50" s="662">
        <v>13482.7302</v>
      </c>
      <c r="N50" s="662">
        <v>1595.2072000000001</v>
      </c>
      <c r="O50" s="662">
        <v>-5801.7884000000004</v>
      </c>
      <c r="P50" s="662">
        <v>-10185.7893</v>
      </c>
      <c r="Q50" s="662">
        <v>-13345.3676</v>
      </c>
      <c r="R50" s="662" t="s">
        <v>198</v>
      </c>
      <c r="S50" s="662">
        <v>-16616.055899999999</v>
      </c>
      <c r="T50" s="662" t="s">
        <v>198</v>
      </c>
      <c r="U50" s="662">
        <v>-16585.280699999999</v>
      </c>
      <c r="V50" s="662" t="s">
        <v>198</v>
      </c>
      <c r="W50" s="662">
        <v>-15703.489600000001</v>
      </c>
      <c r="X50" s="662" t="s">
        <v>198</v>
      </c>
      <c r="Y50" s="662">
        <v>-15504.3336</v>
      </c>
    </row>
    <row r="51" spans="1:25" x14ac:dyDescent="0.25">
      <c r="A51" s="581" t="s">
        <v>242</v>
      </c>
      <c r="B51" s="581" t="s">
        <v>223</v>
      </c>
      <c r="D51" s="581" t="s">
        <v>193</v>
      </c>
      <c r="E51" s="581" t="s">
        <v>194</v>
      </c>
      <c r="F51" s="581" t="s">
        <v>195</v>
      </c>
      <c r="G51" s="662">
        <v>38842.928</v>
      </c>
      <c r="H51" s="662">
        <v>42927.371200000001</v>
      </c>
      <c r="I51" s="662">
        <v>45171.882799999999</v>
      </c>
      <c r="J51" s="662">
        <v>43281.07</v>
      </c>
      <c r="K51" s="662">
        <v>40939.56</v>
      </c>
      <c r="L51" s="662">
        <v>29423.21</v>
      </c>
      <c r="M51" s="662">
        <v>17683.650000000001</v>
      </c>
      <c r="N51" s="662">
        <v>7573.0519999999997</v>
      </c>
      <c r="O51" s="662">
        <v>741.22090000000003</v>
      </c>
      <c r="P51" s="662">
        <v>-4048.9609999999998</v>
      </c>
      <c r="Q51" s="662">
        <v>-7811.1210000000001</v>
      </c>
      <c r="R51" s="662" t="s">
        <v>198</v>
      </c>
      <c r="S51" s="662">
        <v>-11916.31</v>
      </c>
      <c r="T51" s="662" t="s">
        <v>198</v>
      </c>
      <c r="U51" s="662">
        <v>-12946.82</v>
      </c>
      <c r="V51" s="662" t="s">
        <v>198</v>
      </c>
      <c r="W51" s="662">
        <v>-12845.55</v>
      </c>
      <c r="X51" s="662" t="s">
        <v>198</v>
      </c>
      <c r="Y51" s="662">
        <v>-13411.42</v>
      </c>
    </row>
    <row r="52" spans="1:25" x14ac:dyDescent="0.25">
      <c r="A52" s="581" t="s">
        <v>242</v>
      </c>
      <c r="B52" s="581" t="s">
        <v>243</v>
      </c>
      <c r="D52" s="581" t="s">
        <v>193</v>
      </c>
      <c r="E52" s="581" t="s">
        <v>194</v>
      </c>
      <c r="F52" s="581" t="s">
        <v>195</v>
      </c>
      <c r="G52" s="662">
        <v>40127.095200000003</v>
      </c>
      <c r="H52" s="662">
        <v>45416.179400000001</v>
      </c>
      <c r="I52" s="662">
        <v>45912.145299999996</v>
      </c>
      <c r="J52" s="662">
        <v>34806.82</v>
      </c>
      <c r="K52" s="662">
        <v>21833.63</v>
      </c>
      <c r="L52" s="662">
        <v>9872.6679999999997</v>
      </c>
      <c r="M52" s="662">
        <v>2026.83</v>
      </c>
      <c r="N52" s="662">
        <v>-2386.0419999999999</v>
      </c>
      <c r="O52" s="662">
        <v>-4138.433</v>
      </c>
      <c r="P52" s="662">
        <v>-5355.9459999999999</v>
      </c>
      <c r="Q52" s="662">
        <v>-6649.1369999999997</v>
      </c>
      <c r="R52" s="662" t="s">
        <v>198</v>
      </c>
      <c r="S52" s="662">
        <v>-9079.0370000000003</v>
      </c>
      <c r="T52" s="662" t="s">
        <v>198</v>
      </c>
      <c r="U52" s="662">
        <v>-10585.01</v>
      </c>
      <c r="V52" s="662" t="s">
        <v>198</v>
      </c>
      <c r="W52" s="662">
        <v>-11120.81</v>
      </c>
      <c r="X52" s="662" t="s">
        <v>198</v>
      </c>
      <c r="Y52" s="662">
        <v>-11338.93</v>
      </c>
    </row>
    <row r="53" spans="1:25" x14ac:dyDescent="0.25">
      <c r="A53" s="581" t="s">
        <v>242</v>
      </c>
      <c r="B53" s="581" t="s">
        <v>244</v>
      </c>
      <c r="D53" s="581" t="s">
        <v>193</v>
      </c>
      <c r="E53" s="581" t="s">
        <v>194</v>
      </c>
      <c r="F53" s="581" t="s">
        <v>195</v>
      </c>
      <c r="G53" s="662">
        <v>40127.095200000003</v>
      </c>
      <c r="H53" s="662">
        <v>45416.179400000001</v>
      </c>
      <c r="I53" s="662">
        <v>45912.145299999996</v>
      </c>
      <c r="J53" s="662">
        <v>37382.51</v>
      </c>
      <c r="K53" s="662">
        <v>26709.88</v>
      </c>
      <c r="L53" s="662">
        <v>18082.96</v>
      </c>
      <c r="M53" s="662">
        <v>11858.97</v>
      </c>
      <c r="N53" s="662">
        <v>6267.9639999999999</v>
      </c>
      <c r="O53" s="662">
        <v>1169.867</v>
      </c>
      <c r="P53" s="662">
        <v>-3775.2779999999998</v>
      </c>
      <c r="Q53" s="662">
        <v>-7935.232</v>
      </c>
      <c r="R53" s="662" t="s">
        <v>198</v>
      </c>
      <c r="S53" s="662">
        <v>-13286.6</v>
      </c>
      <c r="T53" s="662" t="s">
        <v>198</v>
      </c>
      <c r="U53" s="662">
        <v>-15240</v>
      </c>
      <c r="V53" s="662" t="s">
        <v>198</v>
      </c>
      <c r="W53" s="662">
        <v>-17402.060000000001</v>
      </c>
      <c r="X53" s="662" t="s">
        <v>198</v>
      </c>
      <c r="Y53" s="662">
        <v>-18831.12</v>
      </c>
    </row>
    <row r="54" spans="1:25" x14ac:dyDescent="0.25">
      <c r="A54" s="581" t="s">
        <v>242</v>
      </c>
      <c r="B54" s="581" t="s">
        <v>245</v>
      </c>
      <c r="D54" s="581" t="s">
        <v>193</v>
      </c>
      <c r="E54" s="581" t="s">
        <v>194</v>
      </c>
      <c r="F54" s="581" t="s">
        <v>195</v>
      </c>
      <c r="G54" s="662">
        <v>40127.095200000003</v>
      </c>
      <c r="H54" s="662">
        <v>45416.179400000001</v>
      </c>
      <c r="I54" s="662">
        <v>45912.145299999996</v>
      </c>
      <c r="J54" s="662">
        <v>31680.37</v>
      </c>
      <c r="K54" s="662">
        <v>16490.849999999999</v>
      </c>
      <c r="L54" s="662">
        <v>2461.4160000000002</v>
      </c>
      <c r="M54" s="662">
        <v>-2537.7530000000002</v>
      </c>
      <c r="N54" s="662">
        <v>-4129.6499999999996</v>
      </c>
      <c r="O54" s="662">
        <v>-5162.4459999999999</v>
      </c>
      <c r="P54" s="662">
        <v>-5929.9639999999999</v>
      </c>
      <c r="Q54" s="662">
        <v>-6392.1869999999999</v>
      </c>
      <c r="R54" s="662" t="s">
        <v>198</v>
      </c>
      <c r="S54" s="662">
        <v>-6837.2269999999999</v>
      </c>
      <c r="T54" s="662" t="s">
        <v>198</v>
      </c>
      <c r="U54" s="662">
        <v>-7085.2939999999999</v>
      </c>
      <c r="V54" s="662" t="s">
        <v>198</v>
      </c>
      <c r="W54" s="662">
        <v>-7258.3370000000004</v>
      </c>
      <c r="X54" s="662" t="s">
        <v>198</v>
      </c>
      <c r="Y54" s="662">
        <v>-7458.134</v>
      </c>
    </row>
    <row r="55" spans="1:25" x14ac:dyDescent="0.25">
      <c r="A55" s="581" t="s">
        <v>246</v>
      </c>
      <c r="B55" s="581" t="s">
        <v>196</v>
      </c>
      <c r="D55" s="581" t="s">
        <v>193</v>
      </c>
      <c r="E55" s="581" t="s">
        <v>194</v>
      </c>
      <c r="F55" s="581" t="s">
        <v>195</v>
      </c>
      <c r="G55" s="662">
        <v>36250</v>
      </c>
      <c r="H55" s="662" t="s">
        <v>198</v>
      </c>
      <c r="I55" s="662">
        <v>35200</v>
      </c>
      <c r="J55" s="662" t="s">
        <v>198</v>
      </c>
      <c r="K55" s="662">
        <v>26310</v>
      </c>
      <c r="L55" s="662" t="s">
        <v>198</v>
      </c>
      <c r="M55" s="662">
        <v>16410</v>
      </c>
      <c r="N55" s="662" t="s">
        <v>198</v>
      </c>
      <c r="O55" s="662">
        <v>3761</v>
      </c>
      <c r="P55" s="662" t="s">
        <v>198</v>
      </c>
      <c r="Q55" s="662">
        <v>-6315</v>
      </c>
      <c r="R55" s="662" t="s">
        <v>198</v>
      </c>
      <c r="S55" s="662">
        <v>-9558</v>
      </c>
      <c r="T55" s="662" t="s">
        <v>198</v>
      </c>
      <c r="U55" s="662">
        <v>-11390</v>
      </c>
      <c r="V55" s="662" t="s">
        <v>198</v>
      </c>
      <c r="W55" s="662">
        <v>-12770</v>
      </c>
      <c r="X55" s="662" t="s">
        <v>198</v>
      </c>
      <c r="Y55" s="662">
        <v>-13370</v>
      </c>
    </row>
    <row r="56" spans="1:25" x14ac:dyDescent="0.25">
      <c r="A56" s="581" t="s">
        <v>246</v>
      </c>
      <c r="B56" s="581" t="s">
        <v>199</v>
      </c>
      <c r="D56" s="581" t="s">
        <v>193</v>
      </c>
      <c r="E56" s="581" t="s">
        <v>194</v>
      </c>
      <c r="F56" s="581" t="s">
        <v>195</v>
      </c>
      <c r="G56" s="662">
        <v>37010</v>
      </c>
      <c r="H56" s="662" t="s">
        <v>198</v>
      </c>
      <c r="I56" s="662">
        <v>42310</v>
      </c>
      <c r="J56" s="662" t="s">
        <v>198</v>
      </c>
      <c r="K56" s="662">
        <v>31110</v>
      </c>
      <c r="L56" s="662" t="s">
        <v>198</v>
      </c>
      <c r="M56" s="662">
        <v>8623</v>
      </c>
      <c r="N56" s="662" t="s">
        <v>198</v>
      </c>
      <c r="O56" s="662">
        <v>-7250</v>
      </c>
      <c r="P56" s="662" t="s">
        <v>198</v>
      </c>
      <c r="Q56" s="662">
        <v>-10480</v>
      </c>
      <c r="R56" s="662" t="s">
        <v>198</v>
      </c>
      <c r="S56" s="662">
        <v>-12620</v>
      </c>
      <c r="T56" s="662" t="s">
        <v>198</v>
      </c>
      <c r="U56" s="662">
        <v>-13640</v>
      </c>
      <c r="V56" s="662" t="s">
        <v>198</v>
      </c>
      <c r="W56" s="662">
        <v>-13240</v>
      </c>
      <c r="X56" s="662" t="s">
        <v>198</v>
      </c>
      <c r="Y56" s="662">
        <v>-14180</v>
      </c>
    </row>
    <row r="57" spans="1:25" s="583" customFormat="1" x14ac:dyDescent="0.25">
      <c r="A57" s="583" t="s">
        <v>246</v>
      </c>
      <c r="B57" s="583" t="s">
        <v>212</v>
      </c>
      <c r="C57" s="583" t="s">
        <v>247</v>
      </c>
      <c r="D57" s="583" t="s">
        <v>193</v>
      </c>
      <c r="E57" s="583" t="s">
        <v>194</v>
      </c>
      <c r="F57" s="583" t="s">
        <v>195</v>
      </c>
      <c r="G57" s="663">
        <v>36370</v>
      </c>
      <c r="H57" s="663" t="s">
        <v>198</v>
      </c>
      <c r="I57" s="663">
        <v>39700</v>
      </c>
      <c r="J57" s="663" t="s">
        <v>198</v>
      </c>
      <c r="K57" s="663">
        <v>37770</v>
      </c>
      <c r="L57" s="663" t="s">
        <v>198</v>
      </c>
      <c r="M57" s="663">
        <v>22140</v>
      </c>
      <c r="N57" s="663" t="s">
        <v>198</v>
      </c>
      <c r="O57" s="663">
        <v>1254</v>
      </c>
      <c r="P57" s="663" t="s">
        <v>198</v>
      </c>
      <c r="Q57" s="663">
        <v>-12840</v>
      </c>
      <c r="R57" s="663" t="s">
        <v>198</v>
      </c>
      <c r="S57" s="663">
        <v>-16250</v>
      </c>
      <c r="T57" s="663" t="s">
        <v>198</v>
      </c>
      <c r="U57" s="663">
        <v>-17930</v>
      </c>
      <c r="V57" s="663" t="s">
        <v>198</v>
      </c>
      <c r="W57" s="663">
        <v>-19550</v>
      </c>
      <c r="X57" s="663" t="s">
        <v>198</v>
      </c>
      <c r="Y57" s="663">
        <v>-21310</v>
      </c>
    </row>
    <row r="58" spans="1:25" x14ac:dyDescent="0.25">
      <c r="A58" s="581" t="s">
        <v>248</v>
      </c>
      <c r="B58" s="581" t="s">
        <v>201</v>
      </c>
      <c r="D58" s="581" t="s">
        <v>193</v>
      </c>
      <c r="E58" s="581" t="s">
        <v>194</v>
      </c>
      <c r="F58" s="581" t="s">
        <v>195</v>
      </c>
      <c r="G58" s="662">
        <v>36445.891300000003</v>
      </c>
      <c r="H58" s="662">
        <v>40425.1103</v>
      </c>
      <c r="I58" s="662">
        <v>41856.077799999999</v>
      </c>
      <c r="J58" s="662">
        <v>33555.170299999998</v>
      </c>
      <c r="K58" s="662">
        <v>24570.549299999999</v>
      </c>
      <c r="L58" s="662">
        <v>16512.5609</v>
      </c>
      <c r="M58" s="662">
        <v>10060.4881</v>
      </c>
      <c r="N58" s="662">
        <v>4619.2232000000004</v>
      </c>
      <c r="O58" s="662">
        <v>94.588499999999996</v>
      </c>
      <c r="P58" s="662">
        <v>-4090.2975999999999</v>
      </c>
      <c r="Q58" s="662">
        <v>-7360.4691000000003</v>
      </c>
      <c r="R58" s="662" t="s">
        <v>198</v>
      </c>
      <c r="S58" s="662">
        <v>-11298.743700000001</v>
      </c>
      <c r="T58" s="662" t="s">
        <v>198</v>
      </c>
      <c r="U58" s="662">
        <v>-13138.914000000001</v>
      </c>
      <c r="V58" s="662" t="s">
        <v>198</v>
      </c>
      <c r="W58" s="662">
        <v>-14203.1937</v>
      </c>
      <c r="X58" s="662" t="s">
        <v>198</v>
      </c>
      <c r="Y58" s="662">
        <v>-15378.92</v>
      </c>
    </row>
    <row r="59" spans="1:25" x14ac:dyDescent="0.25">
      <c r="A59" s="581" t="s">
        <v>248</v>
      </c>
      <c r="B59" s="581" t="s">
        <v>224</v>
      </c>
      <c r="D59" s="581" t="s">
        <v>193</v>
      </c>
      <c r="E59" s="581" t="s">
        <v>194</v>
      </c>
      <c r="F59" s="581" t="s">
        <v>195</v>
      </c>
      <c r="G59" s="662">
        <v>35830.936199999996</v>
      </c>
      <c r="H59" s="662">
        <v>40322.309399999998</v>
      </c>
      <c r="I59" s="662">
        <v>44324.321300000003</v>
      </c>
      <c r="J59" s="662">
        <v>37835.011899999998</v>
      </c>
      <c r="K59" s="662">
        <v>29471.743200000001</v>
      </c>
      <c r="L59" s="662">
        <v>22245.8606</v>
      </c>
      <c r="M59" s="662">
        <v>17516.5556</v>
      </c>
      <c r="N59" s="662">
        <v>12502.5378</v>
      </c>
      <c r="O59" s="662">
        <v>6350.5594000000001</v>
      </c>
      <c r="P59" s="662">
        <v>-474.33769999999998</v>
      </c>
      <c r="Q59" s="662">
        <v>-5807.1839</v>
      </c>
      <c r="R59" s="662" t="s">
        <v>198</v>
      </c>
      <c r="S59" s="662">
        <v>-10894.706200000001</v>
      </c>
      <c r="T59" s="662" t="s">
        <v>198</v>
      </c>
      <c r="U59" s="662">
        <v>-13813.894700000001</v>
      </c>
      <c r="V59" s="662" t="s">
        <v>198</v>
      </c>
      <c r="W59" s="662">
        <v>-15174.497300000001</v>
      </c>
      <c r="X59" s="662" t="s">
        <v>198</v>
      </c>
      <c r="Y59" s="662">
        <v>-16081.9449</v>
      </c>
    </row>
    <row r="60" spans="1:25" x14ac:dyDescent="0.25">
      <c r="A60" s="581" t="s">
        <v>248</v>
      </c>
      <c r="B60" s="581" t="s">
        <v>225</v>
      </c>
      <c r="D60" s="581" t="s">
        <v>193</v>
      </c>
      <c r="E60" s="581" t="s">
        <v>194</v>
      </c>
      <c r="F60" s="581" t="s">
        <v>195</v>
      </c>
      <c r="G60" s="662">
        <v>35851.354800000001</v>
      </c>
      <c r="H60" s="662">
        <v>40379.003100000002</v>
      </c>
      <c r="I60" s="662">
        <v>44405.855000000003</v>
      </c>
      <c r="J60" s="662">
        <v>38385.9735</v>
      </c>
      <c r="K60" s="662">
        <v>30403.950400000002</v>
      </c>
      <c r="L60" s="662">
        <v>22966.5347</v>
      </c>
      <c r="M60" s="662">
        <v>17147.8413</v>
      </c>
      <c r="N60" s="662">
        <v>10849.3269</v>
      </c>
      <c r="O60" s="662">
        <v>4550.1742999999997</v>
      </c>
      <c r="P60" s="662">
        <v>-1330.2197000000001</v>
      </c>
      <c r="Q60" s="662">
        <v>-5590.1219000000001</v>
      </c>
      <c r="R60" s="662" t="s">
        <v>198</v>
      </c>
      <c r="S60" s="662">
        <v>-10245.5535</v>
      </c>
      <c r="T60" s="662" t="s">
        <v>198</v>
      </c>
      <c r="U60" s="662">
        <v>-13380.2102</v>
      </c>
      <c r="V60" s="662" t="s">
        <v>198</v>
      </c>
      <c r="W60" s="662">
        <v>-15037.9157</v>
      </c>
      <c r="X60" s="662" t="s">
        <v>198</v>
      </c>
      <c r="Y60" s="662">
        <v>-15912.9872</v>
      </c>
    </row>
    <row r="61" spans="1:25" x14ac:dyDescent="0.25">
      <c r="A61" s="581" t="s">
        <v>248</v>
      </c>
      <c r="B61" s="581" t="s">
        <v>249</v>
      </c>
      <c r="D61" s="581" t="s">
        <v>193</v>
      </c>
      <c r="E61" s="581" t="s">
        <v>194</v>
      </c>
      <c r="F61" s="581" t="s">
        <v>195</v>
      </c>
      <c r="G61" s="662">
        <v>35843.500800000002</v>
      </c>
      <c r="H61" s="662">
        <v>40366.209900000002</v>
      </c>
      <c r="I61" s="662">
        <v>44275.821900000003</v>
      </c>
      <c r="J61" s="662">
        <v>37481.317000000003</v>
      </c>
      <c r="K61" s="662">
        <v>28803.758099999999</v>
      </c>
      <c r="L61" s="662">
        <v>20116.529500000001</v>
      </c>
      <c r="M61" s="662">
        <v>12733.3845</v>
      </c>
      <c r="N61" s="662">
        <v>6392.1733999999997</v>
      </c>
      <c r="O61" s="662">
        <v>984.45100000000002</v>
      </c>
      <c r="P61" s="662">
        <v>-3527.5050000000001</v>
      </c>
      <c r="Q61" s="662">
        <v>-6407.0281000000004</v>
      </c>
      <c r="R61" s="662" t="s">
        <v>198</v>
      </c>
      <c r="S61" s="662">
        <v>-8868.8073000000004</v>
      </c>
      <c r="T61" s="662" t="s">
        <v>198</v>
      </c>
      <c r="U61" s="662">
        <v>-10881.784299999999</v>
      </c>
      <c r="V61" s="662" t="s">
        <v>198</v>
      </c>
      <c r="W61" s="662">
        <v>-12566.8367</v>
      </c>
      <c r="X61" s="662" t="s">
        <v>198</v>
      </c>
      <c r="Y61" s="662">
        <v>-13827.2495</v>
      </c>
    </row>
    <row r="62" spans="1:25" x14ac:dyDescent="0.25">
      <c r="A62" s="581" t="s">
        <v>248</v>
      </c>
      <c r="B62" s="581" t="s">
        <v>250</v>
      </c>
      <c r="D62" s="581" t="s">
        <v>193</v>
      </c>
      <c r="E62" s="581" t="s">
        <v>194</v>
      </c>
      <c r="F62" s="581" t="s">
        <v>195</v>
      </c>
      <c r="G62" s="662">
        <v>37410.507899999997</v>
      </c>
      <c r="H62" s="662">
        <v>42089.332300000002</v>
      </c>
      <c r="I62" s="662">
        <v>44855.7889</v>
      </c>
      <c r="J62" s="662">
        <v>44494.332300000002</v>
      </c>
      <c r="K62" s="662">
        <v>42923.054199999999</v>
      </c>
      <c r="L62" s="662">
        <v>32440.473999999998</v>
      </c>
      <c r="M62" s="662">
        <v>18809.594099999998</v>
      </c>
      <c r="N62" s="662">
        <v>5661.2003000000004</v>
      </c>
      <c r="O62" s="662">
        <v>-4040.1044000000002</v>
      </c>
      <c r="P62" s="662">
        <v>-10787.636399999999</v>
      </c>
      <c r="Q62" s="662">
        <v>-14933.5797</v>
      </c>
      <c r="R62" s="662" t="s">
        <v>198</v>
      </c>
      <c r="S62" s="662">
        <v>-18340.600900000001</v>
      </c>
      <c r="T62" s="662" t="s">
        <v>198</v>
      </c>
      <c r="U62" s="662">
        <v>-18851.7539</v>
      </c>
      <c r="V62" s="662" t="s">
        <v>198</v>
      </c>
      <c r="W62" s="662">
        <v>-18527.600299999998</v>
      </c>
      <c r="X62" s="662" t="s">
        <v>198</v>
      </c>
      <c r="Y62" s="662">
        <v>-18642.7363</v>
      </c>
    </row>
    <row r="63" spans="1:25" x14ac:dyDescent="0.25">
      <c r="A63" s="581" t="s">
        <v>248</v>
      </c>
      <c r="B63" s="581" t="s">
        <v>251</v>
      </c>
      <c r="D63" s="581" t="s">
        <v>193</v>
      </c>
      <c r="E63" s="581" t="s">
        <v>194</v>
      </c>
      <c r="F63" s="581" t="s">
        <v>195</v>
      </c>
      <c r="G63" s="662">
        <v>37217.68</v>
      </c>
      <c r="H63" s="662">
        <v>41664.262499999997</v>
      </c>
      <c r="I63" s="662">
        <v>42685.567999999999</v>
      </c>
      <c r="J63" s="662">
        <v>34758.213499999998</v>
      </c>
      <c r="K63" s="662">
        <v>26082.210999999999</v>
      </c>
      <c r="L63" s="662">
        <v>17525.472099999999</v>
      </c>
      <c r="M63" s="662">
        <v>10660.037200000001</v>
      </c>
      <c r="N63" s="662">
        <v>4455.4471000000003</v>
      </c>
      <c r="O63" s="662">
        <v>-541.20749999999998</v>
      </c>
      <c r="P63" s="662">
        <v>-4780.5667999999996</v>
      </c>
      <c r="Q63" s="662">
        <v>-7910.7380000000003</v>
      </c>
      <c r="R63" s="662" t="s">
        <v>198</v>
      </c>
      <c r="S63" s="662">
        <v>-11969.974899999999</v>
      </c>
      <c r="T63" s="662" t="s">
        <v>198</v>
      </c>
      <c r="U63" s="662">
        <v>-13816.027899999999</v>
      </c>
      <c r="V63" s="662" t="s">
        <v>198</v>
      </c>
      <c r="W63" s="662">
        <v>-14655.5736</v>
      </c>
      <c r="X63" s="662" t="s">
        <v>198</v>
      </c>
      <c r="Y63" s="662">
        <v>-15694.3266</v>
      </c>
    </row>
    <row r="64" spans="1:25" x14ac:dyDescent="0.25">
      <c r="A64" s="581" t="s">
        <v>248</v>
      </c>
      <c r="B64" s="581" t="s">
        <v>252</v>
      </c>
      <c r="D64" s="581" t="s">
        <v>193</v>
      </c>
      <c r="E64" s="581" t="s">
        <v>194</v>
      </c>
      <c r="F64" s="581" t="s">
        <v>195</v>
      </c>
      <c r="G64" s="662">
        <v>37077.811199999996</v>
      </c>
      <c r="H64" s="662">
        <v>41165.644</v>
      </c>
      <c r="I64" s="662">
        <v>43038.621099999997</v>
      </c>
      <c r="J64" s="662">
        <v>41044.8024</v>
      </c>
      <c r="K64" s="662">
        <v>37495.871500000001</v>
      </c>
      <c r="L64" s="662">
        <v>28195.7179</v>
      </c>
      <c r="M64" s="662">
        <v>17159.210599999999</v>
      </c>
      <c r="N64" s="662">
        <v>6134.6305000000002</v>
      </c>
      <c r="O64" s="662">
        <v>-2431.2328000000002</v>
      </c>
      <c r="P64" s="662">
        <v>-8580.7993000000006</v>
      </c>
      <c r="Q64" s="662">
        <v>-12756.5576</v>
      </c>
      <c r="R64" s="662" t="s">
        <v>198</v>
      </c>
      <c r="S64" s="662">
        <v>-16611.900099999999</v>
      </c>
      <c r="T64" s="662" t="s">
        <v>198</v>
      </c>
      <c r="U64" s="662">
        <v>-17438.7965</v>
      </c>
      <c r="V64" s="662" t="s">
        <v>198</v>
      </c>
      <c r="W64" s="662">
        <v>-17617.041700000002</v>
      </c>
      <c r="X64" s="662" t="s">
        <v>198</v>
      </c>
      <c r="Y64" s="662">
        <v>-17905.074000000001</v>
      </c>
    </row>
    <row r="65" spans="1:25" x14ac:dyDescent="0.25">
      <c r="A65" s="581" t="s">
        <v>248</v>
      </c>
      <c r="B65" s="581" t="s">
        <v>253</v>
      </c>
      <c r="D65" s="581" t="s">
        <v>193</v>
      </c>
      <c r="E65" s="581" t="s">
        <v>194</v>
      </c>
      <c r="F65" s="581" t="s">
        <v>195</v>
      </c>
      <c r="G65" s="662">
        <v>37077.811199999996</v>
      </c>
      <c r="H65" s="662">
        <v>41171.303399999997</v>
      </c>
      <c r="I65" s="662">
        <v>42766.3727</v>
      </c>
      <c r="J65" s="662">
        <v>39203.911500000002</v>
      </c>
      <c r="K65" s="662">
        <v>33937.3128</v>
      </c>
      <c r="L65" s="662">
        <v>25061.4548</v>
      </c>
      <c r="M65" s="662">
        <v>15837.9671</v>
      </c>
      <c r="N65" s="662">
        <v>6883.6637000000001</v>
      </c>
      <c r="O65" s="662">
        <v>-1126.3657000000001</v>
      </c>
      <c r="P65" s="662">
        <v>-7069.9504999999999</v>
      </c>
      <c r="Q65" s="662">
        <v>-11225.288699999999</v>
      </c>
      <c r="R65" s="662" t="s">
        <v>198</v>
      </c>
      <c r="S65" s="662">
        <v>-15487.4406</v>
      </c>
      <c r="T65" s="662" t="s">
        <v>198</v>
      </c>
      <c r="U65" s="662">
        <v>-16904.255499999999</v>
      </c>
      <c r="V65" s="662" t="s">
        <v>198</v>
      </c>
      <c r="W65" s="662">
        <v>-17290.825400000002</v>
      </c>
      <c r="X65" s="662" t="s">
        <v>198</v>
      </c>
      <c r="Y65" s="662">
        <v>-17476.345300000001</v>
      </c>
    </row>
    <row r="66" spans="1:25" x14ac:dyDescent="0.25">
      <c r="A66" s="581" t="s">
        <v>248</v>
      </c>
      <c r="B66" s="581" t="s">
        <v>254</v>
      </c>
      <c r="D66" s="581" t="s">
        <v>193</v>
      </c>
      <c r="E66" s="581" t="s">
        <v>194</v>
      </c>
      <c r="F66" s="581" t="s">
        <v>195</v>
      </c>
      <c r="G66" s="662">
        <v>37396.045400000003</v>
      </c>
      <c r="H66" s="662">
        <v>42149.995499999997</v>
      </c>
      <c r="I66" s="662">
        <v>42692.580600000001</v>
      </c>
      <c r="J66" s="662">
        <v>29516.213</v>
      </c>
      <c r="K66" s="662">
        <v>15307.7392</v>
      </c>
      <c r="L66" s="662">
        <v>4242.9967999999999</v>
      </c>
      <c r="M66" s="662">
        <v>-2179.6914999999999</v>
      </c>
      <c r="N66" s="662">
        <v>-4988.1630999999998</v>
      </c>
      <c r="O66" s="662">
        <v>-5753.3094000000001</v>
      </c>
      <c r="P66" s="662">
        <v>-6022.0726000000004</v>
      </c>
      <c r="Q66" s="662">
        <v>-6307.8341</v>
      </c>
      <c r="R66" s="662" t="s">
        <v>198</v>
      </c>
      <c r="S66" s="662">
        <v>-6465.7912999999999</v>
      </c>
      <c r="T66" s="662" t="s">
        <v>198</v>
      </c>
      <c r="U66" s="662">
        <v>-5959.3234000000002</v>
      </c>
      <c r="V66" s="662" t="s">
        <v>198</v>
      </c>
      <c r="W66" s="662">
        <v>-6136.9494000000004</v>
      </c>
      <c r="X66" s="662" t="s">
        <v>198</v>
      </c>
      <c r="Y66" s="662">
        <v>-5770.2466999999997</v>
      </c>
    </row>
    <row r="67" spans="1:25" x14ac:dyDescent="0.25">
      <c r="A67" s="581" t="s">
        <v>248</v>
      </c>
      <c r="B67" s="581" t="s">
        <v>255</v>
      </c>
      <c r="D67" s="581" t="s">
        <v>193</v>
      </c>
      <c r="E67" s="581" t="s">
        <v>194</v>
      </c>
      <c r="F67" s="581" t="s">
        <v>195</v>
      </c>
      <c r="G67" s="662">
        <v>38691.436800000003</v>
      </c>
      <c r="H67" s="662">
        <v>43274.734600000003</v>
      </c>
      <c r="I67" s="662">
        <v>36816.120600000002</v>
      </c>
      <c r="J67" s="662">
        <v>28357.1702</v>
      </c>
      <c r="K67" s="662">
        <v>21518.329099999999</v>
      </c>
      <c r="L67" s="662">
        <v>15884.477999999999</v>
      </c>
      <c r="M67" s="662">
        <v>10634.9342</v>
      </c>
      <c r="N67" s="662">
        <v>5632.9957999999997</v>
      </c>
      <c r="O67" s="662">
        <v>1458.0328</v>
      </c>
      <c r="P67" s="662">
        <v>-2763.7444999999998</v>
      </c>
      <c r="Q67" s="662">
        <v>-6368.1331</v>
      </c>
      <c r="R67" s="662" t="s">
        <v>198</v>
      </c>
      <c r="S67" s="662">
        <v>-10909.294599999999</v>
      </c>
      <c r="T67" s="662" t="s">
        <v>198</v>
      </c>
      <c r="U67" s="662">
        <v>-12903.634400000001</v>
      </c>
      <c r="V67" s="662" t="s">
        <v>198</v>
      </c>
      <c r="W67" s="662">
        <v>-13637.357599999999</v>
      </c>
      <c r="X67" s="662" t="s">
        <v>198</v>
      </c>
      <c r="Y67" s="662">
        <v>-14365.1705</v>
      </c>
    </row>
    <row r="68" spans="1:25" x14ac:dyDescent="0.25">
      <c r="A68" s="581" t="s">
        <v>248</v>
      </c>
      <c r="B68" s="581" t="s">
        <v>256</v>
      </c>
      <c r="D68" s="581" t="s">
        <v>193</v>
      </c>
      <c r="E68" s="581" t="s">
        <v>194</v>
      </c>
      <c r="F68" s="581" t="s">
        <v>195</v>
      </c>
      <c r="G68" s="662">
        <v>38520.671799999996</v>
      </c>
      <c r="H68" s="662">
        <v>43700.648399999998</v>
      </c>
      <c r="I68" s="662">
        <v>32819.670599999998</v>
      </c>
      <c r="J68" s="662">
        <v>20837.9879</v>
      </c>
      <c r="K68" s="662">
        <v>14126.8732</v>
      </c>
      <c r="L68" s="662">
        <v>8156.2286999999997</v>
      </c>
      <c r="M68" s="662">
        <v>2513.9169999999999</v>
      </c>
      <c r="N68" s="662">
        <v>-1123.5862</v>
      </c>
      <c r="O68" s="662">
        <v>-3016.3636000000001</v>
      </c>
      <c r="P68" s="662">
        <v>-3899.0646000000002</v>
      </c>
      <c r="Q68" s="662">
        <v>-4284.6018999999997</v>
      </c>
      <c r="R68" s="662" t="s">
        <v>198</v>
      </c>
      <c r="S68" s="662">
        <v>-5464.8371999999999</v>
      </c>
      <c r="T68" s="662" t="s">
        <v>198</v>
      </c>
      <c r="U68" s="662">
        <v>-6027.4074000000001</v>
      </c>
      <c r="V68" s="662" t="s">
        <v>198</v>
      </c>
      <c r="W68" s="662">
        <v>-7233.1701000000003</v>
      </c>
      <c r="X68" s="662" t="s">
        <v>198</v>
      </c>
      <c r="Y68" s="662">
        <v>-8013.415</v>
      </c>
    </row>
    <row r="69" spans="1:25" x14ac:dyDescent="0.25">
      <c r="A69" s="581" t="s">
        <v>248</v>
      </c>
      <c r="B69" s="581" t="s">
        <v>257</v>
      </c>
      <c r="D69" s="581" t="s">
        <v>193</v>
      </c>
      <c r="E69" s="581" t="s">
        <v>194</v>
      </c>
      <c r="F69" s="581" t="s">
        <v>195</v>
      </c>
      <c r="G69" s="662">
        <v>38676.361599999997</v>
      </c>
      <c r="H69" s="662">
        <v>43311.748800000001</v>
      </c>
      <c r="I69" s="662">
        <v>31112.064299999998</v>
      </c>
      <c r="J69" s="662">
        <v>18993.256600000001</v>
      </c>
      <c r="K69" s="662">
        <v>13209.667100000001</v>
      </c>
      <c r="L69" s="662">
        <v>8738.7196000000004</v>
      </c>
      <c r="M69" s="662">
        <v>5364.0425999999998</v>
      </c>
      <c r="N69" s="662">
        <v>2383.4393</v>
      </c>
      <c r="O69" s="662">
        <v>-264.46550000000002</v>
      </c>
      <c r="P69" s="662">
        <v>-2555.4495000000002</v>
      </c>
      <c r="Q69" s="662">
        <v>-4330.6057000000001</v>
      </c>
      <c r="R69" s="662" t="s">
        <v>198</v>
      </c>
      <c r="S69" s="662">
        <v>-6389.5789000000004</v>
      </c>
      <c r="T69" s="662" t="s">
        <v>198</v>
      </c>
      <c r="U69" s="662">
        <v>-6992.9443000000001</v>
      </c>
      <c r="V69" s="662" t="s">
        <v>198</v>
      </c>
      <c r="W69" s="662">
        <v>-7914.2713000000003</v>
      </c>
      <c r="X69" s="662" t="s">
        <v>198</v>
      </c>
      <c r="Y69" s="662">
        <v>-9154.5148000000008</v>
      </c>
    </row>
    <row r="70" spans="1:25" x14ac:dyDescent="0.25">
      <c r="A70" s="581" t="s">
        <v>248</v>
      </c>
      <c r="B70" s="581" t="s">
        <v>258</v>
      </c>
      <c r="D70" s="581" t="s">
        <v>193</v>
      </c>
      <c r="E70" s="581" t="s">
        <v>194</v>
      </c>
      <c r="F70" s="581" t="s">
        <v>195</v>
      </c>
      <c r="G70" s="662">
        <v>38662.129999999997</v>
      </c>
      <c r="H70" s="662">
        <v>43140.985800000002</v>
      </c>
      <c r="I70" s="662">
        <v>37154.685599999997</v>
      </c>
      <c r="J70" s="662">
        <v>28740.2834</v>
      </c>
      <c r="K70" s="662">
        <v>21698.639299999999</v>
      </c>
      <c r="L70" s="662">
        <v>15551.936400000001</v>
      </c>
      <c r="M70" s="662">
        <v>9664.8191999999999</v>
      </c>
      <c r="N70" s="662">
        <v>4445.5042000000003</v>
      </c>
      <c r="O70" s="662">
        <v>470.96269999999998</v>
      </c>
      <c r="P70" s="662">
        <v>-3095.1327999999999</v>
      </c>
      <c r="Q70" s="662">
        <v>-6265.1764999999996</v>
      </c>
      <c r="R70" s="662" t="s">
        <v>198</v>
      </c>
      <c r="S70" s="662">
        <v>-10480.930200000001</v>
      </c>
      <c r="T70" s="662" t="s">
        <v>198</v>
      </c>
      <c r="U70" s="662">
        <v>-12127.325800000001</v>
      </c>
      <c r="V70" s="662" t="s">
        <v>198</v>
      </c>
      <c r="W70" s="662">
        <v>-13363.911899999999</v>
      </c>
      <c r="X70" s="662" t="s">
        <v>198</v>
      </c>
      <c r="Y70" s="662">
        <v>-14109.920599999999</v>
      </c>
    </row>
    <row r="71" spans="1:25" x14ac:dyDescent="0.25">
      <c r="A71" s="581" t="s">
        <v>248</v>
      </c>
      <c r="B71" s="581" t="s">
        <v>259</v>
      </c>
      <c r="D71" s="581" t="s">
        <v>193</v>
      </c>
      <c r="E71" s="581" t="s">
        <v>194</v>
      </c>
      <c r="F71" s="581" t="s">
        <v>195</v>
      </c>
      <c r="G71" s="662">
        <v>38696.424899999998</v>
      </c>
      <c r="H71" s="662">
        <v>44118.274899999997</v>
      </c>
      <c r="I71" s="662">
        <v>37159.255799999999</v>
      </c>
      <c r="J71" s="662">
        <v>26273.784599999999</v>
      </c>
      <c r="K71" s="662">
        <v>17448.539100000002</v>
      </c>
      <c r="L71" s="662">
        <v>11370.898999999999</v>
      </c>
      <c r="M71" s="662">
        <v>6336.9539999999997</v>
      </c>
      <c r="N71" s="662">
        <v>2075.5504000000001</v>
      </c>
      <c r="O71" s="662">
        <v>-1449.9454000000001</v>
      </c>
      <c r="P71" s="662">
        <v>-4774.8123999999998</v>
      </c>
      <c r="Q71" s="662">
        <v>-7217.4836999999998</v>
      </c>
      <c r="R71" s="662" t="s">
        <v>198</v>
      </c>
      <c r="S71" s="662">
        <v>-9429.3593999999994</v>
      </c>
      <c r="T71" s="662" t="s">
        <v>198</v>
      </c>
      <c r="U71" s="662">
        <v>-9450.4976000000006</v>
      </c>
      <c r="V71" s="662" t="s">
        <v>198</v>
      </c>
      <c r="W71" s="662">
        <v>-9222.0957999999991</v>
      </c>
      <c r="X71" s="662" t="s">
        <v>198</v>
      </c>
      <c r="Y71" s="662">
        <v>-8861.1407999999992</v>
      </c>
    </row>
    <row r="72" spans="1:25" x14ac:dyDescent="0.25">
      <c r="A72" s="581" t="s">
        <v>248</v>
      </c>
      <c r="B72" s="581" t="s">
        <v>260</v>
      </c>
      <c r="D72" s="581" t="s">
        <v>193</v>
      </c>
      <c r="E72" s="581" t="s">
        <v>194</v>
      </c>
      <c r="F72" s="581" t="s">
        <v>195</v>
      </c>
      <c r="G72" s="662">
        <v>38683.686800000003</v>
      </c>
      <c r="H72" s="662">
        <v>43943.0357</v>
      </c>
      <c r="I72" s="662">
        <v>36259.165800000002</v>
      </c>
      <c r="J72" s="662">
        <v>27192.715499999998</v>
      </c>
      <c r="K72" s="662">
        <v>22915.6008</v>
      </c>
      <c r="L72" s="662">
        <v>18546.512599999998</v>
      </c>
      <c r="M72" s="662">
        <v>13280.055700000001</v>
      </c>
      <c r="N72" s="662">
        <v>8604.8217999999997</v>
      </c>
      <c r="O72" s="662">
        <v>5978.8279000000002</v>
      </c>
      <c r="P72" s="662">
        <v>4135.3396000000002</v>
      </c>
      <c r="Q72" s="662">
        <v>2764.1242000000002</v>
      </c>
      <c r="R72" s="662" t="s">
        <v>198</v>
      </c>
      <c r="S72" s="662">
        <v>938.98</v>
      </c>
      <c r="T72" s="662" t="s">
        <v>198</v>
      </c>
      <c r="U72" s="662">
        <v>219.1103</v>
      </c>
      <c r="V72" s="662" t="s">
        <v>198</v>
      </c>
      <c r="W72" s="662">
        <v>-1307.5507</v>
      </c>
      <c r="X72" s="662" t="s">
        <v>198</v>
      </c>
      <c r="Y72" s="662">
        <v>-2092.6667000000002</v>
      </c>
    </row>
    <row r="73" spans="1:25" x14ac:dyDescent="0.25">
      <c r="A73" s="581" t="s">
        <v>248</v>
      </c>
      <c r="B73" s="581" t="s">
        <v>261</v>
      </c>
      <c r="D73" s="581" t="s">
        <v>193</v>
      </c>
      <c r="E73" s="581" t="s">
        <v>194</v>
      </c>
      <c r="F73" s="581" t="s">
        <v>195</v>
      </c>
      <c r="G73" s="662">
        <v>38655.609900000003</v>
      </c>
      <c r="H73" s="662">
        <v>43224.7189</v>
      </c>
      <c r="I73" s="662">
        <v>39878.556700000001</v>
      </c>
      <c r="J73" s="662">
        <v>33910.577100000002</v>
      </c>
      <c r="K73" s="662">
        <v>29519.789100000002</v>
      </c>
      <c r="L73" s="662">
        <v>24561.703099999999</v>
      </c>
      <c r="M73" s="662">
        <v>19392.255000000001</v>
      </c>
      <c r="N73" s="662">
        <v>13590.2263</v>
      </c>
      <c r="O73" s="662">
        <v>9046.6967000000004</v>
      </c>
      <c r="P73" s="662">
        <v>5577.2645000000002</v>
      </c>
      <c r="Q73" s="662">
        <v>2719.8589999999999</v>
      </c>
      <c r="R73" s="662" t="s">
        <v>198</v>
      </c>
      <c r="S73" s="662">
        <v>-2235.3598999999999</v>
      </c>
      <c r="T73" s="662" t="s">
        <v>198</v>
      </c>
      <c r="U73" s="662">
        <v>-5482.0337</v>
      </c>
      <c r="V73" s="662" t="s">
        <v>198</v>
      </c>
      <c r="W73" s="662">
        <v>-8024.8509999999997</v>
      </c>
      <c r="X73" s="662" t="s">
        <v>198</v>
      </c>
      <c r="Y73" s="662">
        <v>-9562.0102000000006</v>
      </c>
    </row>
    <row r="74" spans="1:25" x14ac:dyDescent="0.25">
      <c r="A74" s="581" t="s">
        <v>248</v>
      </c>
      <c r="B74" s="581" t="s">
        <v>262</v>
      </c>
      <c r="D74" s="581" t="s">
        <v>193</v>
      </c>
      <c r="E74" s="581" t="s">
        <v>194</v>
      </c>
      <c r="F74" s="581" t="s">
        <v>195</v>
      </c>
      <c r="G74" s="662">
        <v>38689.481399999997</v>
      </c>
      <c r="H74" s="662">
        <v>44184.551099999997</v>
      </c>
      <c r="I74" s="662">
        <v>40510.592299999997</v>
      </c>
      <c r="J74" s="662">
        <v>33250.857100000001</v>
      </c>
      <c r="K74" s="662">
        <v>27505.388299999999</v>
      </c>
      <c r="L74" s="662">
        <v>21789.856</v>
      </c>
      <c r="M74" s="662">
        <v>16315.893599999999</v>
      </c>
      <c r="N74" s="662">
        <v>11477.321099999999</v>
      </c>
      <c r="O74" s="662">
        <v>7171.3953000000001</v>
      </c>
      <c r="P74" s="662">
        <v>3593.6053000000002</v>
      </c>
      <c r="Q74" s="662">
        <v>974.39859999999999</v>
      </c>
      <c r="R74" s="662" t="s">
        <v>198</v>
      </c>
      <c r="S74" s="662">
        <v>-2275.5954000000002</v>
      </c>
      <c r="T74" s="662" t="s">
        <v>198</v>
      </c>
      <c r="U74" s="662">
        <v>-3633.2658000000001</v>
      </c>
      <c r="V74" s="662" t="s">
        <v>198</v>
      </c>
      <c r="W74" s="662">
        <v>-4306.9124000000002</v>
      </c>
      <c r="X74" s="662" t="s">
        <v>198</v>
      </c>
      <c r="Y74" s="662">
        <v>-4547.7259999999997</v>
      </c>
    </row>
    <row r="75" spans="1:25" x14ac:dyDescent="0.25">
      <c r="A75" s="581" t="s">
        <v>263</v>
      </c>
      <c r="B75" s="581" t="s">
        <v>196</v>
      </c>
      <c r="D75" s="581" t="s">
        <v>193</v>
      </c>
      <c r="E75" s="581" t="s">
        <v>194</v>
      </c>
      <c r="F75" s="581" t="s">
        <v>195</v>
      </c>
      <c r="G75" s="662">
        <v>35303.387759999998</v>
      </c>
      <c r="H75" s="662" t="s">
        <v>198</v>
      </c>
      <c r="I75" s="662">
        <v>37312.307110000002</v>
      </c>
      <c r="J75" s="662" t="s">
        <v>198</v>
      </c>
      <c r="K75" s="662">
        <v>10560.008459999999</v>
      </c>
      <c r="L75" s="662" t="s">
        <v>198</v>
      </c>
      <c r="M75" s="662">
        <v>7435.9349869999996</v>
      </c>
      <c r="N75" s="662" t="s">
        <v>198</v>
      </c>
      <c r="O75" s="662">
        <v>3099.9369790000001</v>
      </c>
      <c r="P75" s="662" t="s">
        <v>198</v>
      </c>
      <c r="Q75" s="662">
        <v>-695.74462870000002</v>
      </c>
      <c r="R75" s="662" t="s">
        <v>198</v>
      </c>
      <c r="S75" s="662">
        <v>-3765.2072800000001</v>
      </c>
      <c r="T75" s="662" t="s">
        <v>198</v>
      </c>
      <c r="U75" s="662">
        <v>-7221.5939770000005</v>
      </c>
      <c r="V75" s="662" t="s">
        <v>198</v>
      </c>
      <c r="W75" s="662">
        <v>-9246.6031930000008</v>
      </c>
      <c r="X75" s="662" t="s">
        <v>198</v>
      </c>
      <c r="Y75" s="662">
        <v>-9648.3434419999994</v>
      </c>
    </row>
    <row r="76" spans="1:25" x14ac:dyDescent="0.25">
      <c r="A76" s="581" t="s">
        <v>263</v>
      </c>
      <c r="B76" s="581" t="s">
        <v>264</v>
      </c>
      <c r="D76" s="581" t="s">
        <v>193</v>
      </c>
      <c r="E76" s="581" t="s">
        <v>194</v>
      </c>
      <c r="F76" s="581" t="s">
        <v>195</v>
      </c>
      <c r="G76" s="662">
        <v>35303.387759999998</v>
      </c>
      <c r="H76" s="662" t="s">
        <v>198</v>
      </c>
      <c r="I76" s="662">
        <v>39253.001490000002</v>
      </c>
      <c r="J76" s="662" t="s">
        <v>198</v>
      </c>
      <c r="K76" s="662">
        <v>12740.211950000001</v>
      </c>
      <c r="L76" s="662" t="s">
        <v>198</v>
      </c>
      <c r="M76" s="662">
        <v>9285.9841880000004</v>
      </c>
      <c r="N76" s="662" t="s">
        <v>198</v>
      </c>
      <c r="O76" s="662">
        <v>4192.5619319999996</v>
      </c>
      <c r="P76" s="662" t="s">
        <v>198</v>
      </c>
      <c r="Q76" s="662">
        <v>-184.167914</v>
      </c>
      <c r="R76" s="662" t="s">
        <v>198</v>
      </c>
      <c r="S76" s="662">
        <v>-3538.629547</v>
      </c>
      <c r="T76" s="662" t="s">
        <v>198</v>
      </c>
      <c r="U76" s="662">
        <v>-7245.666475</v>
      </c>
      <c r="V76" s="662" t="s">
        <v>198</v>
      </c>
      <c r="W76" s="662">
        <v>-9358.9838330000002</v>
      </c>
      <c r="X76" s="662" t="s">
        <v>198</v>
      </c>
      <c r="Y76" s="662">
        <v>-10801.62372</v>
      </c>
    </row>
    <row r="77" spans="1:25" x14ac:dyDescent="0.25">
      <c r="A77" s="581" t="s">
        <v>265</v>
      </c>
      <c r="B77" s="581" t="s">
        <v>192</v>
      </c>
      <c r="D77" s="581" t="s">
        <v>193</v>
      </c>
      <c r="E77" s="581" t="s">
        <v>194</v>
      </c>
      <c r="F77" s="581" t="s">
        <v>195</v>
      </c>
      <c r="G77" s="662">
        <v>34057.088920000002</v>
      </c>
      <c r="H77" s="662">
        <v>35659.768499999998</v>
      </c>
      <c r="I77" s="662">
        <v>37303.329319999997</v>
      </c>
      <c r="J77" s="662">
        <v>21322.81018</v>
      </c>
      <c r="K77" s="662">
        <v>14766.574070000001</v>
      </c>
      <c r="L77" s="662">
        <v>11451.16437</v>
      </c>
      <c r="M77" s="662">
        <v>9412.1125790000006</v>
      </c>
      <c r="N77" s="662">
        <v>7395.4412169999996</v>
      </c>
      <c r="O77" s="662">
        <v>5205.0806240000002</v>
      </c>
      <c r="P77" s="662">
        <v>2987.9860709999998</v>
      </c>
      <c r="Q77" s="662">
        <v>533.90920349999999</v>
      </c>
      <c r="R77" s="662">
        <v>-2136.633319</v>
      </c>
      <c r="S77" s="662">
        <v>-5135.1179750000001</v>
      </c>
      <c r="T77" s="662">
        <v>-8309.2996679999997</v>
      </c>
      <c r="U77" s="662">
        <v>-10608.489960000001</v>
      </c>
      <c r="V77" s="662">
        <v>-12698.48323</v>
      </c>
      <c r="W77" s="662">
        <v>-14565.930189999999</v>
      </c>
      <c r="X77" s="662">
        <v>-15953.265359999999</v>
      </c>
      <c r="Y77" s="662">
        <v>-17206.77651</v>
      </c>
    </row>
    <row r="78" spans="1:25" x14ac:dyDescent="0.25">
      <c r="A78" s="581" t="s">
        <v>266</v>
      </c>
      <c r="B78" s="581" t="s">
        <v>267</v>
      </c>
      <c r="D78" s="581" t="s">
        <v>193</v>
      </c>
      <c r="E78" s="581" t="s">
        <v>194</v>
      </c>
      <c r="F78" s="581" t="s">
        <v>195</v>
      </c>
      <c r="G78" s="662">
        <v>35674.120799999997</v>
      </c>
      <c r="H78" s="662">
        <v>37811.007460000001</v>
      </c>
      <c r="I78" s="662">
        <v>40656.526539999999</v>
      </c>
      <c r="J78" s="662">
        <v>28166.957610000001</v>
      </c>
      <c r="K78" s="662">
        <v>20765.69975</v>
      </c>
      <c r="L78" s="662">
        <v>17849.432919999999</v>
      </c>
      <c r="M78" s="662">
        <v>15379.19882</v>
      </c>
      <c r="N78" s="662">
        <v>12687.03628</v>
      </c>
      <c r="O78" s="662">
        <v>10330.785</v>
      </c>
      <c r="P78" s="662" t="s">
        <v>198</v>
      </c>
      <c r="Q78" s="662">
        <v>4908.6294459999999</v>
      </c>
      <c r="R78" s="662" t="s">
        <v>198</v>
      </c>
      <c r="S78" s="662">
        <v>1820.0060289999999</v>
      </c>
      <c r="T78" s="662" t="s">
        <v>198</v>
      </c>
      <c r="U78" s="662">
        <v>-1909.8020309999999</v>
      </c>
      <c r="V78" s="662" t="s">
        <v>198</v>
      </c>
      <c r="W78" s="662">
        <v>-5802.1188739999998</v>
      </c>
      <c r="X78" s="662" t="s">
        <v>198</v>
      </c>
      <c r="Y78" s="662">
        <v>-8298.1427669999994</v>
      </c>
    </row>
    <row r="79" spans="1:25" x14ac:dyDescent="0.25">
      <c r="A79" s="581" t="s">
        <v>266</v>
      </c>
      <c r="B79" s="581" t="s">
        <v>201</v>
      </c>
      <c r="D79" s="581" t="s">
        <v>193</v>
      </c>
      <c r="E79" s="581" t="s">
        <v>194</v>
      </c>
      <c r="F79" s="581" t="s">
        <v>195</v>
      </c>
      <c r="G79" s="662">
        <v>35674.120799999997</v>
      </c>
      <c r="H79" s="662">
        <v>37811.007460000001</v>
      </c>
      <c r="I79" s="662">
        <v>40656.526539999999</v>
      </c>
      <c r="J79" s="662">
        <v>25252.11119</v>
      </c>
      <c r="K79" s="662">
        <v>15430.841039999999</v>
      </c>
      <c r="L79" s="662">
        <v>10880.29623</v>
      </c>
      <c r="M79" s="662">
        <v>7508.6248500000002</v>
      </c>
      <c r="N79" s="662">
        <v>4230.1147499999997</v>
      </c>
      <c r="O79" s="662">
        <v>1743.3863779999999</v>
      </c>
      <c r="P79" s="662" t="s">
        <v>198</v>
      </c>
      <c r="Q79" s="662">
        <v>-2903.3745170000002</v>
      </c>
      <c r="R79" s="662" t="s">
        <v>198</v>
      </c>
      <c r="S79" s="662">
        <v>-6157.6066709999996</v>
      </c>
      <c r="T79" s="662" t="s">
        <v>198</v>
      </c>
      <c r="U79" s="662">
        <v>-10988.89363</v>
      </c>
      <c r="V79" s="662" t="s">
        <v>198</v>
      </c>
      <c r="W79" s="662">
        <v>-14723.049290000001</v>
      </c>
      <c r="X79" s="662" t="s">
        <v>198</v>
      </c>
      <c r="Y79" s="662">
        <v>-14222.97141</v>
      </c>
    </row>
    <row r="81" spans="1:1" x14ac:dyDescent="0.25">
      <c r="A81" s="581" t="s">
        <v>268</v>
      </c>
    </row>
    <row r="82" spans="1:1" x14ac:dyDescent="0.25">
      <c r="A82" s="581" t="s">
        <v>293</v>
      </c>
    </row>
    <row r="83" spans="1:1" x14ac:dyDescent="0.25">
      <c r="A83" s="581" t="s">
        <v>294</v>
      </c>
    </row>
    <row r="84" spans="1:1" x14ac:dyDescent="0.25">
      <c r="A84" s="581" t="s">
        <v>295</v>
      </c>
    </row>
    <row r="85" spans="1:1" x14ac:dyDescent="0.25">
      <c r="A85" s="581" t="s">
        <v>296</v>
      </c>
    </row>
    <row r="86" spans="1:1" x14ac:dyDescent="0.25">
      <c r="A86" s="581" t="s">
        <v>294</v>
      </c>
    </row>
    <row r="87" spans="1:1" x14ac:dyDescent="0.25">
      <c r="A87" s="581" t="s">
        <v>297</v>
      </c>
    </row>
    <row r="88" spans="1:1" x14ac:dyDescent="0.25">
      <c r="A88" s="581" t="s">
        <v>298</v>
      </c>
    </row>
    <row r="89" spans="1:1" x14ac:dyDescent="0.25">
      <c r="A89" s="581" t="s">
        <v>299</v>
      </c>
    </row>
    <row r="90" spans="1:1" x14ac:dyDescent="0.25">
      <c r="A90" s="581" t="s">
        <v>300</v>
      </c>
    </row>
    <row r="91" spans="1:1" x14ac:dyDescent="0.25">
      <c r="A91" s="581" t="s">
        <v>301</v>
      </c>
    </row>
    <row r="92" spans="1:1" x14ac:dyDescent="0.25">
      <c r="A92" s="581" t="s">
        <v>294</v>
      </c>
    </row>
    <row r="93" spans="1:1" x14ac:dyDescent="0.25">
      <c r="A93" s="581" t="s">
        <v>302</v>
      </c>
    </row>
    <row r="94" spans="1:1" x14ac:dyDescent="0.25">
      <c r="A94" s="581" t="s">
        <v>303</v>
      </c>
    </row>
    <row r="95" spans="1:1" x14ac:dyDescent="0.25">
      <c r="A95" s="581" t="s">
        <v>304</v>
      </c>
    </row>
    <row r="96" spans="1:1" x14ac:dyDescent="0.25">
      <c r="A96" s="581" t="s">
        <v>305</v>
      </c>
    </row>
    <row r="97" spans="1:1" x14ac:dyDescent="0.25">
      <c r="A97" s="581" t="s">
        <v>294</v>
      </c>
    </row>
    <row r="98" spans="1:1" x14ac:dyDescent="0.25">
      <c r="A98" s="581" t="s">
        <v>306</v>
      </c>
    </row>
    <row r="99" spans="1:1" x14ac:dyDescent="0.25">
      <c r="A99" s="581" t="s">
        <v>307</v>
      </c>
    </row>
    <row r="100" spans="1:1" x14ac:dyDescent="0.25">
      <c r="A100" s="581" t="s">
        <v>294</v>
      </c>
    </row>
    <row r="101" spans="1:1" x14ac:dyDescent="0.25">
      <c r="A101" s="581" t="s">
        <v>308</v>
      </c>
    </row>
    <row r="102" spans="1:1" x14ac:dyDescent="0.25">
      <c r="A102" s="581" t="s">
        <v>309</v>
      </c>
    </row>
    <row r="103" spans="1:1" x14ac:dyDescent="0.25">
      <c r="A103" s="581" t="s">
        <v>310</v>
      </c>
    </row>
    <row r="104" spans="1:1" x14ac:dyDescent="0.25">
      <c r="A104" s="581" t="s">
        <v>311</v>
      </c>
    </row>
    <row r="105" spans="1:1" x14ac:dyDescent="0.25">
      <c r="A105" s="581" t="s">
        <v>312</v>
      </c>
    </row>
    <row r="106" spans="1:1" x14ac:dyDescent="0.25">
      <c r="A106" s="581" t="s">
        <v>294</v>
      </c>
    </row>
    <row r="107" spans="1:1" x14ac:dyDescent="0.25">
      <c r="A107" s="581" t="s">
        <v>313</v>
      </c>
    </row>
    <row r="108" spans="1:1" x14ac:dyDescent="0.25">
      <c r="A108" s="581" t="s">
        <v>314</v>
      </c>
    </row>
    <row r="109" spans="1:1" x14ac:dyDescent="0.25">
      <c r="A109" s="581" t="s">
        <v>315</v>
      </c>
    </row>
    <row r="110" spans="1:1" x14ac:dyDescent="0.25">
      <c r="A110" s="581" t="s">
        <v>316</v>
      </c>
    </row>
    <row r="111" spans="1:1" x14ac:dyDescent="0.25">
      <c r="A111" s="581" t="s">
        <v>294</v>
      </c>
    </row>
    <row r="112" spans="1:1" x14ac:dyDescent="0.25">
      <c r="A112" s="581" t="s">
        <v>317</v>
      </c>
    </row>
    <row r="113" spans="1:1" x14ac:dyDescent="0.25">
      <c r="A113" s="581" t="s">
        <v>318</v>
      </c>
    </row>
    <row r="114" spans="1:1" x14ac:dyDescent="0.25">
      <c r="A114" s="581" t="s">
        <v>305</v>
      </c>
    </row>
  </sheetData>
  <pageMargins left="0.7" right="0.7" top="0.78740157499999996" bottom="0.78740157499999996"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sheetPr>
  <dimension ref="A1:BA114"/>
  <sheetViews>
    <sheetView zoomScale="80" zoomScaleNormal="80" zoomScalePageLayoutView="80" workbookViewId="0">
      <pane xSplit="2" ySplit="19" topLeftCell="C47" activePane="bottomRight" state="frozen"/>
      <selection pane="topRight"/>
      <selection pane="bottomLeft"/>
      <selection pane="bottomRight"/>
    </sheetView>
  </sheetViews>
  <sheetFormatPr baseColWidth="10" defaultColWidth="12.5703125" defaultRowHeight="17.100000000000001" customHeight="1" x14ac:dyDescent="0.25"/>
  <cols>
    <col min="1" max="1" width="12.5703125" style="458"/>
    <col min="2" max="2" width="11.5703125" style="458" customWidth="1"/>
    <col min="3" max="3" width="24.140625" style="503" customWidth="1"/>
    <col min="4" max="4" width="27" style="458" customWidth="1"/>
    <col min="5" max="5" width="21.85546875" style="458" customWidth="1"/>
    <col min="6" max="6" width="22.140625" style="458" customWidth="1"/>
    <col min="7" max="8" width="22.140625" style="756" customWidth="1"/>
    <col min="9" max="9" width="18.42578125" style="497" bestFit="1" customWidth="1"/>
    <col min="10" max="10" width="24.42578125" style="497" bestFit="1" customWidth="1"/>
    <col min="11" max="11" width="28.140625" style="458" bestFit="1" customWidth="1"/>
    <col min="12" max="12" width="15.42578125" style="458" customWidth="1"/>
    <col min="13" max="13" width="15.5703125" style="458" bestFit="1" customWidth="1"/>
    <col min="14" max="16384" width="12.5703125" style="458"/>
  </cols>
  <sheetData>
    <row r="1" spans="2:25" s="462" customFormat="1" ht="17.100000000000001" customHeight="1" x14ac:dyDescent="0.25">
      <c r="B1" s="458"/>
      <c r="C1" s="459" t="s">
        <v>120</v>
      </c>
      <c r="D1" s="459"/>
      <c r="E1" s="460"/>
      <c r="F1" s="460"/>
      <c r="G1" s="731"/>
      <c r="H1" s="731"/>
      <c r="I1" s="461"/>
      <c r="J1" s="461"/>
      <c r="K1" s="460"/>
      <c r="L1" s="460"/>
      <c r="M1" s="460"/>
      <c r="N1" s="460"/>
      <c r="O1" s="460"/>
      <c r="P1" s="460"/>
      <c r="Q1" s="460"/>
      <c r="R1" s="460"/>
      <c r="S1" s="460"/>
      <c r="T1" s="460"/>
      <c r="U1" s="460"/>
      <c r="V1" s="460"/>
      <c r="W1" s="460"/>
      <c r="X1" s="460"/>
      <c r="Y1" s="460"/>
    </row>
    <row r="2" spans="2:25" s="466" customFormat="1" ht="17.100000000000001" customHeight="1" x14ac:dyDescent="0.25">
      <c r="B2" s="463"/>
      <c r="C2" s="459" t="s">
        <v>121</v>
      </c>
      <c r="D2" s="459"/>
      <c r="E2" s="464"/>
      <c r="F2" s="464"/>
      <c r="G2" s="731"/>
      <c r="H2" s="731"/>
      <c r="I2" s="465"/>
      <c r="J2" s="465"/>
      <c r="K2" s="464"/>
      <c r="L2" s="464"/>
      <c r="M2" s="464"/>
      <c r="N2" s="464"/>
      <c r="O2" s="464"/>
      <c r="P2" s="464"/>
      <c r="Q2" s="464"/>
      <c r="R2" s="464"/>
      <c r="S2" s="464"/>
      <c r="T2" s="464"/>
      <c r="U2" s="464"/>
      <c r="V2" s="464"/>
      <c r="W2" s="464"/>
      <c r="X2" s="464"/>
      <c r="Y2" s="464"/>
    </row>
    <row r="3" spans="2:25" s="466" customFormat="1" ht="17.100000000000001" customHeight="1" x14ac:dyDescent="0.25">
      <c r="B3" s="463"/>
      <c r="C3" s="467" t="s">
        <v>122</v>
      </c>
      <c r="D3" s="467"/>
      <c r="E3" s="464"/>
      <c r="F3" s="464"/>
      <c r="G3" s="731"/>
      <c r="H3" s="731"/>
      <c r="I3" s="465"/>
      <c r="J3" s="465"/>
      <c r="K3" s="464"/>
      <c r="L3" s="464"/>
      <c r="M3" s="464"/>
      <c r="N3" s="464"/>
      <c r="O3" s="464"/>
      <c r="P3" s="464"/>
      <c r="Q3" s="464"/>
      <c r="R3" s="464"/>
      <c r="S3" s="464"/>
      <c r="T3" s="464"/>
      <c r="U3" s="464"/>
      <c r="V3" s="464"/>
      <c r="W3" s="464"/>
      <c r="X3" s="464"/>
      <c r="Y3" s="464"/>
    </row>
    <row r="4" spans="2:25" s="462" customFormat="1" ht="17.100000000000001" customHeight="1" x14ac:dyDescent="0.25">
      <c r="B4" s="458"/>
      <c r="C4" s="468" t="s">
        <v>123</v>
      </c>
      <c r="D4" s="469"/>
      <c r="E4" s="469"/>
      <c r="F4" s="469"/>
      <c r="G4" s="472"/>
      <c r="H4" s="472"/>
      <c r="I4" s="470"/>
      <c r="J4" s="470"/>
      <c r="K4" s="469"/>
      <c r="L4" s="469"/>
      <c r="M4" s="469"/>
      <c r="N4" s="469"/>
      <c r="O4" s="469"/>
      <c r="P4" s="469"/>
      <c r="Q4" s="469"/>
      <c r="R4" s="469"/>
      <c r="S4" s="469"/>
      <c r="T4" s="469"/>
      <c r="U4" s="469"/>
      <c r="V4" s="469"/>
      <c r="W4" s="469"/>
      <c r="X4" s="469"/>
      <c r="Y4" s="469"/>
    </row>
    <row r="5" spans="2:25" s="462" customFormat="1" ht="17.100000000000001" customHeight="1" x14ac:dyDescent="0.25">
      <c r="B5" s="458"/>
      <c r="C5" s="471"/>
      <c r="D5" s="732" t="s">
        <v>362</v>
      </c>
      <c r="E5" s="469"/>
      <c r="F5" s="469"/>
      <c r="G5" s="472"/>
      <c r="H5" s="472"/>
      <c r="I5" s="470"/>
      <c r="J5" s="470"/>
      <c r="K5" s="469"/>
      <c r="L5" s="469"/>
      <c r="M5" s="469"/>
      <c r="N5" s="469"/>
      <c r="O5" s="469"/>
      <c r="P5" s="469"/>
      <c r="Q5" s="469"/>
      <c r="R5" s="469"/>
      <c r="S5" s="469"/>
      <c r="T5" s="469"/>
      <c r="U5" s="469"/>
      <c r="V5" s="469"/>
      <c r="W5" s="469"/>
      <c r="X5" s="469"/>
      <c r="Y5" s="469"/>
    </row>
    <row r="6" spans="2:25" s="462" customFormat="1" ht="17.100000000000001" customHeight="1" x14ac:dyDescent="0.25">
      <c r="B6" s="458"/>
      <c r="C6" s="475" t="s">
        <v>124</v>
      </c>
      <c r="D6" s="476"/>
      <c r="E6" s="477"/>
      <c r="F6" s="477"/>
      <c r="G6" s="733"/>
      <c r="H6" s="733"/>
      <c r="I6" s="478"/>
      <c r="J6" s="478"/>
      <c r="K6" s="477"/>
      <c r="L6" s="477"/>
      <c r="M6" s="477"/>
      <c r="N6" s="477"/>
      <c r="O6" s="477"/>
      <c r="P6" s="477"/>
      <c r="Q6" s="477"/>
      <c r="R6" s="477"/>
      <c r="S6" s="477"/>
      <c r="T6" s="477"/>
      <c r="U6" s="477"/>
      <c r="V6" s="477"/>
      <c r="W6" s="477"/>
      <c r="X6" s="477"/>
      <c r="Y6" s="477"/>
    </row>
    <row r="7" spans="2:25" s="462" customFormat="1" ht="17.100000000000001" customHeight="1" x14ac:dyDescent="0.25">
      <c r="B7" s="458"/>
      <c r="C7" s="476"/>
      <c r="D7" s="476" t="s">
        <v>125</v>
      </c>
      <c r="E7" s="477"/>
      <c r="F7" s="477"/>
      <c r="G7" s="733"/>
      <c r="H7" s="733"/>
      <c r="I7" s="478"/>
      <c r="J7" s="478"/>
      <c r="K7" s="477"/>
      <c r="L7" s="477"/>
      <c r="M7" s="477"/>
      <c r="N7" s="477"/>
      <c r="O7" s="477"/>
      <c r="P7" s="477"/>
      <c r="Q7" s="477"/>
      <c r="R7" s="477"/>
      <c r="S7" s="477"/>
      <c r="T7" s="477"/>
      <c r="U7" s="477"/>
      <c r="V7" s="477"/>
      <c r="W7" s="477"/>
      <c r="X7" s="477"/>
      <c r="Y7" s="477"/>
    </row>
    <row r="8" spans="2:25" s="462" customFormat="1" ht="17.100000000000001" customHeight="1" x14ac:dyDescent="0.25">
      <c r="C8" s="734" t="s">
        <v>126</v>
      </c>
      <c r="D8" s="469"/>
      <c r="E8" s="473"/>
      <c r="F8" s="473"/>
      <c r="G8" s="735"/>
      <c r="H8" s="735"/>
      <c r="I8" s="474"/>
      <c r="J8" s="474"/>
      <c r="K8" s="473"/>
      <c r="L8" s="473"/>
      <c r="M8" s="473"/>
      <c r="N8" s="473"/>
      <c r="O8" s="473"/>
      <c r="P8" s="473"/>
      <c r="Q8" s="473"/>
      <c r="R8" s="473"/>
      <c r="S8" s="473"/>
      <c r="T8" s="473"/>
      <c r="U8" s="473"/>
      <c r="V8" s="473"/>
      <c r="W8" s="473"/>
      <c r="X8" s="473"/>
      <c r="Y8" s="473"/>
    </row>
    <row r="9" spans="2:25" s="462" customFormat="1" ht="17.100000000000001" customHeight="1" x14ac:dyDescent="0.25">
      <c r="C9" s="469"/>
      <c r="D9" s="468" t="s">
        <v>363</v>
      </c>
      <c r="E9" s="473"/>
      <c r="F9" s="473"/>
      <c r="G9" s="735"/>
      <c r="H9" s="735"/>
      <c r="I9" s="474"/>
      <c r="J9" s="474"/>
      <c r="K9" s="473"/>
      <c r="L9" s="473"/>
      <c r="M9" s="473"/>
      <c r="N9" s="473"/>
      <c r="O9" s="473"/>
      <c r="P9" s="473"/>
      <c r="Q9" s="473"/>
      <c r="R9" s="473"/>
      <c r="S9" s="473"/>
      <c r="T9" s="473"/>
      <c r="U9" s="473"/>
      <c r="V9" s="473"/>
      <c r="W9" s="473"/>
      <c r="X9" s="473"/>
      <c r="Y9" s="473"/>
    </row>
    <row r="10" spans="2:25" s="462" customFormat="1" ht="17.100000000000001" customHeight="1" x14ac:dyDescent="0.25">
      <c r="C10" s="469"/>
      <c r="D10" s="469" t="s">
        <v>127</v>
      </c>
      <c r="E10" s="473"/>
      <c r="F10" s="473"/>
      <c r="G10" s="735"/>
      <c r="H10" s="735"/>
      <c r="I10" s="474"/>
      <c r="J10" s="474"/>
      <c r="K10" s="473"/>
      <c r="L10" s="473"/>
      <c r="M10" s="473"/>
      <c r="N10" s="473"/>
      <c r="O10" s="473"/>
      <c r="P10" s="473"/>
      <c r="Q10" s="473"/>
      <c r="R10" s="473"/>
      <c r="S10" s="473"/>
      <c r="T10" s="473"/>
      <c r="U10" s="473"/>
      <c r="V10" s="473"/>
      <c r="W10" s="473"/>
      <c r="X10" s="473"/>
      <c r="Y10" s="473"/>
    </row>
    <row r="11" spans="2:25" s="462" customFormat="1" ht="17.100000000000001" customHeight="1" x14ac:dyDescent="0.25">
      <c r="C11" s="469"/>
      <c r="D11" s="469" t="s">
        <v>128</v>
      </c>
      <c r="E11" s="473"/>
      <c r="F11" s="473"/>
      <c r="G11" s="735"/>
      <c r="H11" s="735"/>
      <c r="I11" s="474"/>
      <c r="J11" s="474"/>
      <c r="K11" s="473"/>
      <c r="L11" s="473"/>
      <c r="M11" s="473"/>
      <c r="N11" s="473"/>
      <c r="O11" s="473"/>
      <c r="P11" s="473"/>
      <c r="Q11" s="473"/>
      <c r="R11" s="473"/>
      <c r="S11" s="473"/>
      <c r="T11" s="473"/>
      <c r="U11" s="473"/>
      <c r="V11" s="473"/>
      <c r="W11" s="473"/>
      <c r="X11" s="473"/>
      <c r="Y11" s="473"/>
    </row>
    <row r="12" spans="2:25" s="462" customFormat="1" ht="17.100000000000001" customHeight="1" x14ac:dyDescent="0.25">
      <c r="C12" s="479" t="s">
        <v>129</v>
      </c>
      <c r="D12" s="480"/>
      <c r="E12" s="480"/>
      <c r="F12" s="480"/>
      <c r="G12" s="736"/>
      <c r="H12" s="736"/>
      <c r="I12" s="481"/>
      <c r="J12" s="481"/>
      <c r="K12" s="480"/>
      <c r="L12" s="480"/>
      <c r="M12" s="480"/>
      <c r="N12" s="480"/>
      <c r="O12" s="480"/>
      <c r="P12" s="480"/>
      <c r="Q12" s="480"/>
      <c r="R12" s="480"/>
      <c r="S12" s="480"/>
      <c r="T12" s="480"/>
      <c r="U12" s="480"/>
      <c r="V12" s="480"/>
      <c r="W12" s="480"/>
      <c r="X12" s="480"/>
      <c r="Y12" s="480"/>
    </row>
    <row r="13" spans="2:25" s="462" customFormat="1" ht="17.100000000000001" customHeight="1" x14ac:dyDescent="0.25">
      <c r="C13" s="479"/>
      <c r="D13" s="736" t="s">
        <v>364</v>
      </c>
      <c r="E13" s="480"/>
      <c r="F13" s="480"/>
      <c r="G13" s="736"/>
      <c r="H13" s="736"/>
      <c r="I13" s="481"/>
      <c r="J13" s="481"/>
      <c r="K13" s="480"/>
      <c r="L13" s="480"/>
      <c r="M13" s="480"/>
      <c r="N13" s="480"/>
      <c r="O13" s="480"/>
      <c r="P13" s="480"/>
      <c r="Q13" s="480"/>
      <c r="R13" s="480"/>
      <c r="S13" s="480"/>
      <c r="T13" s="480"/>
      <c r="U13" s="480"/>
      <c r="V13" s="480"/>
      <c r="W13" s="480"/>
      <c r="X13" s="480"/>
      <c r="Y13" s="480"/>
    </row>
    <row r="14" spans="2:25" s="462" customFormat="1" ht="17.100000000000001" customHeight="1" x14ac:dyDescent="0.25">
      <c r="B14" s="458"/>
      <c r="C14" s="482" t="s">
        <v>130</v>
      </c>
      <c r="D14" s="483"/>
      <c r="E14" s="484"/>
      <c r="F14" s="484"/>
      <c r="G14" s="737"/>
      <c r="H14" s="737"/>
      <c r="I14" s="485"/>
      <c r="J14" s="485"/>
      <c r="K14" s="484"/>
      <c r="L14" s="484"/>
      <c r="M14" s="484"/>
      <c r="N14" s="484"/>
      <c r="O14" s="484"/>
      <c r="P14" s="484"/>
      <c r="Q14" s="484"/>
      <c r="R14" s="484"/>
      <c r="S14" s="484"/>
      <c r="T14" s="484"/>
      <c r="U14" s="484"/>
      <c r="V14" s="484"/>
      <c r="W14" s="484"/>
      <c r="X14" s="484"/>
      <c r="Y14" s="484"/>
    </row>
    <row r="15" spans="2:25" s="462" customFormat="1" ht="17.100000000000001" customHeight="1" x14ac:dyDescent="0.25">
      <c r="B15" s="458"/>
      <c r="C15" s="738"/>
      <c r="D15" s="739" t="s">
        <v>364</v>
      </c>
      <c r="E15" s="482"/>
      <c r="F15" s="484"/>
      <c r="G15" s="737"/>
      <c r="H15" s="737"/>
      <c r="I15" s="485"/>
      <c r="J15" s="485"/>
      <c r="K15" s="484"/>
      <c r="L15" s="484"/>
      <c r="M15" s="484"/>
      <c r="N15" s="484"/>
      <c r="O15" s="484"/>
      <c r="P15" s="484"/>
      <c r="Q15" s="484"/>
      <c r="R15" s="484"/>
      <c r="S15" s="484"/>
      <c r="T15" s="484"/>
      <c r="U15" s="484"/>
      <c r="V15" s="484"/>
      <c r="W15" s="484"/>
      <c r="X15" s="484"/>
      <c r="Y15" s="484"/>
    </row>
    <row r="16" spans="2:25" s="490" customFormat="1" ht="17.100000000000001" customHeight="1" x14ac:dyDescent="0.25">
      <c r="B16" s="458"/>
      <c r="C16" s="486" t="s">
        <v>131</v>
      </c>
      <c r="D16" s="487"/>
      <c r="E16" s="486"/>
      <c r="F16" s="488"/>
      <c r="G16" s="740"/>
      <c r="H16" s="740"/>
      <c r="I16" s="489"/>
      <c r="J16" s="489"/>
      <c r="K16" s="488"/>
      <c r="L16" s="488"/>
      <c r="M16" s="488"/>
      <c r="N16" s="488"/>
      <c r="O16" s="488"/>
      <c r="P16" s="488"/>
      <c r="Q16" s="488"/>
      <c r="R16" s="488"/>
      <c r="S16" s="488"/>
      <c r="T16" s="488"/>
      <c r="U16" s="488"/>
      <c r="V16" s="488"/>
      <c r="W16" s="488"/>
      <c r="X16" s="488"/>
      <c r="Y16" s="488"/>
    </row>
    <row r="17" spans="1:25" s="490" customFormat="1" ht="17.100000000000001" customHeight="1" x14ac:dyDescent="0.25">
      <c r="B17" s="458"/>
      <c r="C17" s="741"/>
      <c r="D17" s="742" t="s">
        <v>364</v>
      </c>
      <c r="E17" s="486"/>
      <c r="F17" s="488"/>
      <c r="G17" s="740"/>
      <c r="H17" s="740"/>
      <c r="I17" s="489"/>
      <c r="J17" s="489"/>
      <c r="K17" s="488"/>
      <c r="L17" s="488"/>
      <c r="M17" s="488"/>
      <c r="N17" s="488"/>
      <c r="O17" s="488"/>
      <c r="P17" s="488"/>
      <c r="Q17" s="488"/>
      <c r="R17" s="488"/>
      <c r="S17" s="488"/>
      <c r="T17" s="488"/>
      <c r="U17" s="488"/>
      <c r="V17" s="488"/>
      <c r="W17" s="488"/>
      <c r="X17" s="488"/>
      <c r="Y17" s="488"/>
    </row>
    <row r="18" spans="1:25" s="462" customFormat="1" ht="17.100000000000001" customHeight="1" x14ac:dyDescent="0.25">
      <c r="C18" s="491"/>
      <c r="G18" s="743"/>
      <c r="H18" s="743"/>
      <c r="I18" s="492"/>
      <c r="J18" s="492"/>
    </row>
    <row r="19" spans="1:25" s="496" customFormat="1" ht="17.100000000000001" customHeight="1" x14ac:dyDescent="0.25">
      <c r="B19" s="493" t="s">
        <v>132</v>
      </c>
      <c r="C19" s="494" t="s">
        <v>133</v>
      </c>
      <c r="D19" s="493" t="s">
        <v>134</v>
      </c>
      <c r="E19" s="495" t="s">
        <v>135</v>
      </c>
      <c r="F19" s="493" t="s">
        <v>136</v>
      </c>
      <c r="G19" s="744" t="s">
        <v>137</v>
      </c>
      <c r="H19" s="744" t="s">
        <v>138</v>
      </c>
      <c r="I19" s="664"/>
      <c r="J19" s="664"/>
      <c r="P19" s="745"/>
      <c r="Q19" s="746"/>
      <c r="R19" s="747"/>
      <c r="S19" s="746"/>
      <c r="T19" s="748"/>
      <c r="U19" s="748"/>
    </row>
    <row r="20" spans="1:25" ht="17.100000000000001" customHeight="1" x14ac:dyDescent="0.25">
      <c r="A20" s="458">
        <f>B20-1958</f>
        <v>1</v>
      </c>
      <c r="B20" s="458">
        <v>1959</v>
      </c>
      <c r="C20" s="497">
        <v>2.4172400738251114</v>
      </c>
      <c r="D20" s="749">
        <v>1.8103646677017209</v>
      </c>
      <c r="E20" s="502">
        <v>2.0448</v>
      </c>
      <c r="F20" s="749">
        <v>0.75675935635274427</v>
      </c>
      <c r="G20" s="499">
        <v>0.56419688873486817</v>
      </c>
      <c r="H20" s="499">
        <v>0.86184849643921979</v>
      </c>
      <c r="I20" s="665"/>
      <c r="J20" s="665"/>
      <c r="L20" s="497"/>
    </row>
    <row r="21" spans="1:25" ht="17.100000000000001" customHeight="1" x14ac:dyDescent="0.25">
      <c r="A21" s="458">
        <f t="shared" ref="A21:A79" si="0">B21-1958</f>
        <v>2</v>
      </c>
      <c r="B21" s="458">
        <v>1960</v>
      </c>
      <c r="C21" s="497">
        <v>2.5502242462290896</v>
      </c>
      <c r="D21" s="749">
        <v>1.6522492790985104</v>
      </c>
      <c r="E21" s="502">
        <v>1.5122999999999998</v>
      </c>
      <c r="F21" s="749">
        <v>0.79041432615516405</v>
      </c>
      <c r="G21" s="499">
        <v>1.3321507234237124</v>
      </c>
      <c r="H21" s="499">
        <v>0.56760847574872342</v>
      </c>
      <c r="I21" s="665"/>
      <c r="J21" s="665"/>
      <c r="L21" s="497"/>
    </row>
    <row r="22" spans="1:25" ht="17.100000000000001" customHeight="1" x14ac:dyDescent="0.25">
      <c r="A22" s="458">
        <f t="shared" si="0"/>
        <v>3</v>
      </c>
      <c r="B22" s="458">
        <v>1961</v>
      </c>
      <c r="C22" s="497">
        <v>2.5561831848758785</v>
      </c>
      <c r="D22" s="749">
        <v>1.5746800705947877</v>
      </c>
      <c r="E22" s="502">
        <v>1.6614</v>
      </c>
      <c r="F22" s="749">
        <v>0.68099017188572308</v>
      </c>
      <c r="G22" s="499">
        <v>0.6874263368926754</v>
      </c>
      <c r="H22" s="499">
        <v>1.1010467466922682</v>
      </c>
      <c r="I22" s="665"/>
      <c r="J22" s="665"/>
      <c r="L22" s="497"/>
    </row>
    <row r="23" spans="1:25" ht="17.100000000000001" customHeight="1" x14ac:dyDescent="0.25">
      <c r="A23" s="458">
        <f t="shared" si="0"/>
        <v>4</v>
      </c>
      <c r="B23" s="458">
        <v>1962</v>
      </c>
      <c r="C23" s="497">
        <v>2.6468975061055171</v>
      </c>
      <c r="D23" s="749">
        <v>1.5265188908233644</v>
      </c>
      <c r="E23" s="502">
        <v>1.1928000000000001</v>
      </c>
      <c r="F23" s="749">
        <v>0.7534451252065103</v>
      </c>
      <c r="G23" s="499">
        <v>1.3188295126637515</v>
      </c>
      <c r="H23" s="499">
        <v>0.90834175905861958</v>
      </c>
      <c r="I23" s="665"/>
      <c r="J23" s="665"/>
      <c r="L23" s="497"/>
    </row>
    <row r="24" spans="1:25" ht="17.100000000000001" customHeight="1" x14ac:dyDescent="0.25">
      <c r="A24" s="458">
        <f t="shared" si="0"/>
        <v>5</v>
      </c>
      <c r="B24" s="458">
        <v>1963</v>
      </c>
      <c r="C24" s="497">
        <v>2.7968058995296752</v>
      </c>
      <c r="D24" s="749">
        <v>1.4676559116210939</v>
      </c>
      <c r="E24" s="502">
        <v>1.2140999999999997</v>
      </c>
      <c r="F24" s="749">
        <v>0.88789198957972593</v>
      </c>
      <c r="G24" s="499">
        <v>1.0916832158520364</v>
      </c>
      <c r="H24" s="499">
        <v>1.0707866057190065</v>
      </c>
      <c r="I24" s="665"/>
      <c r="J24" s="665"/>
      <c r="L24" s="497"/>
    </row>
    <row r="25" spans="1:25" ht="17.100000000000001" customHeight="1" x14ac:dyDescent="0.25">
      <c r="A25" s="458">
        <f t="shared" si="0"/>
        <v>6</v>
      </c>
      <c r="B25" s="458">
        <v>1964</v>
      </c>
      <c r="C25" s="497">
        <v>2.9423055079237974</v>
      </c>
      <c r="D25" s="749">
        <v>1.4144130096282961</v>
      </c>
      <c r="E25" s="502">
        <v>1.0436999999999999</v>
      </c>
      <c r="F25" s="749">
        <v>1.0380866738943026</v>
      </c>
      <c r="G25" s="499">
        <v>1.4756043565460071</v>
      </c>
      <c r="H25" s="499">
        <v>0.79932748711178414</v>
      </c>
      <c r="I25" s="665"/>
      <c r="J25" s="665"/>
      <c r="L25" s="497"/>
    </row>
    <row r="26" spans="1:25" ht="17.100000000000001" customHeight="1" x14ac:dyDescent="0.25">
      <c r="A26" s="458">
        <f t="shared" si="0"/>
        <v>7</v>
      </c>
      <c r="B26" s="458">
        <v>1965</v>
      </c>
      <c r="C26" s="497">
        <v>3.0789781468609747</v>
      </c>
      <c r="D26" s="749">
        <v>1.3629055365295411</v>
      </c>
      <c r="E26" s="502">
        <v>2.343</v>
      </c>
      <c r="F26" s="749">
        <v>1.1720919397997829</v>
      </c>
      <c r="G26" s="499">
        <v>0.53549904595359232</v>
      </c>
      <c r="H26" s="499">
        <v>0.39129269763714036</v>
      </c>
      <c r="I26" s="665"/>
      <c r="J26" s="665"/>
      <c r="L26" s="497"/>
    </row>
    <row r="27" spans="1:25" ht="17.100000000000001" customHeight="1" x14ac:dyDescent="0.25">
      <c r="A27" s="458">
        <f t="shared" si="0"/>
        <v>8</v>
      </c>
      <c r="B27" s="458">
        <v>1966</v>
      </c>
      <c r="C27" s="497">
        <v>3.2221559974400984</v>
      </c>
      <c r="D27" s="749">
        <v>1.318462435020447</v>
      </c>
      <c r="E27" s="502">
        <v>2.343</v>
      </c>
      <c r="F27" s="749">
        <v>1.1491773176087159</v>
      </c>
      <c r="G27" s="499">
        <v>1.4333009114812132</v>
      </c>
      <c r="H27" s="499">
        <v>-0.38485979662938319</v>
      </c>
      <c r="I27" s="665"/>
      <c r="J27" s="665"/>
      <c r="L27" s="497"/>
    </row>
    <row r="28" spans="1:25" ht="17.100000000000001" customHeight="1" x14ac:dyDescent="0.25">
      <c r="A28" s="458">
        <f t="shared" si="0"/>
        <v>9</v>
      </c>
      <c r="B28" s="458">
        <v>1967</v>
      </c>
      <c r="C28" s="497">
        <v>3.3252846040177739</v>
      </c>
      <c r="D28" s="749">
        <v>1.2951815251235961</v>
      </c>
      <c r="E28" s="502">
        <v>1.2992999999999999</v>
      </c>
      <c r="F28" s="749">
        <v>0.96645567909081942</v>
      </c>
      <c r="G28" s="499">
        <v>1.6882888905689697</v>
      </c>
      <c r="H28" s="499">
        <v>0.66642155948158122</v>
      </c>
      <c r="I28" s="665"/>
      <c r="J28" s="665"/>
      <c r="L28" s="497"/>
    </row>
    <row r="29" spans="1:25" ht="17.100000000000001" customHeight="1" x14ac:dyDescent="0.25">
      <c r="A29" s="458">
        <f t="shared" si="0"/>
        <v>10</v>
      </c>
      <c r="B29" s="458">
        <v>1968</v>
      </c>
      <c r="C29" s="497">
        <v>3.5067761238166026</v>
      </c>
      <c r="D29" s="749">
        <v>1.2900534258308409</v>
      </c>
      <c r="E29" s="502">
        <v>2.1086999999999998</v>
      </c>
      <c r="F29" s="749">
        <v>1.0702799805086107</v>
      </c>
      <c r="G29" s="499">
        <v>2.4811281026337673</v>
      </c>
      <c r="H29" s="499">
        <v>-0.863278533494934</v>
      </c>
      <c r="I29" s="665"/>
      <c r="J29" s="665"/>
      <c r="L29" s="497"/>
    </row>
    <row r="30" spans="1:25" ht="17.100000000000001" customHeight="1" x14ac:dyDescent="0.25">
      <c r="A30" s="458">
        <f t="shared" si="0"/>
        <v>11</v>
      </c>
      <c r="B30" s="458">
        <v>1969</v>
      </c>
      <c r="C30" s="497">
        <v>3.7403430994601532</v>
      </c>
      <c r="D30" s="749">
        <v>1.2956680158958436</v>
      </c>
      <c r="E30" s="502">
        <v>2.8115999999999999</v>
      </c>
      <c r="F30" s="749">
        <v>1.1070527412052173</v>
      </c>
      <c r="G30" s="499">
        <v>0.51835353264591932</v>
      </c>
      <c r="H30" s="499">
        <v>0.59900484150486044</v>
      </c>
      <c r="I30" s="665"/>
      <c r="J30" s="665"/>
      <c r="L30" s="497"/>
    </row>
    <row r="31" spans="1:25" ht="17.100000000000001" customHeight="1" x14ac:dyDescent="0.25">
      <c r="A31" s="458">
        <f t="shared" si="0"/>
        <v>12</v>
      </c>
      <c r="B31" s="458">
        <v>1970</v>
      </c>
      <c r="C31" s="497">
        <v>4.0501253838046338</v>
      </c>
      <c r="D31" s="749">
        <v>1.2718244229698179</v>
      </c>
      <c r="E31" s="502">
        <v>2.4068999999999998</v>
      </c>
      <c r="F31" s="749">
        <v>1.0326191860743279</v>
      </c>
      <c r="G31" s="499">
        <v>0.42605140789011142</v>
      </c>
      <c r="H31" s="499">
        <v>1.4563792128100126</v>
      </c>
      <c r="I31" s="665"/>
      <c r="J31" s="665"/>
      <c r="L31" s="497"/>
    </row>
    <row r="32" spans="1:25" ht="17.100000000000001" customHeight="1" x14ac:dyDescent="0.25">
      <c r="A32" s="458">
        <f t="shared" si="0"/>
        <v>13</v>
      </c>
      <c r="B32" s="458">
        <v>1971</v>
      </c>
      <c r="C32" s="497">
        <v>4.2137199560476519</v>
      </c>
      <c r="D32" s="749">
        <v>1.2471406268081666</v>
      </c>
      <c r="E32" s="502">
        <v>1.5548999999999999</v>
      </c>
      <c r="F32" s="749">
        <v>1.1282789480476443</v>
      </c>
      <c r="G32" s="499">
        <v>2.5155912855511753</v>
      </c>
      <c r="H32" s="499">
        <v>0.26209034925699948</v>
      </c>
      <c r="I32" s="665"/>
      <c r="J32" s="665"/>
      <c r="L32" s="497"/>
    </row>
    <row r="33" spans="1:12" ht="17.100000000000001" customHeight="1" x14ac:dyDescent="0.25">
      <c r="A33" s="458">
        <f t="shared" si="0"/>
        <v>14</v>
      </c>
      <c r="B33" s="458">
        <v>1972</v>
      </c>
      <c r="C33" s="497">
        <v>4.4095791903626402</v>
      </c>
      <c r="D33" s="749">
        <v>1.2166603054695131</v>
      </c>
      <c r="E33" s="502">
        <v>3.1311</v>
      </c>
      <c r="F33" s="749">
        <v>1.3431401559696188</v>
      </c>
      <c r="G33" s="499">
        <v>1.1668274559269232</v>
      </c>
      <c r="H33" s="499">
        <v>-1.482811606438883E-2</v>
      </c>
      <c r="I33" s="665"/>
      <c r="J33" s="665"/>
      <c r="L33" s="497"/>
    </row>
    <row r="34" spans="1:12" ht="17.100000000000001" customHeight="1" x14ac:dyDescent="0.25">
      <c r="A34" s="458">
        <f t="shared" si="0"/>
        <v>15</v>
      </c>
      <c r="B34" s="458">
        <v>1973</v>
      </c>
      <c r="C34" s="497">
        <v>4.643900982190476</v>
      </c>
      <c r="D34" s="749">
        <v>1.193009380886078</v>
      </c>
      <c r="E34" s="502">
        <v>3.1097999999999999</v>
      </c>
      <c r="F34" s="749">
        <v>1.2994691357200221</v>
      </c>
      <c r="G34" s="499">
        <v>1.3942980896058654</v>
      </c>
      <c r="H34" s="499">
        <v>3.3343137750666774E-2</v>
      </c>
      <c r="I34" s="665"/>
      <c r="J34" s="665"/>
      <c r="L34" s="497"/>
    </row>
    <row r="35" spans="1:12" ht="17.100000000000001" customHeight="1" x14ac:dyDescent="0.25">
      <c r="A35" s="458">
        <f t="shared" si="0"/>
        <v>16</v>
      </c>
      <c r="B35" s="458">
        <v>1974</v>
      </c>
      <c r="C35" s="497">
        <v>4.6238224157374868</v>
      </c>
      <c r="D35" s="749">
        <v>1.158836985736847</v>
      </c>
      <c r="E35" s="502">
        <v>1.4484000000000001</v>
      </c>
      <c r="F35" s="749">
        <v>1.2351677165300707</v>
      </c>
      <c r="G35" s="499">
        <v>3.9276869106523442</v>
      </c>
      <c r="H35" s="499">
        <v>-0.82859522570808153</v>
      </c>
      <c r="I35" s="665"/>
      <c r="J35" s="665"/>
      <c r="L35" s="497"/>
    </row>
    <row r="36" spans="1:12" ht="17.100000000000001" customHeight="1" x14ac:dyDescent="0.25">
      <c r="A36" s="458">
        <f t="shared" si="0"/>
        <v>17</v>
      </c>
      <c r="B36" s="458">
        <v>1975</v>
      </c>
      <c r="C36" s="497">
        <v>4.6179602930924197</v>
      </c>
      <c r="D36" s="749">
        <v>1.1360972407569885</v>
      </c>
      <c r="E36" s="502">
        <v>2.6198999999999999</v>
      </c>
      <c r="F36" s="749">
        <v>1.2310947850881488</v>
      </c>
      <c r="G36" s="499">
        <v>2.3945532132613923</v>
      </c>
      <c r="H36" s="499">
        <v>-0.49149046450013234</v>
      </c>
      <c r="I36" s="665"/>
      <c r="J36" s="665"/>
      <c r="L36" s="497"/>
    </row>
    <row r="37" spans="1:12" ht="17.100000000000001" customHeight="1" x14ac:dyDescent="0.25">
      <c r="A37" s="458">
        <f t="shared" si="0"/>
        <v>18</v>
      </c>
      <c r="B37" s="458">
        <v>1976</v>
      </c>
      <c r="C37" s="497">
        <v>4.8629579433500423</v>
      </c>
      <c r="D37" s="749">
        <v>1.1212929113349914</v>
      </c>
      <c r="E37" s="502">
        <v>2.0661</v>
      </c>
      <c r="F37" s="749">
        <v>1.3210350069328811</v>
      </c>
      <c r="G37" s="499">
        <v>2.9827693832435078</v>
      </c>
      <c r="H37" s="499">
        <v>-0.38565353549135573</v>
      </c>
      <c r="I37" s="665"/>
      <c r="J37" s="665"/>
      <c r="L37" s="497"/>
    </row>
    <row r="38" spans="1:12" ht="17.100000000000001" customHeight="1" x14ac:dyDescent="0.25">
      <c r="A38" s="458">
        <f t="shared" si="0"/>
        <v>19</v>
      </c>
      <c r="B38" s="458">
        <v>1977</v>
      </c>
      <c r="C38" s="497">
        <v>4.9964691666638146</v>
      </c>
      <c r="D38" s="749">
        <v>1.1031171265144351</v>
      </c>
      <c r="E38" s="502">
        <v>4.0895999999999999</v>
      </c>
      <c r="F38" s="749">
        <v>1.3981560213684689</v>
      </c>
      <c r="G38" s="499">
        <v>1.424957879101951</v>
      </c>
      <c r="H38" s="499">
        <v>-0.81312760729216982</v>
      </c>
      <c r="I38" s="665"/>
      <c r="J38" s="665"/>
      <c r="L38" s="497"/>
    </row>
    <row r="39" spans="1:12" ht="17.100000000000001" customHeight="1" x14ac:dyDescent="0.25">
      <c r="A39" s="458">
        <f t="shared" si="0"/>
        <v>20</v>
      </c>
      <c r="B39" s="458">
        <v>1978</v>
      </c>
      <c r="C39" s="497">
        <v>5.179521322002933</v>
      </c>
      <c r="D39" s="749">
        <v>1.0659872129516601</v>
      </c>
      <c r="E39" s="502">
        <v>2.7477</v>
      </c>
      <c r="F39" s="749">
        <v>1.4373897022997912</v>
      </c>
      <c r="G39" s="499">
        <v>2.650031210556826</v>
      </c>
      <c r="H39" s="499">
        <v>-0.5896123779020237</v>
      </c>
      <c r="I39" s="665"/>
      <c r="J39" s="665"/>
      <c r="L39" s="497"/>
    </row>
    <row r="40" spans="1:12" ht="17.100000000000001" customHeight="1" x14ac:dyDescent="0.25">
      <c r="A40" s="458">
        <f t="shared" si="0"/>
        <v>21</v>
      </c>
      <c r="B40" s="458">
        <v>1979</v>
      </c>
      <c r="C40" s="497">
        <v>5.3176443229793167</v>
      </c>
      <c r="D40" s="749">
        <v>1.0386992796401979</v>
      </c>
      <c r="E40" s="502">
        <v>4.5582000000000003</v>
      </c>
      <c r="F40" s="749">
        <v>1.3563019686973874</v>
      </c>
      <c r="G40" s="499">
        <v>1.4442559019907575</v>
      </c>
      <c r="H40" s="499">
        <v>-1.002414268068631</v>
      </c>
      <c r="I40" s="665"/>
      <c r="J40" s="665"/>
      <c r="L40" s="497"/>
    </row>
    <row r="41" spans="1:12" ht="17.100000000000001" customHeight="1" x14ac:dyDescent="0.25">
      <c r="A41" s="458">
        <f t="shared" si="0"/>
        <v>22</v>
      </c>
      <c r="B41" s="458">
        <v>1980</v>
      </c>
      <c r="C41" s="497">
        <v>5.2922257893235827</v>
      </c>
      <c r="D41" s="749">
        <v>1.0849851625404361</v>
      </c>
      <c r="E41" s="502">
        <v>3.6209999999999996</v>
      </c>
      <c r="F41" s="749">
        <v>1.6288639862170988</v>
      </c>
      <c r="G41" s="499">
        <v>0.50110007159729164</v>
      </c>
      <c r="H41" s="499">
        <v>0.62624689404962852</v>
      </c>
      <c r="I41" s="665"/>
      <c r="J41" s="665"/>
      <c r="L41" s="497"/>
    </row>
    <row r="42" spans="1:12" ht="17.100000000000001" customHeight="1" x14ac:dyDescent="0.25">
      <c r="A42" s="458">
        <f t="shared" si="0"/>
        <v>23</v>
      </c>
      <c r="B42" s="458">
        <v>1981</v>
      </c>
      <c r="C42" s="497">
        <v>5.1485214966506714</v>
      </c>
      <c r="D42" s="749">
        <v>1.102055435045648</v>
      </c>
      <c r="E42" s="502">
        <v>2.4494999999999996</v>
      </c>
      <c r="F42" s="749">
        <v>1.6171852477813831</v>
      </c>
      <c r="G42" s="499">
        <v>2.2502952362113158</v>
      </c>
      <c r="H42" s="499">
        <v>-6.6403552296379509E-2</v>
      </c>
      <c r="I42" s="665"/>
      <c r="J42" s="665"/>
      <c r="L42" s="497"/>
    </row>
    <row r="43" spans="1:12" ht="17.100000000000001" customHeight="1" x14ac:dyDescent="0.25">
      <c r="A43" s="458">
        <f t="shared" si="0"/>
        <v>24</v>
      </c>
      <c r="B43" s="458">
        <v>1982</v>
      </c>
      <c r="C43" s="497">
        <v>5.1103021304094369</v>
      </c>
      <c r="D43" s="749">
        <v>1.11744058761885</v>
      </c>
      <c r="E43" s="502">
        <v>2.13</v>
      </c>
      <c r="F43" s="749">
        <v>1.7025704274773776</v>
      </c>
      <c r="G43" s="499">
        <v>1.4935962345432092</v>
      </c>
      <c r="H43" s="499">
        <v>0.90157605600769997</v>
      </c>
      <c r="I43" s="665"/>
      <c r="J43" s="665"/>
      <c r="L43" s="497"/>
    </row>
    <row r="44" spans="1:12" ht="17.100000000000001" customHeight="1" x14ac:dyDescent="0.25">
      <c r="A44" s="458">
        <f t="shared" si="0"/>
        <v>25</v>
      </c>
      <c r="B44" s="458">
        <v>1983</v>
      </c>
      <c r="C44" s="497">
        <v>5.1587482385146686</v>
      </c>
      <c r="D44" s="749">
        <v>1.1601088688595265</v>
      </c>
      <c r="E44" s="502">
        <v>3.9405000000000001</v>
      </c>
      <c r="F44" s="749">
        <v>1.8261309897537323</v>
      </c>
      <c r="G44" s="499">
        <v>0.22743127897780077</v>
      </c>
      <c r="H44" s="499">
        <v>0.32479483864266201</v>
      </c>
      <c r="I44" s="665"/>
      <c r="J44" s="665"/>
      <c r="L44" s="497"/>
    </row>
    <row r="45" spans="1:12" ht="17.100000000000001" customHeight="1" x14ac:dyDescent="0.25">
      <c r="A45" s="458">
        <f t="shared" si="0"/>
        <v>26</v>
      </c>
      <c r="B45" s="458">
        <v>1984</v>
      </c>
      <c r="C45" s="497">
        <v>5.3088640374220608</v>
      </c>
      <c r="D45" s="749">
        <v>1.1983848308555953</v>
      </c>
      <c r="E45" s="502">
        <v>2.6412</v>
      </c>
      <c r="F45" s="749">
        <v>1.695264433235798</v>
      </c>
      <c r="G45" s="499">
        <v>2.712689506913212</v>
      </c>
      <c r="H45" s="499">
        <v>-0.54190507187135317</v>
      </c>
      <c r="I45" s="665"/>
      <c r="J45" s="665"/>
      <c r="L45" s="497"/>
    </row>
    <row r="46" spans="1:12" ht="17.100000000000001" customHeight="1" x14ac:dyDescent="0.25">
      <c r="A46" s="458">
        <f t="shared" si="0"/>
        <v>27</v>
      </c>
      <c r="B46" s="458">
        <v>1985</v>
      </c>
      <c r="C46" s="497">
        <v>5.4979833725130769</v>
      </c>
      <c r="D46" s="749">
        <v>1.2182106482113499</v>
      </c>
      <c r="E46" s="502">
        <v>3.4506000000000001</v>
      </c>
      <c r="F46" s="749">
        <v>1.6487402646390399</v>
      </c>
      <c r="G46" s="499">
        <v>2.6505246947819563</v>
      </c>
      <c r="H46" s="499">
        <v>-1.0336709386965699</v>
      </c>
      <c r="I46" s="665"/>
      <c r="J46" s="665"/>
      <c r="L46" s="497"/>
    </row>
    <row r="47" spans="1:12" ht="17.100000000000001" customHeight="1" x14ac:dyDescent="0.25">
      <c r="A47" s="458">
        <f t="shared" si="0"/>
        <v>28</v>
      </c>
      <c r="B47" s="458">
        <v>1986</v>
      </c>
      <c r="C47" s="497">
        <v>5.5762670621050612</v>
      </c>
      <c r="D47" s="749">
        <v>1.2537486936145836</v>
      </c>
      <c r="E47" s="502">
        <v>2.1726000000000001</v>
      </c>
      <c r="F47" s="749">
        <v>1.7291614223743013</v>
      </c>
      <c r="G47" s="499">
        <v>2.2062169941903242</v>
      </c>
      <c r="H47" s="499">
        <v>0.722037339155019</v>
      </c>
      <c r="I47" s="665"/>
      <c r="J47" s="665"/>
      <c r="L47" s="497"/>
    </row>
    <row r="48" spans="1:12" ht="17.100000000000001" customHeight="1" x14ac:dyDescent="0.25">
      <c r="A48" s="458">
        <f t="shared" si="0"/>
        <v>29</v>
      </c>
      <c r="B48" s="458">
        <v>1987</v>
      </c>
      <c r="C48" s="497">
        <v>5.7570508339376891</v>
      </c>
      <c r="D48" s="749">
        <v>1.2910954837219641</v>
      </c>
      <c r="E48" s="502">
        <v>5.7510000000000003</v>
      </c>
      <c r="F48" s="749">
        <v>1.8238169223802332</v>
      </c>
      <c r="G48" s="499">
        <v>0.42765513672047206</v>
      </c>
      <c r="H48" s="499">
        <v>-0.95432574144105231</v>
      </c>
      <c r="I48" s="665"/>
      <c r="J48" s="665"/>
      <c r="L48" s="497"/>
    </row>
    <row r="49" spans="1:12" ht="17.100000000000001" customHeight="1" x14ac:dyDescent="0.25">
      <c r="A49" s="458">
        <f t="shared" si="0"/>
        <v>30</v>
      </c>
      <c r="B49" s="458">
        <v>1988</v>
      </c>
      <c r="C49" s="497">
        <v>5.9772678844113178</v>
      </c>
      <c r="D49" s="749">
        <v>1.3078038938081555</v>
      </c>
      <c r="E49" s="502">
        <v>4.7924999999999995</v>
      </c>
      <c r="F49" s="749">
        <v>1.7076668776062509</v>
      </c>
      <c r="G49" s="499">
        <v>1.9301991817889961</v>
      </c>
      <c r="H49" s="499">
        <v>-1.1452942811757734</v>
      </c>
      <c r="I49" s="665"/>
      <c r="J49" s="989" t="s">
        <v>365</v>
      </c>
      <c r="K49" s="989"/>
      <c r="L49" s="989"/>
    </row>
    <row r="50" spans="1:12" ht="17.100000000000001" customHeight="1" x14ac:dyDescent="0.25">
      <c r="A50" s="458">
        <f t="shared" si="0"/>
        <v>31</v>
      </c>
      <c r="B50" s="458">
        <v>1989</v>
      </c>
      <c r="C50" s="497">
        <v>6.0673264716739945</v>
      </c>
      <c r="D50" s="749">
        <v>1.334689309978933</v>
      </c>
      <c r="E50" s="502">
        <v>2.9393999999999996</v>
      </c>
      <c r="F50" s="749">
        <v>1.7017748351993545</v>
      </c>
      <c r="G50" s="499">
        <v>3.3625222839782061</v>
      </c>
      <c r="H50" s="499">
        <v>-0.60168133752463193</v>
      </c>
      <c r="I50" s="665"/>
      <c r="J50" s="497" t="str">
        <f>C19</f>
        <v>fossil fuel and industry</v>
      </c>
      <c r="K50" s="497" t="str">
        <f>D19</f>
        <v>land-use change emissions</v>
      </c>
      <c r="L50" s="497" t="s">
        <v>180</v>
      </c>
    </row>
    <row r="51" spans="1:12" ht="17.100000000000001" customHeight="1" x14ac:dyDescent="0.25">
      <c r="A51" s="458">
        <f t="shared" si="0"/>
        <v>32</v>
      </c>
      <c r="B51" s="458">
        <v>1990</v>
      </c>
      <c r="C51" s="497">
        <v>6.200201951215436</v>
      </c>
      <c r="D51" s="749">
        <v>1.3082016196954749</v>
      </c>
      <c r="E51" s="502">
        <v>2.4920999999999998</v>
      </c>
      <c r="F51" s="749">
        <v>1.81633520767409</v>
      </c>
      <c r="G51" s="499">
        <v>2.2690388296035535</v>
      </c>
      <c r="H51" s="499">
        <v>0.93092953363326769</v>
      </c>
      <c r="I51" s="665"/>
      <c r="J51" s="497">
        <f>C51*$J$80</f>
        <v>22.717539949253357</v>
      </c>
      <c r="K51" s="497">
        <f>D51*$J$80</f>
        <v>4.7932507345642206</v>
      </c>
      <c r="L51" s="497">
        <f>SUM(J51:K51)</f>
        <v>27.510790683817579</v>
      </c>
    </row>
    <row r="52" spans="1:12" ht="17.100000000000001" customHeight="1" x14ac:dyDescent="0.25">
      <c r="A52" s="458">
        <f t="shared" si="0"/>
        <v>33</v>
      </c>
      <c r="B52" s="458">
        <v>1991</v>
      </c>
      <c r="C52" s="497">
        <v>6.329408588445987</v>
      </c>
      <c r="D52" s="749">
        <v>1.3066275181928075</v>
      </c>
      <c r="E52" s="502">
        <v>1.5761999999999998</v>
      </c>
      <c r="F52" s="749">
        <v>1.9089131013000855</v>
      </c>
      <c r="G52" s="499">
        <v>2.1942380496020868</v>
      </c>
      <c r="H52" s="499">
        <v>1.9566849557366219</v>
      </c>
      <c r="I52" s="665"/>
      <c r="J52" s="497">
        <f t="shared" ref="J52:J79" si="1">C52*$J$80</f>
        <v>23.190953068066097</v>
      </c>
      <c r="K52" s="497">
        <f t="shared" ref="K52:K79" si="2">D52*$J$80</f>
        <v>4.7874832266584466</v>
      </c>
      <c r="L52" s="497">
        <f t="shared" ref="L52:L79" si="3">SUM(J52:K52)</f>
        <v>27.978436294724546</v>
      </c>
    </row>
    <row r="53" spans="1:12" ht="17.100000000000001" customHeight="1" x14ac:dyDescent="0.25">
      <c r="A53" s="458">
        <f t="shared" si="0"/>
        <v>34</v>
      </c>
      <c r="B53" s="458">
        <v>1992</v>
      </c>
      <c r="C53" s="497">
        <v>6.1316663330375301</v>
      </c>
      <c r="D53" s="749">
        <v>1.315199822421504</v>
      </c>
      <c r="E53" s="502">
        <v>1.4909999999999999</v>
      </c>
      <c r="F53" s="749">
        <v>2.0995610391101471</v>
      </c>
      <c r="G53" s="499">
        <v>2.0993218820449382</v>
      </c>
      <c r="H53" s="499">
        <v>1.7569832343039491</v>
      </c>
      <c r="I53" s="665"/>
      <c r="J53" s="497">
        <f t="shared" si="1"/>
        <v>22.466425444249509</v>
      </c>
      <c r="K53" s="497">
        <f t="shared" si="2"/>
        <v>4.8188921493523909</v>
      </c>
      <c r="L53" s="497">
        <f t="shared" si="3"/>
        <v>27.285317593601899</v>
      </c>
    </row>
    <row r="54" spans="1:12" ht="17.100000000000001" customHeight="1" x14ac:dyDescent="0.25">
      <c r="A54" s="458">
        <f t="shared" si="0"/>
        <v>35</v>
      </c>
      <c r="B54" s="458">
        <v>1993</v>
      </c>
      <c r="C54" s="497">
        <v>6.1998773415566628</v>
      </c>
      <c r="D54" s="749">
        <v>1.3129400724348561</v>
      </c>
      <c r="E54" s="502">
        <v>2.6198999999999999</v>
      </c>
      <c r="F54" s="749">
        <v>2.0284261392754708</v>
      </c>
      <c r="G54" s="499">
        <v>2.8315064481490908</v>
      </c>
      <c r="H54" s="499">
        <v>3.2984826566957448E-2</v>
      </c>
      <c r="I54" s="665"/>
      <c r="J54" s="497">
        <f t="shared" si="1"/>
        <v>22.716350579463615</v>
      </c>
      <c r="K54" s="497">
        <f t="shared" si="2"/>
        <v>4.8106124254013132</v>
      </c>
      <c r="L54" s="497">
        <f t="shared" si="3"/>
        <v>27.526963004864928</v>
      </c>
    </row>
    <row r="55" spans="1:12" ht="17.100000000000001" customHeight="1" x14ac:dyDescent="0.25">
      <c r="A55" s="458">
        <f t="shared" si="0"/>
        <v>36</v>
      </c>
      <c r="B55" s="458">
        <v>1994</v>
      </c>
      <c r="C55" s="497">
        <v>6.2439463153321491</v>
      </c>
      <c r="D55" s="749">
        <v>1.3068212776166159</v>
      </c>
      <c r="E55" s="502">
        <v>3.5783999999999998</v>
      </c>
      <c r="F55" s="749">
        <v>1.9031101707607898</v>
      </c>
      <c r="G55" s="499">
        <v>1.4135870413530709</v>
      </c>
      <c r="H55" s="499">
        <v>0.6556703808349047</v>
      </c>
      <c r="I55" s="665"/>
      <c r="J55" s="497">
        <f t="shared" si="1"/>
        <v>22.877819299376995</v>
      </c>
      <c r="K55" s="497">
        <f t="shared" si="2"/>
        <v>4.788193161187281</v>
      </c>
      <c r="L55" s="497">
        <f t="shared" si="3"/>
        <v>27.666012460564275</v>
      </c>
    </row>
    <row r="56" spans="1:12" ht="17.100000000000001" customHeight="1" x14ac:dyDescent="0.25">
      <c r="A56" s="458">
        <f t="shared" si="0"/>
        <v>37</v>
      </c>
      <c r="B56" s="458">
        <v>1995</v>
      </c>
      <c r="C56" s="497">
        <v>6.378701601849551</v>
      </c>
      <c r="D56" s="749">
        <v>1.2920542120261045</v>
      </c>
      <c r="E56" s="502">
        <v>4.1534999999999993</v>
      </c>
      <c r="F56" s="749">
        <v>1.9078934974248101</v>
      </c>
      <c r="G56" s="499">
        <v>1.6927566913885332</v>
      </c>
      <c r="H56" s="499">
        <v>-8.3394374937687088E-2</v>
      </c>
      <c r="I56" s="665"/>
      <c r="J56" s="497">
        <f t="shared" si="1"/>
        <v>23.371562669176758</v>
      </c>
      <c r="K56" s="497">
        <f t="shared" si="2"/>
        <v>4.7340866328636473</v>
      </c>
      <c r="L56" s="497">
        <f t="shared" si="3"/>
        <v>28.105649302040405</v>
      </c>
    </row>
    <row r="57" spans="1:12" ht="17.100000000000001" customHeight="1" x14ac:dyDescent="0.25">
      <c r="A57" s="458">
        <f t="shared" si="0"/>
        <v>38</v>
      </c>
      <c r="B57" s="458">
        <v>1996</v>
      </c>
      <c r="C57" s="497">
        <v>6.577389844519236</v>
      </c>
      <c r="D57" s="749">
        <v>1.265957577562467</v>
      </c>
      <c r="E57" s="502">
        <v>2.2578</v>
      </c>
      <c r="F57" s="749">
        <v>1.8597920487487767</v>
      </c>
      <c r="G57" s="499">
        <v>3.0555172582121437</v>
      </c>
      <c r="H57" s="499">
        <v>0.67023811512078257</v>
      </c>
      <c r="I57" s="665"/>
      <c r="J57" s="497">
        <f t="shared" si="1"/>
        <v>24.099556390318483</v>
      </c>
      <c r="K57" s="497">
        <f t="shared" si="2"/>
        <v>4.6384685641888792</v>
      </c>
      <c r="L57" s="497">
        <f t="shared" si="3"/>
        <v>28.738024954507363</v>
      </c>
    </row>
    <row r="58" spans="1:12" ht="17.100000000000001" customHeight="1" x14ac:dyDescent="0.25">
      <c r="A58" s="458">
        <f t="shared" si="0"/>
        <v>39</v>
      </c>
      <c r="B58" s="458">
        <v>1997</v>
      </c>
      <c r="C58" s="497">
        <v>6.614872562488479</v>
      </c>
      <c r="D58" s="749">
        <v>1.7384025883469483</v>
      </c>
      <c r="E58" s="502">
        <v>4.1960999999999995</v>
      </c>
      <c r="F58" s="749">
        <v>1.9915423027060986</v>
      </c>
      <c r="G58" s="499">
        <v>3.1889207589982242</v>
      </c>
      <c r="H58" s="499">
        <v>-1.0232879108688944</v>
      </c>
      <c r="I58" s="665"/>
      <c r="J58" s="497">
        <f t="shared" si="1"/>
        <v>24.236893068957787</v>
      </c>
      <c r="K58" s="497">
        <f t="shared" si="2"/>
        <v>6.3695070837032191</v>
      </c>
      <c r="L58" s="497">
        <f t="shared" si="3"/>
        <v>30.606400152661006</v>
      </c>
    </row>
    <row r="59" spans="1:12" ht="17.100000000000001" customHeight="1" x14ac:dyDescent="0.25">
      <c r="A59" s="458">
        <f t="shared" si="0"/>
        <v>40</v>
      </c>
      <c r="B59" s="458">
        <v>1998</v>
      </c>
      <c r="C59" s="497">
        <v>6.5911123805710128</v>
      </c>
      <c r="D59" s="749">
        <v>1.1874079700690245</v>
      </c>
      <c r="E59" s="502">
        <v>6.0065999999999997</v>
      </c>
      <c r="F59" s="749">
        <v>2.0926768298157978</v>
      </c>
      <c r="G59" s="499">
        <v>1.4328831326345317</v>
      </c>
      <c r="H59" s="499">
        <v>-1.7536396118102919</v>
      </c>
      <c r="I59" s="665"/>
      <c r="J59" s="497">
        <f t="shared" si="1"/>
        <v>24.149835762412192</v>
      </c>
      <c r="K59" s="497">
        <f t="shared" si="2"/>
        <v>4.3506628023329057</v>
      </c>
      <c r="L59" s="497">
        <f t="shared" si="3"/>
        <v>28.500498564745097</v>
      </c>
    </row>
    <row r="60" spans="1:12" ht="17.100000000000001" customHeight="1" x14ac:dyDescent="0.25">
      <c r="A60" s="458">
        <f t="shared" si="0"/>
        <v>41</v>
      </c>
      <c r="B60" s="458">
        <v>1999</v>
      </c>
      <c r="C60" s="497">
        <v>6.6748141651790025</v>
      </c>
      <c r="D60" s="749">
        <v>1.1614055728039947</v>
      </c>
      <c r="E60" s="502">
        <v>2.9180999999999999</v>
      </c>
      <c r="F60" s="749">
        <v>1.9401277500186778</v>
      </c>
      <c r="G60" s="499">
        <v>3.3784653149450534</v>
      </c>
      <c r="H60" s="499">
        <v>-0.4004733269807339</v>
      </c>
      <c r="I60" s="665"/>
      <c r="J60" s="497">
        <f t="shared" si="1"/>
        <v>24.456519101215868</v>
      </c>
      <c r="K60" s="497">
        <f t="shared" si="2"/>
        <v>4.2553900187538369</v>
      </c>
      <c r="L60" s="497">
        <f t="shared" si="3"/>
        <v>28.711909119969704</v>
      </c>
    </row>
    <row r="61" spans="1:12" ht="17.100000000000001" customHeight="1" x14ac:dyDescent="0.25">
      <c r="A61" s="458">
        <f t="shared" si="0"/>
        <v>42</v>
      </c>
      <c r="B61" s="458">
        <v>2000</v>
      </c>
      <c r="C61" s="497">
        <v>6.865272805444425</v>
      </c>
      <c r="D61" s="749">
        <v>1.3410948937358707</v>
      </c>
      <c r="E61" s="502">
        <v>2.6198999999999999</v>
      </c>
      <c r="F61" s="749">
        <v>1.9067543638866613</v>
      </c>
      <c r="G61" s="499">
        <v>3.7289923918723016</v>
      </c>
      <c r="H61" s="499">
        <v>-4.9279056578666491E-2</v>
      </c>
      <c r="I61" s="665"/>
      <c r="J61" s="497">
        <f t="shared" si="1"/>
        <v>25.154359559148375</v>
      </c>
      <c r="K61" s="497">
        <f t="shared" si="2"/>
        <v>4.9137716906482298</v>
      </c>
      <c r="L61" s="497">
        <f t="shared" si="3"/>
        <v>30.068131249796604</v>
      </c>
    </row>
    <row r="62" spans="1:12" ht="17.100000000000001" customHeight="1" x14ac:dyDescent="0.25">
      <c r="A62" s="458">
        <f t="shared" si="0"/>
        <v>43</v>
      </c>
      <c r="B62" s="458">
        <v>2001</v>
      </c>
      <c r="C62" s="497">
        <v>6.9226207173081598</v>
      </c>
      <c r="D62" s="749">
        <v>1.2720478934579651</v>
      </c>
      <c r="E62" s="502">
        <v>3.8765999999999998</v>
      </c>
      <c r="F62" s="749">
        <v>1.8052898099762211</v>
      </c>
      <c r="G62" s="499">
        <v>2.3886606037071245</v>
      </c>
      <c r="H62" s="499">
        <v>0.12411819708278005</v>
      </c>
      <c r="I62" s="665"/>
      <c r="J62" s="497">
        <f t="shared" si="1"/>
        <v>25.364482308217099</v>
      </c>
      <c r="K62" s="497">
        <f t="shared" si="2"/>
        <v>4.6607834816299842</v>
      </c>
      <c r="L62" s="497">
        <f t="shared" si="3"/>
        <v>30.025265789847083</v>
      </c>
    </row>
    <row r="63" spans="1:12" ht="17.100000000000001" customHeight="1" x14ac:dyDescent="0.25">
      <c r="A63" s="458">
        <f t="shared" si="0"/>
        <v>44</v>
      </c>
      <c r="B63" s="458">
        <v>2002</v>
      </c>
      <c r="C63" s="497">
        <v>7.0740758547469405</v>
      </c>
      <c r="D63" s="749">
        <v>1.4607478359042845</v>
      </c>
      <c r="E63" s="502">
        <v>5.0267999999999997</v>
      </c>
      <c r="F63" s="749">
        <v>2.1484370011238911</v>
      </c>
      <c r="G63" s="499">
        <v>1.0442285732433938</v>
      </c>
      <c r="H63" s="499">
        <v>0.31535811628393984</v>
      </c>
      <c r="I63" s="665"/>
      <c r="J63" s="497">
        <f t="shared" si="1"/>
        <v>25.919413931792789</v>
      </c>
      <c r="K63" s="497">
        <f t="shared" si="2"/>
        <v>5.3521800707532989</v>
      </c>
      <c r="L63" s="497">
        <f t="shared" si="3"/>
        <v>31.271594002546088</v>
      </c>
    </row>
    <row r="64" spans="1:12" ht="17.100000000000001" customHeight="1" x14ac:dyDescent="0.25">
      <c r="A64" s="458">
        <f t="shared" si="0"/>
        <v>45</v>
      </c>
      <c r="B64" s="458">
        <v>2003</v>
      </c>
      <c r="C64" s="497">
        <v>7.4148367421892365</v>
      </c>
      <c r="D64" s="749">
        <v>1.5195797441245422</v>
      </c>
      <c r="E64" s="502">
        <v>4.8776999999999999</v>
      </c>
      <c r="F64" s="749">
        <v>2.2199446879287117</v>
      </c>
      <c r="G64" s="499">
        <v>2.2787733006802449</v>
      </c>
      <c r="H64" s="499">
        <v>-0.44200150229517732</v>
      </c>
      <c r="I64" s="665"/>
      <c r="J64" s="497">
        <f t="shared" si="1"/>
        <v>27.167961823381365</v>
      </c>
      <c r="K64" s="497">
        <f t="shared" si="2"/>
        <v>5.5677401824723232</v>
      </c>
      <c r="L64" s="497">
        <f t="shared" si="3"/>
        <v>32.735702005853689</v>
      </c>
    </row>
    <row r="65" spans="1:22" ht="17.100000000000001" customHeight="1" x14ac:dyDescent="0.25">
      <c r="A65" s="458">
        <f t="shared" si="0"/>
        <v>46</v>
      </c>
      <c r="B65" s="458">
        <v>2004</v>
      </c>
      <c r="C65" s="497">
        <v>7.76319804088034</v>
      </c>
      <c r="D65" s="749">
        <v>1.4788124299299992</v>
      </c>
      <c r="E65" s="502">
        <v>3.3441000000000001</v>
      </c>
      <c r="F65" s="749">
        <v>2.1515235765430734</v>
      </c>
      <c r="G65" s="499">
        <v>3.4532177464367866</v>
      </c>
      <c r="H65" s="499">
        <v>0.29316914783047876</v>
      </c>
      <c r="I65" s="665"/>
      <c r="J65" s="497">
        <f t="shared" si="1"/>
        <v>28.444357621785567</v>
      </c>
      <c r="K65" s="497">
        <f t="shared" si="2"/>
        <v>5.4183687432635175</v>
      </c>
      <c r="L65" s="497">
        <f t="shared" si="3"/>
        <v>33.862726365049085</v>
      </c>
    </row>
    <row r="66" spans="1:22" ht="17.100000000000001" customHeight="1" x14ac:dyDescent="0.25">
      <c r="A66" s="458">
        <f t="shared" si="0"/>
        <v>47</v>
      </c>
      <c r="B66" s="458">
        <v>2005</v>
      </c>
      <c r="C66" s="497">
        <v>8.0243176318479215</v>
      </c>
      <c r="D66" s="749">
        <v>1.3677681494228944</v>
      </c>
      <c r="E66" s="502">
        <v>5.1971999999999996</v>
      </c>
      <c r="F66" s="749">
        <v>2.2178022194736968</v>
      </c>
      <c r="G66" s="499">
        <v>1.8148522812574501</v>
      </c>
      <c r="H66" s="499">
        <v>0.1622312805396684</v>
      </c>
      <c r="I66" s="665"/>
      <c r="J66" s="497">
        <f t="shared" si="1"/>
        <v>29.401099803090787</v>
      </c>
      <c r="K66" s="497">
        <f t="shared" si="2"/>
        <v>5.0115024994854851</v>
      </c>
      <c r="L66" s="497">
        <f t="shared" si="3"/>
        <v>34.412602302576275</v>
      </c>
    </row>
    <row r="67" spans="1:22" ht="17.100000000000001" customHeight="1" x14ac:dyDescent="0.25">
      <c r="A67" s="458">
        <f t="shared" si="0"/>
        <v>48</v>
      </c>
      <c r="B67" s="458">
        <v>2006</v>
      </c>
      <c r="C67" s="497">
        <v>8.2903047925045765</v>
      </c>
      <c r="D67" s="749">
        <v>1.4175660862200805</v>
      </c>
      <c r="E67" s="502">
        <v>3.7275</v>
      </c>
      <c r="F67" s="749">
        <v>2.2824450620290158</v>
      </c>
      <c r="G67" s="499">
        <v>3.0175581800482396</v>
      </c>
      <c r="H67" s="499">
        <v>0.68036763664740185</v>
      </c>
      <c r="I67" s="665"/>
      <c r="J67" s="497">
        <f t="shared" si="1"/>
        <v>30.37567675973677</v>
      </c>
      <c r="K67" s="497">
        <f t="shared" si="2"/>
        <v>5.1939621399103748</v>
      </c>
      <c r="L67" s="497">
        <f t="shared" si="3"/>
        <v>35.569638899647146</v>
      </c>
    </row>
    <row r="68" spans="1:22" ht="17.100000000000001" customHeight="1" x14ac:dyDescent="0.25">
      <c r="A68" s="458">
        <f t="shared" si="0"/>
        <v>49</v>
      </c>
      <c r="B68" s="458">
        <v>2007</v>
      </c>
      <c r="C68" s="497">
        <v>8.5377023814016564</v>
      </c>
      <c r="D68" s="749">
        <v>1.2356778988377015</v>
      </c>
      <c r="E68" s="502">
        <v>4.4729999999999999</v>
      </c>
      <c r="F68" s="749">
        <v>2.3167005515042169</v>
      </c>
      <c r="G68" s="499">
        <v>2.827420734565671</v>
      </c>
      <c r="H68" s="499">
        <v>0.15625899416947053</v>
      </c>
      <c r="I68" s="665"/>
      <c r="J68" s="497">
        <f t="shared" si="1"/>
        <v>31.282141525455671</v>
      </c>
      <c r="K68" s="497">
        <f t="shared" si="2"/>
        <v>4.5275238213413385</v>
      </c>
      <c r="L68" s="497">
        <f t="shared" si="3"/>
        <v>35.809665346797011</v>
      </c>
    </row>
    <row r="69" spans="1:22" ht="17.100000000000001" customHeight="1" x14ac:dyDescent="0.25">
      <c r="A69" s="458">
        <f t="shared" si="0"/>
        <v>50</v>
      </c>
      <c r="B69" s="458">
        <v>2008</v>
      </c>
      <c r="C69" s="497">
        <v>8.7320954889180484</v>
      </c>
      <c r="D69" s="749">
        <v>1.2984873902839906</v>
      </c>
      <c r="E69" s="502">
        <v>3.7913999999999999</v>
      </c>
      <c r="F69" s="749">
        <v>2.2733577407005203</v>
      </c>
      <c r="G69" s="499">
        <v>3.5035954098575628</v>
      </c>
      <c r="H69" s="499">
        <v>0.46222972864395739</v>
      </c>
      <c r="I69" s="665"/>
      <c r="J69" s="497">
        <f t="shared" si="1"/>
        <v>31.99439787139573</v>
      </c>
      <c r="K69" s="497">
        <f t="shared" si="2"/>
        <v>4.7576577980005421</v>
      </c>
      <c r="L69" s="497">
        <f t="shared" si="3"/>
        <v>36.75205566939627</v>
      </c>
    </row>
    <row r="70" spans="1:22" ht="17.100000000000001" customHeight="1" x14ac:dyDescent="0.25">
      <c r="A70" s="458">
        <f t="shared" si="0"/>
        <v>51</v>
      </c>
      <c r="B70" s="458">
        <v>2009</v>
      </c>
      <c r="C70" s="497">
        <v>8.6059679997301757</v>
      </c>
      <c r="D70" s="749">
        <v>1.5042493428983335</v>
      </c>
      <c r="E70" s="502">
        <v>3.4293</v>
      </c>
      <c r="F70" s="749">
        <v>2.3359533262879113</v>
      </c>
      <c r="G70" s="499">
        <v>2.716046100161253</v>
      </c>
      <c r="H70" s="499">
        <v>1.6289179161793452</v>
      </c>
      <c r="I70" s="665"/>
      <c r="J70" s="497">
        <f t="shared" si="1"/>
        <v>31.532266751011363</v>
      </c>
      <c r="K70" s="497">
        <f t="shared" si="2"/>
        <v>5.5115695923794936</v>
      </c>
      <c r="L70" s="497">
        <f t="shared" si="3"/>
        <v>37.043836343390858</v>
      </c>
      <c r="N70" s="496">
        <v>2010</v>
      </c>
      <c r="O70" s="496">
        <f>N70+1</f>
        <v>2011</v>
      </c>
      <c r="P70" s="496">
        <f t="shared" ref="P70:V70" si="4">O70+1</f>
        <v>2012</v>
      </c>
      <c r="Q70" s="496">
        <f t="shared" si="4"/>
        <v>2013</v>
      </c>
      <c r="R70" s="496">
        <f t="shared" si="4"/>
        <v>2014</v>
      </c>
      <c r="S70" s="496">
        <f t="shared" si="4"/>
        <v>2015</v>
      </c>
      <c r="T70" s="496">
        <f t="shared" si="4"/>
        <v>2016</v>
      </c>
      <c r="U70" s="496">
        <f t="shared" si="4"/>
        <v>2017</v>
      </c>
      <c r="V70" s="496">
        <f t="shared" si="4"/>
        <v>2018</v>
      </c>
    </row>
    <row r="71" spans="1:22" ht="17.100000000000001" customHeight="1" x14ac:dyDescent="0.25">
      <c r="A71" s="458">
        <f t="shared" si="0"/>
        <v>52</v>
      </c>
      <c r="B71" s="458">
        <v>2010</v>
      </c>
      <c r="C71" s="497">
        <v>9.0478138387496116</v>
      </c>
      <c r="D71" s="749">
        <v>1.3846450450935239</v>
      </c>
      <c r="E71" s="502">
        <v>5.1759000000000004</v>
      </c>
      <c r="F71" s="749">
        <v>2.3051098028771184</v>
      </c>
      <c r="G71" s="499">
        <v>3.1326589734526653</v>
      </c>
      <c r="H71" s="499">
        <v>-0.18120989248664809</v>
      </c>
      <c r="I71" s="665"/>
      <c r="J71" s="497">
        <f t="shared" si="1"/>
        <v>33.151189905178576</v>
      </c>
      <c r="K71" s="497">
        <f t="shared" si="2"/>
        <v>5.0733394452226719</v>
      </c>
      <c r="L71" s="497">
        <f t="shared" si="3"/>
        <v>38.224529350401248</v>
      </c>
      <c r="N71" s="778">
        <v>38.224529350401248</v>
      </c>
      <c r="O71" s="778">
        <v>39.188828105256881</v>
      </c>
      <c r="P71" s="778">
        <v>40.171970290267417</v>
      </c>
      <c r="Q71" s="778">
        <v>40.523658056136497</v>
      </c>
      <c r="R71" s="778">
        <v>41.303966235512704</v>
      </c>
      <c r="S71" s="778">
        <v>41.480360497070492</v>
      </c>
      <c r="T71" s="778">
        <v>41.012741198578425</v>
      </c>
      <c r="U71" s="778">
        <v>41.193001288292642</v>
      </c>
      <c r="V71" s="778">
        <v>42.101177440626522</v>
      </c>
    </row>
    <row r="72" spans="1:22" ht="17.100000000000001" customHeight="1" x14ac:dyDescent="0.25">
      <c r="A72" s="458">
        <f t="shared" si="0"/>
        <v>53</v>
      </c>
      <c r="B72" s="458">
        <v>2011</v>
      </c>
      <c r="C72" s="499">
        <v>9.3535861492142534</v>
      </c>
      <c r="D72" s="749">
        <v>1.3420547092073853</v>
      </c>
      <c r="E72" s="502">
        <v>3.6209999999999996</v>
      </c>
      <c r="F72" s="749">
        <v>2.4274063426709778</v>
      </c>
      <c r="G72" s="499">
        <v>4.1303289487763202</v>
      </c>
      <c r="H72" s="499">
        <v>0.51690556697434076</v>
      </c>
      <c r="I72" s="665"/>
      <c r="J72" s="497">
        <f t="shared" si="1"/>
        <v>34.271539650721024</v>
      </c>
      <c r="K72" s="497">
        <f t="shared" si="2"/>
        <v>4.9172884545358597</v>
      </c>
      <c r="L72" s="497">
        <f t="shared" si="3"/>
        <v>39.188828105256881</v>
      </c>
      <c r="N72" s="778">
        <v>33.151189905178576</v>
      </c>
      <c r="O72" s="778">
        <v>34.271539650721024</v>
      </c>
      <c r="P72" s="778">
        <v>34.793089678612155</v>
      </c>
      <c r="Q72" s="778">
        <v>34.959427243053447</v>
      </c>
      <c r="R72" s="778">
        <v>35.224837824575857</v>
      </c>
      <c r="S72" s="778">
        <v>35.238640938186251</v>
      </c>
      <c r="T72" s="778">
        <v>35.37968381674191</v>
      </c>
      <c r="U72" s="778">
        <v>35.810497610445189</v>
      </c>
      <c r="V72" s="778">
        <v>36.572754220178361</v>
      </c>
    </row>
    <row r="73" spans="1:22" ht="17.100000000000001" customHeight="1" x14ac:dyDescent="0.25">
      <c r="A73" s="458">
        <f t="shared" si="0"/>
        <v>54</v>
      </c>
      <c r="B73" s="458">
        <v>2012</v>
      </c>
      <c r="C73" s="499">
        <v>9.4959305891408725</v>
      </c>
      <c r="D73" s="749">
        <v>1.4680351014342956</v>
      </c>
      <c r="E73" s="502">
        <v>5.0907</v>
      </c>
      <c r="F73" s="749">
        <v>2.4789846914245803</v>
      </c>
      <c r="G73" s="499">
        <v>2.5455872001153823</v>
      </c>
      <c r="H73" s="499">
        <v>0.84869379903520592</v>
      </c>
      <c r="I73" s="665"/>
      <c r="J73" s="497">
        <f t="shared" si="1"/>
        <v>34.793089678612155</v>
      </c>
      <c r="K73" s="497">
        <f t="shared" si="2"/>
        <v>5.3788806116552594</v>
      </c>
      <c r="L73" s="497">
        <f t="shared" si="3"/>
        <v>40.171970290267417</v>
      </c>
    </row>
    <row r="74" spans="1:22" ht="17.100000000000001" customHeight="1" x14ac:dyDescent="0.25">
      <c r="A74" s="458">
        <f t="shared" si="0"/>
        <v>55</v>
      </c>
      <c r="B74" s="458">
        <v>2013</v>
      </c>
      <c r="C74" s="498">
        <v>9.5413283960298703</v>
      </c>
      <c r="D74" s="749">
        <v>1.5186219468021425</v>
      </c>
      <c r="E74" s="502">
        <v>5.1333000000000002</v>
      </c>
      <c r="F74" s="749">
        <v>2.5030312322156538</v>
      </c>
      <c r="G74" s="499">
        <v>3.2806814022852104</v>
      </c>
      <c r="H74" s="499">
        <v>0.14293770833114783</v>
      </c>
      <c r="I74" s="665"/>
      <c r="J74" s="497">
        <f t="shared" si="1"/>
        <v>34.959427243053447</v>
      </c>
      <c r="K74" s="497">
        <f t="shared" si="2"/>
        <v>5.56423081308305</v>
      </c>
      <c r="L74" s="497">
        <f t="shared" si="3"/>
        <v>40.523658056136497</v>
      </c>
    </row>
    <row r="75" spans="1:22" ht="17.100000000000001" customHeight="1" x14ac:dyDescent="0.25">
      <c r="A75" s="458">
        <f t="shared" si="0"/>
        <v>56</v>
      </c>
      <c r="B75" s="458">
        <v>2014</v>
      </c>
      <c r="C75" s="500">
        <v>9.6137657818165536</v>
      </c>
      <c r="D75" s="749">
        <v>1.6591507671770875</v>
      </c>
      <c r="E75" s="502">
        <v>4.3238999999999992</v>
      </c>
      <c r="F75" s="749">
        <v>2.5786925369700975</v>
      </c>
      <c r="G75" s="499">
        <v>3.7154105259627661</v>
      </c>
      <c r="H75" s="499">
        <v>0.65491348606077882</v>
      </c>
      <c r="I75" s="665"/>
      <c r="J75" s="497">
        <f t="shared" si="1"/>
        <v>35.224837824575857</v>
      </c>
      <c r="K75" s="497">
        <f t="shared" si="2"/>
        <v>6.0791284109368489</v>
      </c>
      <c r="L75" s="497">
        <f t="shared" si="3"/>
        <v>41.303966235512704</v>
      </c>
    </row>
    <row r="76" spans="1:22" ht="17.100000000000001" customHeight="1" x14ac:dyDescent="0.25">
      <c r="A76" s="458">
        <f t="shared" si="0"/>
        <v>57</v>
      </c>
      <c r="B76" s="458">
        <v>2015</v>
      </c>
      <c r="C76" s="500">
        <v>9.6175330071469016</v>
      </c>
      <c r="D76" s="749">
        <v>1.7035260804815064</v>
      </c>
      <c r="E76" s="502">
        <v>6.3261000000000003</v>
      </c>
      <c r="F76" s="749">
        <v>2.6402461457763735</v>
      </c>
      <c r="G76" s="499">
        <v>2.1955269493264575</v>
      </c>
      <c r="H76" s="499">
        <v>0.1591859925255763</v>
      </c>
      <c r="I76" s="665"/>
      <c r="J76" s="497">
        <f t="shared" si="1"/>
        <v>35.238640938186251</v>
      </c>
      <c r="K76" s="497">
        <f t="shared" si="2"/>
        <v>6.24171955888424</v>
      </c>
      <c r="L76" s="497">
        <f t="shared" si="3"/>
        <v>41.480360497070492</v>
      </c>
    </row>
    <row r="77" spans="1:22" ht="17.100000000000001" customHeight="1" x14ac:dyDescent="0.25">
      <c r="A77" s="458">
        <f t="shared" si="0"/>
        <v>58</v>
      </c>
      <c r="B77" s="458">
        <v>2016</v>
      </c>
      <c r="C77" s="500">
        <v>9.6560272425605636</v>
      </c>
      <c r="D77" s="666">
        <v>1.5374064906759051</v>
      </c>
      <c r="E77" s="502">
        <v>6.0705</v>
      </c>
      <c r="F77" s="749">
        <v>2.6709636017982969</v>
      </c>
      <c r="G77" s="499">
        <v>2.7188237683803056</v>
      </c>
      <c r="H77" s="499">
        <v>-0.26685363694213482</v>
      </c>
      <c r="I77" s="665"/>
      <c r="J77" s="497">
        <f t="shared" si="1"/>
        <v>35.37968381674191</v>
      </c>
      <c r="K77" s="497">
        <f t="shared" si="2"/>
        <v>5.6330573818365162</v>
      </c>
      <c r="L77" s="497">
        <f t="shared" si="3"/>
        <v>41.012741198578425</v>
      </c>
    </row>
    <row r="78" spans="1:22" s="667" customFormat="1" ht="17.100000000000001" customHeight="1" x14ac:dyDescent="0.25">
      <c r="A78" s="458">
        <f t="shared" si="0"/>
        <v>59</v>
      </c>
      <c r="B78" s="750">
        <v>2017</v>
      </c>
      <c r="C78" s="751">
        <v>9.7736074264315462</v>
      </c>
      <c r="D78" s="666">
        <v>1.4690239295435181</v>
      </c>
      <c r="E78" s="502">
        <v>4.5794999999999995</v>
      </c>
      <c r="F78" s="749">
        <v>2.5415545836363802</v>
      </c>
      <c r="G78" s="499">
        <v>3.582831985052934</v>
      </c>
      <c r="H78" s="499">
        <v>0.5387447872857507</v>
      </c>
      <c r="I78" s="665"/>
      <c r="J78" s="497">
        <f t="shared" si="1"/>
        <v>35.810497610445189</v>
      </c>
      <c r="K78" s="497">
        <f t="shared" si="2"/>
        <v>5.3825036778474509</v>
      </c>
      <c r="L78" s="497">
        <f t="shared" si="3"/>
        <v>41.193001288292642</v>
      </c>
      <c r="N78" s="458"/>
      <c r="P78" s="458"/>
      <c r="Q78" s="458"/>
      <c r="R78" s="458"/>
      <c r="S78" s="458"/>
      <c r="T78" s="458"/>
      <c r="U78" s="458"/>
      <c r="V78" s="458"/>
    </row>
    <row r="79" spans="1:22" s="668" customFormat="1" ht="17.100000000000001" customHeight="1" x14ac:dyDescent="0.25">
      <c r="A79" s="458">
        <f t="shared" si="0"/>
        <v>60</v>
      </c>
      <c r="B79" s="752">
        <v>2018</v>
      </c>
      <c r="C79" s="753">
        <v>9.9816468941534815</v>
      </c>
      <c r="D79" s="666">
        <v>1.5088491322183839</v>
      </c>
      <c r="E79" s="502">
        <v>5.14</v>
      </c>
      <c r="F79" s="749">
        <v>2.6282498443698254</v>
      </c>
      <c r="G79" s="499">
        <v>3.4688283630895373</v>
      </c>
      <c r="H79" s="754">
        <v>0.25341781891250248</v>
      </c>
      <c r="I79" s="665"/>
      <c r="J79" s="497">
        <f t="shared" si="1"/>
        <v>36.572754220178361</v>
      </c>
      <c r="K79" s="497">
        <f t="shared" si="2"/>
        <v>5.5284232204481585</v>
      </c>
      <c r="L79" s="497">
        <f t="shared" si="3"/>
        <v>42.101177440626522</v>
      </c>
      <c r="M79" s="669"/>
      <c r="N79" s="458"/>
      <c r="P79" s="458"/>
      <c r="Q79" s="458"/>
      <c r="R79" s="458"/>
      <c r="S79" s="458"/>
      <c r="T79" s="458"/>
      <c r="U79" s="458"/>
      <c r="V79" s="458"/>
    </row>
    <row r="80" spans="1:22" s="501" customFormat="1" ht="17.100000000000001" customHeight="1" x14ac:dyDescent="0.25">
      <c r="C80" s="502"/>
      <c r="I80" s="669"/>
      <c r="J80" s="501">
        <v>3.6640000000000001</v>
      </c>
      <c r="K80" s="502" t="s">
        <v>327</v>
      </c>
    </row>
    <row r="81" spans="1:53" s="501" customFormat="1" ht="17.100000000000001" customHeight="1" x14ac:dyDescent="0.25">
      <c r="C81" s="502"/>
      <c r="D81" s="502"/>
      <c r="E81" s="502"/>
      <c r="F81" s="502"/>
      <c r="G81" s="502"/>
      <c r="H81" s="502"/>
      <c r="I81" s="669"/>
      <c r="J81" s="669"/>
      <c r="M81" s="669"/>
    </row>
    <row r="82" spans="1:53" s="501" customFormat="1" ht="17.100000000000001" customHeight="1" x14ac:dyDescent="0.25">
      <c r="C82" s="491"/>
      <c r="D82" s="462"/>
      <c r="E82" s="462"/>
      <c r="F82" s="462"/>
      <c r="G82" s="743"/>
      <c r="H82" s="743"/>
      <c r="I82" s="669"/>
      <c r="J82" s="669"/>
      <c r="K82" s="755"/>
      <c r="M82" s="755"/>
    </row>
    <row r="83" spans="1:53" s="668" customFormat="1" ht="17.100000000000001" customHeight="1" x14ac:dyDescent="0.25">
      <c r="A83" s="772" t="s">
        <v>370</v>
      </c>
      <c r="B83" s="757"/>
      <c r="C83" s="757"/>
      <c r="D83" s="757"/>
      <c r="E83" s="757"/>
      <c r="F83" s="757"/>
      <c r="G83" s="757"/>
      <c r="H83" s="757"/>
      <c r="I83" s="757"/>
      <c r="J83" s="757"/>
      <c r="K83" s="757"/>
      <c r="L83" s="757"/>
      <c r="M83" s="757"/>
      <c r="N83" s="757"/>
      <c r="O83" s="757"/>
      <c r="P83" s="757"/>
      <c r="Q83" s="757"/>
      <c r="R83" s="757"/>
      <c r="S83" s="757"/>
      <c r="T83" s="757"/>
      <c r="U83" s="757"/>
      <c r="V83" s="757"/>
      <c r="W83" s="757"/>
      <c r="X83" s="757"/>
      <c r="Y83" s="757"/>
      <c r="Z83" s="757"/>
      <c r="AA83" s="757"/>
      <c r="AB83" s="757"/>
      <c r="AC83" s="757"/>
      <c r="AD83" s="757"/>
      <c r="AE83" s="757"/>
      <c r="AF83" s="757"/>
      <c r="AG83" s="757"/>
      <c r="AH83" s="757"/>
      <c r="AI83" s="757"/>
      <c r="AJ83" s="757"/>
      <c r="AK83" s="757"/>
      <c r="AL83" s="757"/>
      <c r="AM83" s="757"/>
      <c r="AN83" s="757"/>
      <c r="AO83" s="757"/>
      <c r="AP83" s="757"/>
      <c r="AQ83" s="757"/>
      <c r="AR83" s="757"/>
      <c r="AS83" s="757"/>
      <c r="AT83" s="757"/>
      <c r="AU83" s="757"/>
      <c r="AV83" s="757"/>
      <c r="AW83" s="757"/>
      <c r="AX83" s="757"/>
      <c r="AY83" s="757"/>
      <c r="AZ83" s="757"/>
      <c r="BA83" s="757"/>
    </row>
    <row r="84" spans="1:53" s="668" customFormat="1" ht="17.100000000000001" customHeight="1" x14ac:dyDescent="0.25">
      <c r="A84" s="773" t="s">
        <v>371</v>
      </c>
      <c r="B84" s="757"/>
      <c r="C84" s="757"/>
      <c r="D84" s="757"/>
      <c r="E84" s="757"/>
      <c r="F84" s="757"/>
      <c r="G84" s="757"/>
      <c r="H84" s="757"/>
      <c r="I84" s="757"/>
      <c r="J84" s="757"/>
      <c r="K84" s="757"/>
      <c r="L84" s="757"/>
      <c r="M84" s="757"/>
      <c r="N84" s="757"/>
      <c r="O84" s="757"/>
      <c r="P84" s="757"/>
      <c r="Q84" s="757"/>
      <c r="R84" s="757"/>
      <c r="S84" s="757"/>
      <c r="T84" s="757"/>
      <c r="U84" s="757"/>
      <c r="V84" s="757"/>
      <c r="W84" s="757"/>
      <c r="X84" s="757"/>
      <c r="Y84" s="757"/>
      <c r="Z84" s="757"/>
      <c r="AA84" s="757"/>
      <c r="AB84" s="757"/>
      <c r="AC84" s="757"/>
      <c r="AD84" s="757"/>
      <c r="AE84" s="757"/>
      <c r="AF84" s="757"/>
      <c r="AG84" s="757"/>
      <c r="AH84" s="757"/>
      <c r="AI84" s="757"/>
      <c r="AJ84" s="757"/>
      <c r="AK84" s="757"/>
      <c r="AL84" s="757"/>
      <c r="AM84" s="757"/>
      <c r="AN84" s="757"/>
      <c r="AO84" s="757"/>
      <c r="AP84" s="757"/>
      <c r="AQ84" s="757"/>
      <c r="AR84" s="757"/>
      <c r="AS84" s="757"/>
      <c r="AT84" s="757"/>
      <c r="AU84" s="757"/>
      <c r="AV84" s="757"/>
      <c r="AW84" s="757"/>
      <c r="AX84" s="757"/>
      <c r="AY84" s="757"/>
      <c r="AZ84" s="757"/>
      <c r="BA84" s="757"/>
    </row>
    <row r="85" spans="1:53" s="668" customFormat="1" ht="17.100000000000001" customHeight="1" x14ac:dyDescent="0.25">
      <c r="A85" s="757"/>
      <c r="B85" s="757"/>
      <c r="C85" s="757"/>
      <c r="D85" s="757"/>
      <c r="E85" s="757"/>
      <c r="F85" s="757"/>
      <c r="G85" s="757"/>
      <c r="H85" s="757"/>
      <c r="I85" s="757"/>
      <c r="J85" s="757"/>
      <c r="K85" s="757"/>
      <c r="L85" s="757"/>
      <c r="M85" s="757"/>
      <c r="N85" s="757"/>
      <c r="O85" s="757"/>
      <c r="P85" s="757"/>
      <c r="Q85" s="757"/>
      <c r="R85" s="757"/>
      <c r="S85" s="757"/>
      <c r="T85" s="757"/>
      <c r="U85" s="757"/>
      <c r="V85" s="757"/>
      <c r="W85" s="757"/>
      <c r="X85" s="757"/>
      <c r="Y85" s="757"/>
      <c r="Z85" s="757"/>
      <c r="AA85" s="757"/>
      <c r="AB85" s="757"/>
      <c r="AC85" s="757"/>
      <c r="AD85" s="757"/>
      <c r="AE85" s="757"/>
      <c r="AF85" s="757"/>
      <c r="AG85" s="757"/>
      <c r="AH85" s="757"/>
      <c r="AI85" s="757"/>
      <c r="AJ85" s="757"/>
      <c r="AK85" s="757"/>
      <c r="AL85" s="757"/>
      <c r="AM85" s="757"/>
      <c r="AN85" s="757"/>
      <c r="AO85" s="757"/>
      <c r="AP85" s="757"/>
      <c r="AQ85" s="757"/>
      <c r="AR85" s="757"/>
      <c r="AS85" s="757"/>
      <c r="AT85" s="757"/>
      <c r="AU85" s="757"/>
      <c r="AV85" s="757"/>
      <c r="AW85" s="757"/>
      <c r="AX85" s="757"/>
      <c r="AY85" s="757"/>
      <c r="AZ85" s="757"/>
      <c r="BA85" s="757"/>
    </row>
    <row r="86" spans="1:53" s="668" customFormat="1" ht="17.100000000000001" customHeight="1" x14ac:dyDescent="0.25">
      <c r="A86" s="774" t="s">
        <v>372</v>
      </c>
      <c r="B86" s="757"/>
      <c r="C86" s="757"/>
      <c r="D86" s="757"/>
      <c r="E86" s="757"/>
      <c r="F86" s="757"/>
      <c r="G86" s="757"/>
      <c r="H86" s="757"/>
      <c r="I86" s="757"/>
      <c r="J86" s="757"/>
      <c r="K86" s="757"/>
      <c r="L86" s="757"/>
      <c r="M86" s="757"/>
      <c r="N86" s="757"/>
      <c r="O86" s="757"/>
      <c r="P86" s="757"/>
      <c r="Q86" s="757"/>
      <c r="R86" s="757"/>
      <c r="S86" s="757"/>
      <c r="T86" s="757"/>
      <c r="U86" s="757"/>
      <c r="V86" s="757"/>
      <c r="W86" s="757"/>
      <c r="X86" s="757"/>
      <c r="Y86" s="757"/>
      <c r="Z86" s="757"/>
      <c r="AA86" s="757"/>
      <c r="AB86" s="757"/>
      <c r="AC86" s="757"/>
      <c r="AD86" s="757"/>
      <c r="AE86" s="757"/>
      <c r="AF86" s="757"/>
      <c r="AG86" s="757"/>
      <c r="AH86" s="757"/>
      <c r="AI86" s="757"/>
      <c r="AJ86" s="757"/>
      <c r="AK86" s="757"/>
      <c r="AL86" s="757"/>
      <c r="AM86" s="757"/>
      <c r="AN86" s="757"/>
      <c r="AO86" s="757"/>
      <c r="AP86" s="757"/>
      <c r="AQ86" s="757"/>
      <c r="AR86" s="757"/>
      <c r="AS86" s="757"/>
      <c r="AT86" s="757"/>
      <c r="AU86" s="757"/>
      <c r="AV86" s="757"/>
      <c r="AW86" s="757"/>
      <c r="AX86" s="757"/>
      <c r="AY86" s="757"/>
      <c r="AZ86" s="757"/>
      <c r="BA86" s="757"/>
    </row>
    <row r="87" spans="1:53" s="668" customFormat="1" ht="17.100000000000001" customHeight="1" x14ac:dyDescent="0.25">
      <c r="A87" s="758"/>
      <c r="B87" s="757"/>
      <c r="C87" s="757"/>
      <c r="D87" s="757"/>
      <c r="E87" s="757"/>
      <c r="F87" s="757"/>
      <c r="G87" s="757"/>
      <c r="H87" s="757"/>
      <c r="I87" s="757"/>
      <c r="J87" s="757"/>
      <c r="K87" s="757"/>
      <c r="L87" s="757"/>
      <c r="M87" s="757"/>
      <c r="N87" s="757"/>
      <c r="O87" s="757"/>
      <c r="P87" s="757"/>
      <c r="Q87" s="757"/>
      <c r="R87" s="757"/>
      <c r="S87" s="757"/>
      <c r="T87" s="757"/>
      <c r="U87" s="757"/>
      <c r="V87" s="757"/>
      <c r="W87" s="757"/>
      <c r="X87" s="757"/>
      <c r="Y87" s="757"/>
      <c r="Z87" s="757"/>
      <c r="AA87" s="757"/>
      <c r="AB87" s="757"/>
      <c r="AC87" s="757"/>
      <c r="AD87" s="757"/>
      <c r="AE87" s="757"/>
      <c r="AF87" s="757"/>
      <c r="AG87" s="757"/>
      <c r="AH87" s="757"/>
      <c r="AI87" s="757"/>
      <c r="AJ87" s="757"/>
      <c r="AK87" s="757"/>
      <c r="AL87" s="757"/>
      <c r="AM87" s="757"/>
      <c r="AN87" s="757"/>
      <c r="AO87" s="757"/>
      <c r="AP87" s="757"/>
      <c r="AQ87" s="757"/>
      <c r="AR87" s="757"/>
      <c r="AS87" s="757"/>
      <c r="AT87" s="757"/>
      <c r="AU87" s="757"/>
      <c r="AV87" s="757"/>
      <c r="AW87" s="757"/>
      <c r="AX87" s="757"/>
      <c r="AY87" s="757"/>
      <c r="AZ87" s="757"/>
      <c r="BA87" s="757"/>
    </row>
    <row r="88" spans="1:53" s="668" customFormat="1" ht="17.100000000000001" customHeight="1" x14ac:dyDescent="0.25">
      <c r="A88" s="759" t="s">
        <v>139</v>
      </c>
      <c r="B88" s="760"/>
      <c r="C88" s="760"/>
      <c r="D88" s="760"/>
      <c r="E88" s="760"/>
      <c r="F88" s="760"/>
      <c r="G88" s="760"/>
      <c r="H88" s="760"/>
      <c r="I88" s="760"/>
      <c r="J88" s="760"/>
      <c r="K88" s="760"/>
      <c r="L88" s="760"/>
      <c r="M88" s="760"/>
      <c r="N88" s="760"/>
      <c r="O88" s="760"/>
      <c r="P88" s="760"/>
      <c r="Q88" s="760"/>
      <c r="R88" s="760"/>
      <c r="S88" s="760"/>
      <c r="T88" s="760"/>
      <c r="U88" s="760"/>
      <c r="V88" s="760"/>
      <c r="W88" s="760"/>
      <c r="X88" s="760"/>
      <c r="Y88" s="760"/>
      <c r="Z88" s="760"/>
      <c r="AA88" s="760"/>
      <c r="AB88" s="760"/>
      <c r="AC88" s="760"/>
      <c r="AD88" s="760"/>
      <c r="AE88" s="760"/>
      <c r="AF88" s="760"/>
      <c r="AG88" s="760"/>
      <c r="AH88" s="760"/>
      <c r="AI88" s="760"/>
      <c r="AJ88" s="760"/>
      <c r="AK88" s="760"/>
      <c r="AL88" s="760"/>
      <c r="AM88" s="760"/>
      <c r="AN88" s="760"/>
      <c r="AO88" s="760"/>
      <c r="AP88" s="760"/>
      <c r="AQ88" s="760"/>
      <c r="AR88" s="760"/>
      <c r="AS88" s="760"/>
      <c r="AT88" s="760"/>
      <c r="AU88" s="760"/>
      <c r="AV88" s="760"/>
      <c r="AW88" s="760"/>
      <c r="AX88" s="760"/>
      <c r="AY88" s="760"/>
      <c r="AZ88" s="760"/>
      <c r="BA88" s="760"/>
    </row>
    <row r="89" spans="1:53" s="668" customFormat="1" ht="17.100000000000001" customHeight="1" x14ac:dyDescent="0.25">
      <c r="A89" s="761" t="s">
        <v>366</v>
      </c>
      <c r="B89" s="760"/>
      <c r="C89" s="760"/>
      <c r="D89" s="760"/>
      <c r="E89" s="760"/>
      <c r="F89" s="760"/>
      <c r="G89" s="760"/>
      <c r="H89" s="760"/>
      <c r="I89" s="760"/>
      <c r="J89" s="760"/>
      <c r="K89" s="760"/>
      <c r="L89" s="760"/>
      <c r="M89" s="760"/>
      <c r="N89" s="760"/>
      <c r="O89" s="760"/>
      <c r="P89" s="760"/>
      <c r="Q89" s="760"/>
      <c r="R89" s="760"/>
      <c r="S89" s="760"/>
      <c r="T89" s="760"/>
      <c r="U89" s="760"/>
      <c r="V89" s="760"/>
      <c r="W89" s="760"/>
      <c r="X89" s="760"/>
      <c r="Y89" s="760"/>
      <c r="Z89" s="760"/>
      <c r="AA89" s="760"/>
      <c r="AB89" s="760"/>
      <c r="AC89" s="760"/>
      <c r="AD89" s="760"/>
      <c r="AE89" s="760"/>
      <c r="AF89" s="760"/>
      <c r="AG89" s="760"/>
      <c r="AH89" s="760"/>
      <c r="AI89" s="760"/>
      <c r="AJ89" s="760"/>
      <c r="AK89" s="760"/>
      <c r="AL89" s="760"/>
      <c r="AM89" s="760"/>
      <c r="AN89" s="760"/>
      <c r="AO89" s="760"/>
      <c r="AP89" s="760"/>
      <c r="AQ89" s="760"/>
      <c r="AR89" s="760"/>
      <c r="AS89" s="760"/>
      <c r="AT89" s="760"/>
      <c r="AU89" s="760"/>
      <c r="AV89" s="760"/>
      <c r="AW89" s="760"/>
      <c r="AX89" s="760"/>
      <c r="AY89" s="760"/>
      <c r="AZ89" s="760"/>
      <c r="BA89" s="760"/>
    </row>
    <row r="90" spans="1:53" s="668" customFormat="1" ht="17.100000000000001" customHeight="1" x14ac:dyDescent="0.25">
      <c r="A90" s="761" t="s">
        <v>367</v>
      </c>
      <c r="B90" s="760"/>
      <c r="C90" s="760"/>
      <c r="D90" s="760"/>
      <c r="E90" s="760"/>
      <c r="F90" s="760"/>
      <c r="G90" s="760"/>
      <c r="H90" s="760"/>
      <c r="I90" s="760"/>
      <c r="J90" s="760"/>
      <c r="K90" s="760"/>
      <c r="L90" s="760"/>
      <c r="M90" s="760"/>
      <c r="N90" s="760"/>
      <c r="O90" s="760"/>
      <c r="P90" s="760"/>
      <c r="Q90" s="760"/>
      <c r="R90" s="760"/>
      <c r="S90" s="760"/>
      <c r="T90" s="760"/>
      <c r="U90" s="760"/>
      <c r="V90" s="760"/>
      <c r="W90" s="760"/>
      <c r="X90" s="760"/>
      <c r="Y90" s="760"/>
      <c r="Z90" s="760"/>
      <c r="AA90" s="760"/>
      <c r="AB90" s="760"/>
      <c r="AC90" s="760"/>
      <c r="AD90" s="760"/>
      <c r="AE90" s="760"/>
      <c r="AF90" s="760"/>
      <c r="AG90" s="760"/>
      <c r="AH90" s="760"/>
      <c r="AI90" s="760"/>
      <c r="AJ90" s="760"/>
      <c r="AK90" s="760"/>
      <c r="AL90" s="760"/>
      <c r="AM90" s="760"/>
      <c r="AN90" s="760"/>
      <c r="AO90" s="760"/>
      <c r="AP90" s="760"/>
      <c r="AQ90" s="760"/>
      <c r="AR90" s="760"/>
      <c r="AS90" s="760"/>
      <c r="AT90" s="760"/>
      <c r="AU90" s="760"/>
      <c r="AV90" s="760"/>
      <c r="AW90" s="760"/>
      <c r="AX90" s="760"/>
      <c r="AY90" s="760"/>
      <c r="AZ90" s="760"/>
      <c r="BA90" s="760"/>
    </row>
    <row r="91" spans="1:53" s="668" customFormat="1" ht="17.100000000000001" customHeight="1" x14ac:dyDescent="0.25">
      <c r="A91" s="762"/>
      <c r="B91" s="757"/>
      <c r="C91" s="757"/>
      <c r="D91" s="757"/>
      <c r="E91" s="757"/>
      <c r="F91" s="757"/>
      <c r="G91" s="757"/>
      <c r="H91" s="757"/>
      <c r="I91" s="757"/>
      <c r="J91" s="757"/>
      <c r="K91" s="757"/>
      <c r="L91" s="757"/>
      <c r="M91" s="757"/>
      <c r="N91" s="757"/>
      <c r="O91" s="757"/>
      <c r="P91" s="757"/>
      <c r="Q91" s="757"/>
      <c r="R91" s="757"/>
      <c r="S91" s="757"/>
      <c r="T91" s="757"/>
      <c r="U91" s="757"/>
      <c r="V91" s="757"/>
      <c r="W91" s="757"/>
      <c r="X91" s="757"/>
      <c r="Y91" s="757"/>
      <c r="Z91" s="757"/>
      <c r="AA91" s="757"/>
      <c r="AB91" s="757"/>
      <c r="AC91" s="757"/>
      <c r="AD91" s="757"/>
      <c r="AE91" s="757"/>
      <c r="AF91" s="757"/>
      <c r="AG91" s="757"/>
      <c r="AH91" s="757"/>
      <c r="AI91" s="757"/>
      <c r="AJ91" s="757"/>
      <c r="AK91" s="757"/>
      <c r="AL91" s="757"/>
      <c r="AM91" s="757"/>
      <c r="AN91" s="757"/>
      <c r="AO91" s="757"/>
      <c r="AP91" s="757"/>
      <c r="AQ91" s="757"/>
      <c r="AR91" s="757"/>
      <c r="AS91" s="757"/>
      <c r="AT91" s="757"/>
      <c r="AU91" s="757"/>
      <c r="AV91" s="757"/>
      <c r="AW91" s="757"/>
      <c r="AX91" s="757"/>
      <c r="AY91" s="757"/>
      <c r="AZ91" s="757"/>
      <c r="BA91" s="757"/>
    </row>
    <row r="92" spans="1:53" s="668" customFormat="1" ht="17.100000000000001" customHeight="1" x14ac:dyDescent="0.25">
      <c r="A92" s="763" t="s">
        <v>140</v>
      </c>
      <c r="B92" s="757"/>
      <c r="C92" s="757"/>
      <c r="D92" s="757"/>
      <c r="E92" s="757"/>
      <c r="F92" s="757"/>
      <c r="G92" s="757"/>
      <c r="H92" s="757"/>
      <c r="I92" s="757"/>
      <c r="J92" s="757"/>
      <c r="K92" s="757"/>
      <c r="L92" s="757"/>
      <c r="M92" s="757"/>
      <c r="N92" s="757"/>
      <c r="O92" s="757"/>
      <c r="P92" s="757"/>
      <c r="Q92" s="757"/>
      <c r="R92" s="757"/>
      <c r="S92" s="757"/>
      <c r="T92" s="757"/>
      <c r="U92" s="757"/>
      <c r="V92" s="757"/>
      <c r="W92" s="757"/>
      <c r="X92" s="757"/>
      <c r="Y92" s="757"/>
      <c r="Z92" s="757"/>
      <c r="AA92" s="757"/>
      <c r="AB92" s="757"/>
      <c r="AC92" s="757"/>
      <c r="AD92" s="757"/>
      <c r="AE92" s="757"/>
      <c r="AF92" s="757"/>
      <c r="AG92" s="757"/>
      <c r="AH92" s="757"/>
      <c r="AI92" s="757"/>
      <c r="AJ92" s="757"/>
      <c r="AK92" s="757"/>
      <c r="AL92" s="757"/>
      <c r="AM92" s="757"/>
      <c r="AN92" s="757"/>
      <c r="AO92" s="757"/>
      <c r="AP92" s="757"/>
      <c r="AQ92" s="757"/>
      <c r="AR92" s="757"/>
      <c r="AS92" s="757"/>
      <c r="AT92" s="757"/>
      <c r="AU92" s="757"/>
      <c r="AV92" s="757"/>
      <c r="AW92" s="757"/>
      <c r="AX92" s="757"/>
      <c r="AY92" s="757"/>
      <c r="AZ92" s="757"/>
      <c r="BA92" s="757"/>
    </row>
    <row r="93" spans="1:53" s="668" customFormat="1" ht="17.100000000000001" customHeight="1" x14ac:dyDescent="0.25">
      <c r="A93" s="764" t="s">
        <v>373</v>
      </c>
      <c r="B93" s="757"/>
      <c r="C93" s="757"/>
      <c r="D93" s="757"/>
      <c r="E93" s="757"/>
      <c r="F93" s="757"/>
      <c r="G93" s="757"/>
      <c r="H93" s="757"/>
      <c r="I93" s="757"/>
      <c r="J93" s="757"/>
      <c r="K93" s="757"/>
      <c r="L93" s="757"/>
      <c r="M93" s="757"/>
      <c r="N93" s="757"/>
      <c r="O93" s="757"/>
      <c r="P93" s="757"/>
      <c r="Q93" s="757"/>
      <c r="R93" s="757"/>
      <c r="S93" s="757"/>
      <c r="T93" s="757"/>
      <c r="U93" s="757"/>
      <c r="V93" s="757"/>
      <c r="W93" s="757"/>
      <c r="X93" s="757"/>
      <c r="Y93" s="757"/>
      <c r="Z93" s="757"/>
      <c r="AA93" s="757"/>
      <c r="AB93" s="757"/>
      <c r="AC93" s="757"/>
      <c r="AD93" s="757"/>
      <c r="AE93" s="757"/>
      <c r="AF93" s="757"/>
      <c r="AG93" s="757"/>
      <c r="AH93" s="757"/>
      <c r="AI93" s="757"/>
      <c r="AJ93" s="757"/>
      <c r="AK93" s="757"/>
      <c r="AL93" s="757"/>
      <c r="AM93" s="757"/>
      <c r="AN93" s="757"/>
      <c r="AO93" s="757"/>
      <c r="AP93" s="757"/>
      <c r="AQ93" s="757"/>
      <c r="AR93" s="757"/>
      <c r="AS93" s="757"/>
      <c r="AT93" s="757"/>
      <c r="AU93" s="757"/>
      <c r="AV93" s="757"/>
      <c r="AW93" s="757"/>
      <c r="AX93" s="757"/>
      <c r="AY93" s="757"/>
      <c r="AZ93" s="757"/>
      <c r="BA93" s="757"/>
    </row>
    <row r="94" spans="1:53" s="670" customFormat="1" ht="17.100000000000001" customHeight="1" x14ac:dyDescent="0.25">
      <c r="A94" s="765" t="s">
        <v>368</v>
      </c>
      <c r="B94" s="757"/>
      <c r="C94" s="757"/>
      <c r="D94" s="757"/>
      <c r="E94" s="757"/>
      <c r="F94" s="757"/>
      <c r="G94" s="757"/>
      <c r="H94" s="757"/>
      <c r="I94" s="757"/>
      <c r="J94" s="757"/>
      <c r="K94" s="757"/>
      <c r="L94" s="757"/>
      <c r="M94" s="757"/>
      <c r="N94" s="757"/>
      <c r="O94" s="757"/>
      <c r="P94" s="757"/>
      <c r="Q94" s="757"/>
      <c r="R94" s="757"/>
      <c r="S94" s="757"/>
      <c r="T94" s="757"/>
      <c r="U94" s="757"/>
      <c r="V94" s="757"/>
      <c r="W94" s="757"/>
      <c r="X94" s="757"/>
      <c r="Y94" s="757"/>
      <c r="Z94" s="757"/>
      <c r="AA94" s="757"/>
      <c r="AB94" s="757"/>
      <c r="AC94" s="757"/>
      <c r="AD94" s="757"/>
      <c r="AE94" s="757"/>
      <c r="AF94" s="757"/>
      <c r="AG94" s="757"/>
      <c r="AH94" s="757"/>
      <c r="AI94" s="757"/>
      <c r="AJ94" s="757"/>
      <c r="AK94" s="757"/>
      <c r="AL94" s="757"/>
      <c r="AM94" s="757"/>
      <c r="AN94" s="757"/>
      <c r="AO94" s="757"/>
      <c r="AP94" s="757"/>
      <c r="AQ94" s="757"/>
      <c r="AR94" s="757"/>
      <c r="AS94" s="757"/>
      <c r="AT94" s="757"/>
      <c r="AU94" s="757"/>
      <c r="AV94" s="757"/>
      <c r="AW94" s="757"/>
      <c r="AX94" s="757"/>
      <c r="AY94" s="757"/>
      <c r="AZ94" s="757"/>
      <c r="BA94" s="757"/>
    </row>
    <row r="95" spans="1:53" s="670" customFormat="1" ht="17.100000000000001" customHeight="1" x14ac:dyDescent="0.25">
      <c r="A95" s="766" t="s">
        <v>325</v>
      </c>
      <c r="B95" s="757"/>
      <c r="C95" s="757"/>
      <c r="D95" s="757"/>
      <c r="E95" s="757"/>
      <c r="F95" s="757"/>
      <c r="G95" s="757"/>
      <c r="H95" s="757"/>
      <c r="I95" s="757"/>
      <c r="J95" s="757"/>
      <c r="K95" s="757"/>
      <c r="L95" s="757"/>
      <c r="M95" s="757"/>
      <c r="N95" s="757"/>
      <c r="O95" s="757"/>
      <c r="P95" s="757"/>
      <c r="Q95" s="757"/>
      <c r="R95" s="757"/>
      <c r="S95" s="757"/>
      <c r="T95" s="757"/>
      <c r="U95" s="757"/>
      <c r="V95" s="757"/>
      <c r="W95" s="757"/>
      <c r="X95" s="757"/>
      <c r="Y95" s="757"/>
      <c r="Z95" s="757"/>
      <c r="AA95" s="757"/>
      <c r="AB95" s="757"/>
      <c r="AC95" s="757"/>
      <c r="AD95" s="757"/>
      <c r="AE95" s="757"/>
      <c r="AF95" s="757"/>
      <c r="AG95" s="757"/>
      <c r="AH95" s="757"/>
      <c r="AI95" s="757"/>
      <c r="AJ95" s="757"/>
      <c r="AK95" s="757"/>
      <c r="AL95" s="757"/>
      <c r="AM95" s="757"/>
      <c r="AN95" s="757"/>
      <c r="AO95" s="757"/>
      <c r="AP95" s="757"/>
      <c r="AQ95" s="757"/>
      <c r="AR95" s="757"/>
      <c r="AS95" s="757"/>
      <c r="AT95" s="757"/>
      <c r="AU95" s="757"/>
      <c r="AV95" s="757"/>
      <c r="AW95" s="757"/>
      <c r="AX95" s="757"/>
      <c r="AY95" s="757"/>
      <c r="AZ95" s="757"/>
      <c r="BA95" s="757"/>
    </row>
    <row r="96" spans="1:53" s="670" customFormat="1" ht="17.100000000000001" customHeight="1" x14ac:dyDescent="0.25">
      <c r="A96" s="766" t="s">
        <v>326</v>
      </c>
      <c r="B96" s="757"/>
      <c r="C96" s="757"/>
      <c r="D96" s="757"/>
      <c r="E96" s="757"/>
      <c r="F96" s="757"/>
      <c r="G96" s="757"/>
      <c r="H96" s="757"/>
      <c r="I96" s="757"/>
      <c r="J96" s="757"/>
      <c r="K96" s="757"/>
      <c r="L96" s="757"/>
      <c r="M96" s="757"/>
      <c r="N96" s="757"/>
      <c r="O96" s="757"/>
      <c r="P96" s="757"/>
      <c r="Q96" s="757"/>
      <c r="R96" s="757"/>
      <c r="S96" s="757"/>
      <c r="T96" s="757"/>
      <c r="U96" s="757"/>
      <c r="V96" s="757"/>
      <c r="W96" s="757"/>
      <c r="X96" s="757"/>
      <c r="Y96" s="757"/>
      <c r="Z96" s="757"/>
      <c r="AA96" s="757"/>
      <c r="AB96" s="757"/>
      <c r="AC96" s="757"/>
      <c r="AD96" s="757"/>
      <c r="AE96" s="757"/>
      <c r="AF96" s="757"/>
      <c r="AG96" s="757"/>
      <c r="AH96" s="757"/>
      <c r="AI96" s="757"/>
      <c r="AJ96" s="757"/>
      <c r="AK96" s="757"/>
      <c r="AL96" s="757"/>
      <c r="AM96" s="757"/>
      <c r="AN96" s="757"/>
      <c r="AO96" s="757"/>
      <c r="AP96" s="757"/>
      <c r="AQ96" s="757"/>
      <c r="AR96" s="757"/>
      <c r="AS96" s="757"/>
      <c r="AT96" s="757"/>
      <c r="AU96" s="757"/>
      <c r="AV96" s="757"/>
      <c r="AW96" s="757"/>
      <c r="AX96" s="757"/>
      <c r="AY96" s="757"/>
      <c r="AZ96" s="757"/>
      <c r="BA96" s="757"/>
    </row>
    <row r="97" spans="1:53" s="670" customFormat="1" ht="17.100000000000001" customHeight="1" x14ac:dyDescent="0.25">
      <c r="A97" s="767" t="s">
        <v>141</v>
      </c>
      <c r="B97" s="757"/>
      <c r="C97" s="757"/>
      <c r="D97" s="757"/>
      <c r="E97" s="757"/>
      <c r="F97" s="757"/>
      <c r="G97" s="757"/>
      <c r="H97" s="757"/>
      <c r="I97" s="757"/>
      <c r="J97" s="757"/>
      <c r="K97" s="757"/>
      <c r="L97" s="757"/>
      <c r="M97" s="757"/>
      <c r="N97" s="757"/>
      <c r="O97" s="757"/>
      <c r="P97" s="757"/>
      <c r="Q97" s="757"/>
      <c r="R97" s="757"/>
      <c r="S97" s="757"/>
      <c r="T97" s="757"/>
      <c r="U97" s="757"/>
      <c r="V97" s="757"/>
      <c r="W97" s="757"/>
      <c r="X97" s="757"/>
      <c r="Y97" s="757"/>
      <c r="Z97" s="757"/>
      <c r="AA97" s="757"/>
      <c r="AB97" s="757"/>
      <c r="AC97" s="757"/>
      <c r="AD97" s="757"/>
      <c r="AE97" s="757"/>
      <c r="AF97" s="757"/>
      <c r="AG97" s="757"/>
      <c r="AH97" s="757"/>
      <c r="AI97" s="757"/>
      <c r="AJ97" s="757"/>
      <c r="AK97" s="757"/>
      <c r="AL97" s="757"/>
      <c r="AM97" s="757"/>
      <c r="AN97" s="757"/>
      <c r="AO97" s="757"/>
      <c r="AP97" s="757"/>
      <c r="AQ97" s="757"/>
      <c r="AR97" s="757"/>
      <c r="AS97" s="757"/>
      <c r="AT97" s="757"/>
      <c r="AU97" s="757"/>
      <c r="AV97" s="757"/>
      <c r="AW97" s="757"/>
      <c r="AX97" s="757"/>
      <c r="AY97" s="757"/>
      <c r="AZ97" s="757"/>
      <c r="BA97" s="757"/>
    </row>
    <row r="98" spans="1:53" s="670" customFormat="1" ht="17.100000000000001" customHeight="1" x14ac:dyDescent="0.25">
      <c r="A98" s="757" t="s">
        <v>142</v>
      </c>
      <c r="B98" s="757"/>
      <c r="C98" s="757"/>
      <c r="D98" s="757"/>
      <c r="E98" s="757"/>
      <c r="F98" s="757"/>
      <c r="G98" s="757"/>
      <c r="H98" s="757"/>
      <c r="I98" s="757"/>
      <c r="J98" s="757"/>
      <c r="K98" s="757"/>
      <c r="L98" s="757"/>
      <c r="M98" s="757"/>
      <c r="N98" s="757"/>
      <c r="O98" s="757"/>
      <c r="P98" s="757"/>
      <c r="Q98" s="757"/>
      <c r="R98" s="757"/>
      <c r="S98" s="757"/>
      <c r="T98" s="757"/>
      <c r="U98" s="757"/>
      <c r="V98" s="757"/>
      <c r="W98" s="757"/>
      <c r="X98" s="757"/>
      <c r="Y98" s="757"/>
      <c r="Z98" s="757"/>
      <c r="AA98" s="757"/>
      <c r="AB98" s="757"/>
      <c r="AC98" s="757"/>
      <c r="AD98" s="757"/>
      <c r="AE98" s="757"/>
      <c r="AF98" s="757"/>
      <c r="AG98" s="757"/>
      <c r="AH98" s="757"/>
      <c r="AI98" s="757"/>
      <c r="AJ98" s="757"/>
      <c r="AK98" s="757"/>
      <c r="AL98" s="757"/>
      <c r="AM98" s="757"/>
      <c r="AN98" s="757"/>
      <c r="AO98" s="757"/>
      <c r="AP98" s="757"/>
      <c r="AQ98" s="757"/>
      <c r="AR98" s="757"/>
      <c r="AS98" s="757"/>
      <c r="AT98" s="757"/>
      <c r="AU98" s="757"/>
      <c r="AV98" s="757"/>
      <c r="AW98" s="757"/>
      <c r="AX98" s="757"/>
      <c r="AY98" s="757"/>
      <c r="AZ98" s="757"/>
      <c r="BA98" s="757"/>
    </row>
    <row r="99" spans="1:53" s="670" customFormat="1" ht="17.100000000000001" customHeight="1" x14ac:dyDescent="0.25">
      <c r="A99" s="757" t="s">
        <v>143</v>
      </c>
      <c r="B99" s="757"/>
      <c r="C99" s="757"/>
      <c r="D99" s="757"/>
      <c r="E99" s="757"/>
      <c r="F99" s="757"/>
      <c r="G99" s="757"/>
      <c r="H99" s="757"/>
      <c r="I99" s="757"/>
      <c r="J99" s="757"/>
      <c r="K99" s="757"/>
      <c r="L99" s="757"/>
      <c r="M99" s="757"/>
      <c r="N99" s="757"/>
      <c r="O99" s="757"/>
      <c r="P99" s="757"/>
      <c r="Q99" s="757"/>
      <c r="R99" s="757"/>
      <c r="S99" s="757"/>
      <c r="T99" s="757"/>
      <c r="U99" s="757"/>
      <c r="V99" s="757"/>
      <c r="W99" s="757"/>
      <c r="X99" s="757"/>
      <c r="Y99" s="757"/>
      <c r="Z99" s="757"/>
      <c r="AA99" s="757"/>
      <c r="AB99" s="757"/>
      <c r="AC99" s="757"/>
      <c r="AD99" s="757"/>
      <c r="AE99" s="757"/>
      <c r="AF99" s="757"/>
      <c r="AG99" s="757"/>
      <c r="AH99" s="757"/>
      <c r="AI99" s="757"/>
      <c r="AJ99" s="757"/>
      <c r="AK99" s="757"/>
      <c r="AL99" s="757"/>
      <c r="AM99" s="757"/>
      <c r="AN99" s="757"/>
      <c r="AO99" s="757"/>
      <c r="AP99" s="757"/>
      <c r="AQ99" s="757"/>
      <c r="AR99" s="757"/>
      <c r="AS99" s="757"/>
      <c r="AT99" s="757"/>
      <c r="AU99" s="757"/>
      <c r="AV99" s="757"/>
      <c r="AW99" s="757"/>
      <c r="AX99" s="757"/>
      <c r="AY99" s="757"/>
      <c r="AZ99" s="757"/>
      <c r="BA99" s="757"/>
    </row>
    <row r="100" spans="1:53" s="670" customFormat="1" ht="17.100000000000001" customHeight="1" x14ac:dyDescent="0.25">
      <c r="A100" s="757" t="s">
        <v>144</v>
      </c>
      <c r="B100" s="757"/>
      <c r="C100" s="757"/>
      <c r="D100" s="757"/>
      <c r="E100" s="757"/>
      <c r="F100" s="757"/>
      <c r="G100" s="757"/>
      <c r="H100" s="757"/>
      <c r="I100" s="757"/>
      <c r="J100" s="757"/>
      <c r="K100" s="757"/>
      <c r="L100" s="757"/>
      <c r="M100" s="757"/>
      <c r="N100" s="757"/>
      <c r="O100" s="757"/>
      <c r="P100" s="757"/>
      <c r="Q100" s="757"/>
      <c r="R100" s="757"/>
      <c r="S100" s="757"/>
      <c r="T100" s="757"/>
      <c r="U100" s="757"/>
      <c r="V100" s="757"/>
      <c r="W100" s="757"/>
      <c r="X100" s="757"/>
      <c r="Y100" s="757"/>
      <c r="Z100" s="757"/>
      <c r="AA100" s="757"/>
      <c r="AB100" s="757"/>
      <c r="AC100" s="757"/>
      <c r="AD100" s="757"/>
      <c r="AE100" s="757"/>
      <c r="AF100" s="757"/>
      <c r="AG100" s="757"/>
      <c r="AH100" s="757"/>
      <c r="AI100" s="757"/>
      <c r="AJ100" s="757"/>
      <c r="AK100" s="757"/>
      <c r="AL100" s="757"/>
      <c r="AM100" s="757"/>
      <c r="AN100" s="757"/>
      <c r="AO100" s="757"/>
      <c r="AP100" s="757"/>
      <c r="AQ100" s="757"/>
      <c r="AR100" s="757"/>
      <c r="AS100" s="757"/>
      <c r="AT100" s="757"/>
      <c r="AU100" s="757"/>
      <c r="AV100" s="757"/>
      <c r="AW100" s="757"/>
      <c r="AX100" s="757"/>
      <c r="AY100" s="757"/>
      <c r="AZ100" s="757"/>
      <c r="BA100" s="757"/>
    </row>
    <row r="101" spans="1:53" s="670" customFormat="1" ht="17.100000000000001" customHeight="1" x14ac:dyDescent="0.25">
      <c r="A101" s="757" t="s">
        <v>145</v>
      </c>
      <c r="B101" s="757"/>
      <c r="C101" s="757"/>
      <c r="D101" s="757"/>
      <c r="E101" s="757"/>
      <c r="F101" s="757"/>
      <c r="G101" s="757"/>
      <c r="H101" s="757"/>
      <c r="I101" s="757"/>
      <c r="J101" s="757"/>
      <c r="K101" s="757"/>
      <c r="L101" s="757"/>
      <c r="M101" s="757"/>
      <c r="N101" s="757"/>
      <c r="O101" s="757"/>
      <c r="P101" s="757"/>
      <c r="Q101" s="757"/>
      <c r="R101" s="757"/>
      <c r="S101" s="757"/>
      <c r="T101" s="757"/>
      <c r="U101" s="757"/>
      <c r="V101" s="757"/>
      <c r="W101" s="757"/>
      <c r="X101" s="757"/>
      <c r="Y101" s="757"/>
      <c r="Z101" s="757"/>
      <c r="AA101" s="757"/>
      <c r="AB101" s="757"/>
      <c r="AC101" s="757"/>
      <c r="AD101" s="757"/>
      <c r="AE101" s="757"/>
      <c r="AF101" s="757"/>
      <c r="AG101" s="757"/>
      <c r="AH101" s="757"/>
      <c r="AI101" s="757"/>
      <c r="AJ101" s="757"/>
      <c r="AK101" s="757"/>
      <c r="AL101" s="757"/>
      <c r="AM101" s="757"/>
      <c r="AN101" s="757"/>
      <c r="AO101" s="757"/>
      <c r="AP101" s="757"/>
      <c r="AQ101" s="757"/>
      <c r="AR101" s="757"/>
      <c r="AS101" s="757"/>
      <c r="AT101" s="757"/>
      <c r="AU101" s="757"/>
      <c r="AV101" s="757"/>
      <c r="AW101" s="757"/>
      <c r="AX101" s="757"/>
      <c r="AY101" s="757"/>
      <c r="AZ101" s="757"/>
      <c r="BA101" s="757"/>
    </row>
    <row r="102" spans="1:53" s="670" customFormat="1" ht="17.100000000000001" customHeight="1" x14ac:dyDescent="0.25">
      <c r="A102" s="757" t="s">
        <v>146</v>
      </c>
      <c r="B102" s="757"/>
      <c r="C102" s="757"/>
      <c r="D102" s="757"/>
      <c r="E102" s="757"/>
      <c r="F102" s="757"/>
      <c r="G102" s="757"/>
      <c r="H102" s="757"/>
      <c r="I102" s="757"/>
      <c r="J102" s="757"/>
      <c r="K102" s="757"/>
      <c r="L102" s="757"/>
      <c r="M102" s="757"/>
      <c r="N102" s="757"/>
      <c r="O102" s="757"/>
      <c r="P102" s="757"/>
      <c r="Q102" s="757"/>
      <c r="R102" s="757"/>
      <c r="S102" s="757"/>
      <c r="T102" s="757"/>
      <c r="U102" s="757"/>
      <c r="V102" s="757"/>
      <c r="W102" s="757"/>
      <c r="X102" s="757"/>
      <c r="Y102" s="757"/>
      <c r="Z102" s="757"/>
      <c r="AA102" s="757"/>
      <c r="AB102" s="757"/>
      <c r="AC102" s="757"/>
      <c r="AD102" s="757"/>
      <c r="AE102" s="757"/>
      <c r="AF102" s="757"/>
      <c r="AG102" s="757"/>
      <c r="AH102" s="757"/>
      <c r="AI102" s="757"/>
      <c r="AJ102" s="757"/>
      <c r="AK102" s="757"/>
      <c r="AL102" s="757"/>
      <c r="AM102" s="757"/>
      <c r="AN102" s="757"/>
      <c r="AO102" s="757"/>
      <c r="AP102" s="757"/>
      <c r="AQ102" s="757"/>
      <c r="AR102" s="757"/>
      <c r="AS102" s="757"/>
      <c r="AT102" s="757"/>
      <c r="AU102" s="757"/>
      <c r="AV102" s="757"/>
      <c r="AW102" s="757"/>
      <c r="AX102" s="757"/>
      <c r="AY102" s="757"/>
      <c r="AZ102" s="757"/>
      <c r="BA102" s="757"/>
    </row>
    <row r="103" spans="1:53" ht="17.100000000000001" customHeight="1" x14ac:dyDescent="0.25">
      <c r="A103" s="757" t="s">
        <v>147</v>
      </c>
      <c r="B103" s="757"/>
      <c r="C103" s="757"/>
      <c r="D103" s="757"/>
      <c r="E103" s="757"/>
      <c r="F103" s="757"/>
      <c r="G103" s="757"/>
      <c r="H103" s="757"/>
      <c r="I103" s="757"/>
      <c r="J103" s="757"/>
      <c r="K103" s="757"/>
      <c r="L103" s="757"/>
      <c r="M103" s="757"/>
      <c r="N103" s="757"/>
      <c r="O103" s="757"/>
      <c r="P103" s="757"/>
      <c r="Q103" s="757"/>
      <c r="R103" s="757"/>
      <c r="S103" s="757"/>
      <c r="T103" s="757"/>
      <c r="U103" s="757"/>
      <c r="V103" s="757"/>
      <c r="W103" s="757"/>
      <c r="X103" s="757"/>
      <c r="Y103" s="757"/>
      <c r="Z103" s="757"/>
      <c r="AA103" s="757"/>
      <c r="AB103" s="757"/>
      <c r="AC103" s="757"/>
      <c r="AD103" s="757"/>
      <c r="AE103" s="757"/>
      <c r="AF103" s="757"/>
      <c r="AG103" s="757"/>
      <c r="AH103" s="757"/>
      <c r="AI103" s="757"/>
      <c r="AJ103" s="757"/>
      <c r="AK103" s="757"/>
      <c r="AL103" s="757"/>
      <c r="AM103" s="757"/>
      <c r="AN103" s="757"/>
      <c r="AO103" s="757"/>
      <c r="AP103" s="757"/>
      <c r="AQ103" s="757"/>
      <c r="AR103" s="757"/>
      <c r="AS103" s="757"/>
      <c r="AT103" s="757"/>
      <c r="AU103" s="757"/>
      <c r="AV103" s="757"/>
      <c r="AW103" s="757"/>
      <c r="AX103" s="757"/>
      <c r="AY103" s="757"/>
      <c r="AZ103" s="757"/>
      <c r="BA103" s="757"/>
    </row>
    <row r="104" spans="1:53" ht="17.100000000000001" customHeight="1" x14ac:dyDescent="0.25">
      <c r="A104" s="757" t="s">
        <v>148</v>
      </c>
      <c r="B104" s="757"/>
      <c r="C104" s="757"/>
      <c r="D104" s="757"/>
      <c r="E104" s="757"/>
      <c r="F104" s="757"/>
      <c r="G104" s="757"/>
      <c r="H104" s="757"/>
      <c r="I104" s="757"/>
      <c r="J104" s="757"/>
      <c r="K104" s="757"/>
      <c r="L104" s="757"/>
      <c r="M104" s="757"/>
      <c r="N104" s="757"/>
      <c r="O104" s="757"/>
      <c r="P104" s="757"/>
      <c r="Q104" s="757"/>
      <c r="R104" s="757"/>
      <c r="S104" s="757"/>
      <c r="T104" s="757"/>
      <c r="U104" s="757"/>
      <c r="V104" s="757"/>
      <c r="W104" s="757"/>
      <c r="X104" s="757"/>
      <c r="Y104" s="757"/>
      <c r="Z104" s="757"/>
      <c r="AA104" s="757"/>
      <c r="AB104" s="757"/>
      <c r="AC104" s="757"/>
      <c r="AD104" s="757"/>
      <c r="AE104" s="757"/>
      <c r="AF104" s="757"/>
      <c r="AG104" s="757"/>
      <c r="AH104" s="757"/>
      <c r="AI104" s="757"/>
      <c r="AJ104" s="757"/>
      <c r="AK104" s="757"/>
      <c r="AL104" s="757"/>
      <c r="AM104" s="757"/>
      <c r="AN104" s="757"/>
      <c r="AO104" s="757"/>
      <c r="AP104" s="757"/>
      <c r="AQ104" s="757"/>
      <c r="AR104" s="757"/>
      <c r="AS104" s="757"/>
      <c r="AT104" s="757"/>
      <c r="AU104" s="757"/>
      <c r="AV104" s="757"/>
      <c r="AW104" s="757"/>
      <c r="AX104" s="757"/>
      <c r="AY104" s="757"/>
      <c r="AZ104" s="757"/>
      <c r="BA104" s="757"/>
    </row>
    <row r="105" spans="1:53" ht="17.100000000000001" customHeight="1" x14ac:dyDescent="0.25">
      <c r="A105" s="768" t="s">
        <v>149</v>
      </c>
      <c r="B105" s="757"/>
      <c r="C105" s="757"/>
      <c r="D105" s="757"/>
      <c r="E105" s="757"/>
      <c r="F105" s="757"/>
      <c r="G105" s="757"/>
      <c r="H105" s="757"/>
      <c r="I105" s="757"/>
      <c r="J105" s="757"/>
      <c r="K105" s="757"/>
      <c r="L105" s="757"/>
      <c r="M105" s="757"/>
      <c r="N105" s="757"/>
      <c r="O105" s="757"/>
      <c r="P105" s="757"/>
      <c r="Q105" s="757"/>
      <c r="R105" s="757"/>
      <c r="S105" s="757"/>
      <c r="T105" s="757"/>
      <c r="U105" s="757"/>
      <c r="V105" s="757"/>
      <c r="W105" s="757"/>
      <c r="X105" s="757"/>
      <c r="Y105" s="757"/>
      <c r="Z105" s="757"/>
      <c r="AA105" s="757"/>
      <c r="AB105" s="757"/>
      <c r="AC105" s="757"/>
      <c r="AD105" s="757"/>
      <c r="AE105" s="757"/>
      <c r="AF105" s="757"/>
      <c r="AG105" s="757"/>
      <c r="AH105" s="757"/>
      <c r="AI105" s="757"/>
      <c r="AJ105" s="757"/>
      <c r="AK105" s="757"/>
      <c r="AL105" s="757"/>
      <c r="AM105" s="757"/>
      <c r="AN105" s="757"/>
      <c r="AO105" s="757"/>
      <c r="AP105" s="757"/>
      <c r="AQ105" s="757"/>
      <c r="AR105" s="757"/>
      <c r="AS105" s="757"/>
      <c r="AT105" s="757"/>
      <c r="AU105" s="757"/>
      <c r="AV105" s="757"/>
      <c r="AW105" s="757"/>
      <c r="AX105" s="757"/>
      <c r="AY105" s="757"/>
      <c r="AZ105" s="757"/>
      <c r="BA105" s="757"/>
    </row>
    <row r="106" spans="1:53" ht="17.100000000000001" customHeight="1" x14ac:dyDescent="0.25">
      <c r="A106" s="757" t="s">
        <v>150</v>
      </c>
      <c r="B106" s="757"/>
      <c r="C106" s="757"/>
      <c r="D106" s="757"/>
      <c r="E106" s="757"/>
      <c r="F106" s="757"/>
      <c r="G106" s="757"/>
      <c r="H106" s="757"/>
      <c r="I106" s="757"/>
      <c r="J106" s="757"/>
      <c r="K106" s="757"/>
      <c r="L106" s="757"/>
      <c r="M106" s="757"/>
      <c r="N106" s="757"/>
      <c r="O106" s="757"/>
      <c r="P106" s="757"/>
      <c r="Q106" s="757"/>
      <c r="R106" s="757"/>
      <c r="S106" s="757"/>
      <c r="T106" s="757"/>
      <c r="U106" s="757"/>
      <c r="V106" s="757"/>
      <c r="W106" s="757"/>
      <c r="X106" s="757"/>
      <c r="Y106" s="757"/>
      <c r="Z106" s="757"/>
      <c r="AA106" s="757"/>
      <c r="AB106" s="757"/>
      <c r="AC106" s="757"/>
      <c r="AD106" s="757"/>
      <c r="AE106" s="757"/>
      <c r="AF106" s="757"/>
      <c r="AG106" s="757"/>
      <c r="AH106" s="757"/>
      <c r="AI106" s="757"/>
      <c r="AJ106" s="757"/>
      <c r="AK106" s="757"/>
      <c r="AL106" s="757"/>
      <c r="AM106" s="757"/>
      <c r="AN106" s="757"/>
      <c r="AO106" s="757"/>
      <c r="AP106" s="757"/>
      <c r="AQ106" s="757"/>
      <c r="AR106" s="757"/>
      <c r="AS106" s="757"/>
      <c r="AT106" s="757"/>
      <c r="AU106" s="757"/>
      <c r="AV106" s="757"/>
      <c r="AW106" s="757"/>
      <c r="AX106" s="757"/>
      <c r="AY106" s="757"/>
      <c r="AZ106" s="757"/>
      <c r="BA106" s="757"/>
    </row>
    <row r="107" spans="1:53" ht="17.100000000000001" customHeight="1" x14ac:dyDescent="0.25">
      <c r="A107" s="757" t="s">
        <v>151</v>
      </c>
      <c r="B107" s="757"/>
      <c r="C107" s="757"/>
      <c r="D107" s="757"/>
      <c r="E107" s="757"/>
      <c r="F107" s="757"/>
      <c r="G107" s="757"/>
      <c r="H107" s="757"/>
      <c r="I107" s="757"/>
      <c r="J107" s="757"/>
      <c r="K107" s="757"/>
      <c r="L107" s="757"/>
      <c r="M107" s="757"/>
      <c r="N107" s="757"/>
      <c r="O107" s="757"/>
      <c r="P107" s="757"/>
      <c r="Q107" s="757"/>
      <c r="R107" s="757"/>
      <c r="S107" s="757"/>
      <c r="T107" s="757"/>
      <c r="U107" s="757"/>
      <c r="V107" s="757"/>
      <c r="W107" s="757"/>
      <c r="X107" s="757"/>
      <c r="Y107" s="757"/>
      <c r="Z107" s="757"/>
      <c r="AA107" s="757"/>
      <c r="AB107" s="757"/>
      <c r="AC107" s="757"/>
      <c r="AD107" s="757"/>
      <c r="AE107" s="757"/>
      <c r="AF107" s="757"/>
      <c r="AG107" s="757"/>
      <c r="AH107" s="757"/>
      <c r="AI107" s="757"/>
      <c r="AJ107" s="757"/>
      <c r="AK107" s="757"/>
      <c r="AL107" s="757"/>
      <c r="AM107" s="757"/>
      <c r="AN107" s="757"/>
      <c r="AO107" s="757"/>
      <c r="AP107" s="757"/>
      <c r="AQ107" s="757"/>
      <c r="AR107" s="757"/>
      <c r="AS107" s="757"/>
      <c r="AT107" s="757"/>
      <c r="AU107" s="757"/>
      <c r="AV107" s="757"/>
      <c r="AW107" s="757"/>
      <c r="AX107" s="757"/>
      <c r="AY107" s="757"/>
      <c r="AZ107" s="757"/>
      <c r="BA107" s="757"/>
    </row>
    <row r="108" spans="1:53" ht="17.100000000000001" customHeight="1" x14ac:dyDescent="0.25">
      <c r="A108" s="757" t="s">
        <v>152</v>
      </c>
      <c r="B108" s="757"/>
      <c r="C108" s="757"/>
      <c r="D108" s="757"/>
      <c r="E108" s="757"/>
      <c r="F108" s="757"/>
      <c r="G108" s="757"/>
      <c r="H108" s="757"/>
      <c r="I108" s="757"/>
      <c r="J108" s="757"/>
      <c r="K108" s="757"/>
      <c r="L108" s="757"/>
      <c r="M108" s="757"/>
      <c r="N108" s="757"/>
      <c r="O108" s="757"/>
      <c r="P108" s="757"/>
      <c r="Q108" s="757"/>
      <c r="R108" s="757"/>
      <c r="S108" s="757"/>
      <c r="T108" s="757"/>
      <c r="U108" s="757"/>
      <c r="V108" s="757"/>
      <c r="W108" s="757"/>
      <c r="X108" s="757"/>
      <c r="Y108" s="757"/>
      <c r="Z108" s="757"/>
      <c r="AA108" s="757"/>
      <c r="AB108" s="757"/>
      <c r="AC108" s="757"/>
      <c r="AD108" s="757"/>
      <c r="AE108" s="757"/>
      <c r="AF108" s="757"/>
      <c r="AG108" s="757"/>
      <c r="AH108" s="757"/>
      <c r="AI108" s="757"/>
      <c r="AJ108" s="757"/>
      <c r="AK108" s="757"/>
      <c r="AL108" s="757"/>
      <c r="AM108" s="757"/>
      <c r="AN108" s="757"/>
      <c r="AO108" s="757"/>
      <c r="AP108" s="757"/>
      <c r="AQ108" s="757"/>
      <c r="AR108" s="757"/>
      <c r="AS108" s="757"/>
      <c r="AT108" s="757"/>
      <c r="AU108" s="757"/>
      <c r="AV108" s="757"/>
      <c r="AW108" s="757"/>
      <c r="AX108" s="757"/>
      <c r="AY108" s="757"/>
      <c r="AZ108" s="757"/>
      <c r="BA108" s="757"/>
    </row>
    <row r="109" spans="1:53" ht="17.100000000000001" customHeight="1" x14ac:dyDescent="0.25">
      <c r="A109" s="757" t="s">
        <v>153</v>
      </c>
      <c r="B109" s="757"/>
      <c r="C109" s="757"/>
      <c r="D109" s="757"/>
      <c r="E109" s="757"/>
      <c r="F109" s="757"/>
      <c r="G109" s="757"/>
      <c r="H109" s="757"/>
      <c r="I109" s="757"/>
      <c r="J109" s="757"/>
      <c r="K109" s="757"/>
      <c r="L109" s="757"/>
      <c r="M109" s="757"/>
      <c r="N109" s="757"/>
      <c r="O109" s="757"/>
      <c r="P109" s="757"/>
      <c r="Q109" s="757"/>
      <c r="R109" s="757"/>
      <c r="S109" s="757"/>
      <c r="T109" s="757"/>
      <c r="U109" s="757"/>
      <c r="V109" s="757"/>
      <c r="W109" s="757"/>
      <c r="X109" s="757"/>
      <c r="Y109" s="757"/>
      <c r="Z109" s="757"/>
      <c r="AA109" s="757"/>
      <c r="AB109" s="757"/>
      <c r="AC109" s="757"/>
      <c r="AD109" s="757"/>
      <c r="AE109" s="757"/>
      <c r="AF109" s="757"/>
      <c r="AG109" s="757"/>
      <c r="AH109" s="757"/>
      <c r="AI109" s="757"/>
      <c r="AJ109" s="757"/>
      <c r="AK109" s="757"/>
      <c r="AL109" s="757"/>
      <c r="AM109" s="757"/>
      <c r="AN109" s="757"/>
      <c r="AO109" s="757"/>
      <c r="AP109" s="757"/>
      <c r="AQ109" s="757"/>
      <c r="AR109" s="757"/>
      <c r="AS109" s="757"/>
      <c r="AT109" s="757"/>
      <c r="AU109" s="757"/>
      <c r="AV109" s="757"/>
      <c r="AW109" s="757"/>
      <c r="AX109" s="757"/>
      <c r="AY109" s="757"/>
      <c r="AZ109" s="757"/>
      <c r="BA109" s="757"/>
    </row>
    <row r="110" spans="1:53" ht="17.100000000000001" customHeight="1" x14ac:dyDescent="0.25">
      <c r="A110" s="769"/>
      <c r="B110" s="757"/>
      <c r="C110" s="757"/>
      <c r="D110" s="757"/>
      <c r="E110" s="757"/>
      <c r="F110" s="757"/>
      <c r="G110" s="757"/>
      <c r="H110" s="757"/>
      <c r="I110" s="757"/>
      <c r="J110" s="757"/>
      <c r="K110" s="757"/>
      <c r="L110" s="757"/>
      <c r="M110" s="757"/>
      <c r="N110" s="757"/>
      <c r="O110" s="757"/>
      <c r="P110" s="757"/>
      <c r="Q110" s="757"/>
      <c r="R110" s="757"/>
      <c r="S110" s="757"/>
      <c r="T110" s="757"/>
      <c r="U110" s="757"/>
      <c r="V110" s="757"/>
      <c r="W110" s="757"/>
      <c r="X110" s="757"/>
      <c r="Y110" s="757"/>
      <c r="Z110" s="757"/>
      <c r="AA110" s="757"/>
      <c r="AB110" s="757"/>
      <c r="AC110" s="757"/>
      <c r="AD110" s="757"/>
      <c r="AE110" s="757"/>
      <c r="AF110" s="757"/>
      <c r="AG110" s="757"/>
      <c r="AH110" s="757"/>
      <c r="AI110" s="757"/>
      <c r="AJ110" s="757"/>
      <c r="AK110" s="757"/>
      <c r="AL110" s="757"/>
      <c r="AM110" s="757"/>
      <c r="AN110" s="757"/>
      <c r="AO110" s="757"/>
      <c r="AP110" s="757"/>
      <c r="AQ110" s="757"/>
      <c r="AR110" s="757"/>
      <c r="AS110" s="757"/>
      <c r="AT110" s="757"/>
      <c r="AU110" s="757"/>
      <c r="AV110" s="757"/>
      <c r="AW110" s="757"/>
      <c r="AX110" s="757"/>
      <c r="AY110" s="757"/>
      <c r="AZ110" s="757"/>
      <c r="BA110" s="757"/>
    </row>
    <row r="111" spans="1:53" ht="17.100000000000001" customHeight="1" x14ac:dyDescent="0.25">
      <c r="A111" s="765" t="s">
        <v>369</v>
      </c>
      <c r="B111" s="770"/>
      <c r="C111" s="757"/>
      <c r="D111" s="757"/>
      <c r="E111" s="757"/>
      <c r="F111" s="757"/>
      <c r="G111" s="757"/>
      <c r="H111" s="757"/>
      <c r="I111" s="757"/>
      <c r="J111" s="757"/>
      <c r="K111" s="757"/>
      <c r="L111" s="757"/>
      <c r="M111" s="757"/>
      <c r="N111" s="757"/>
      <c r="O111" s="757"/>
      <c r="P111" s="757"/>
      <c r="Q111" s="757"/>
      <c r="R111" s="757"/>
      <c r="S111" s="757"/>
      <c r="T111" s="757"/>
      <c r="U111" s="757"/>
      <c r="V111" s="757"/>
      <c r="W111" s="757"/>
      <c r="X111" s="757"/>
      <c r="Y111" s="757"/>
      <c r="Z111" s="757"/>
      <c r="AA111" s="757"/>
      <c r="AB111" s="757"/>
      <c r="AC111" s="757"/>
      <c r="AD111" s="757"/>
      <c r="AE111" s="757"/>
      <c r="AF111" s="757"/>
      <c r="AG111" s="757"/>
      <c r="AH111" s="757"/>
      <c r="AI111" s="757"/>
      <c r="AJ111" s="757"/>
      <c r="AK111" s="757"/>
      <c r="AL111" s="757"/>
      <c r="AM111" s="757"/>
      <c r="AN111" s="757"/>
      <c r="AO111" s="757"/>
      <c r="AP111" s="757"/>
      <c r="AQ111" s="757"/>
      <c r="AR111" s="757"/>
      <c r="AS111" s="757"/>
      <c r="AT111" s="757"/>
      <c r="AU111" s="757"/>
      <c r="AV111" s="757"/>
      <c r="AW111" s="757"/>
      <c r="AX111" s="757"/>
      <c r="AY111" s="757"/>
      <c r="AZ111" s="757"/>
      <c r="BA111" s="757"/>
    </row>
    <row r="112" spans="1:53" ht="17.100000000000001" customHeight="1" x14ac:dyDescent="0.25">
      <c r="A112" s="769"/>
      <c r="B112" s="757"/>
      <c r="C112" s="757"/>
      <c r="D112" s="757"/>
      <c r="E112" s="757"/>
      <c r="F112" s="757"/>
      <c r="G112" s="757"/>
      <c r="H112" s="757"/>
      <c r="I112" s="757"/>
      <c r="J112" s="757"/>
      <c r="K112" s="757"/>
      <c r="L112" s="757"/>
      <c r="M112" s="757"/>
      <c r="N112" s="757"/>
      <c r="O112" s="757"/>
      <c r="P112" s="757"/>
      <c r="Q112" s="757"/>
      <c r="R112" s="757"/>
      <c r="S112" s="757"/>
      <c r="T112" s="757"/>
      <c r="U112" s="757"/>
      <c r="V112" s="757"/>
      <c r="W112" s="757"/>
      <c r="X112" s="757"/>
      <c r="Y112" s="757"/>
      <c r="Z112" s="757"/>
      <c r="AA112" s="757"/>
      <c r="AB112" s="757"/>
      <c r="AC112" s="757"/>
      <c r="AD112" s="757"/>
      <c r="AE112" s="757"/>
      <c r="AF112" s="757"/>
      <c r="AG112" s="757"/>
      <c r="AH112" s="757"/>
      <c r="AI112" s="757"/>
      <c r="AJ112" s="757"/>
      <c r="AK112" s="757"/>
      <c r="AL112" s="757"/>
      <c r="AM112" s="757"/>
      <c r="AN112" s="757"/>
      <c r="AO112" s="757"/>
      <c r="AP112" s="757"/>
      <c r="AQ112" s="757"/>
      <c r="AR112" s="757"/>
      <c r="AS112" s="757"/>
      <c r="AT112" s="757"/>
      <c r="AU112" s="757"/>
      <c r="AV112" s="757"/>
      <c r="AW112" s="757"/>
      <c r="AX112" s="757"/>
      <c r="AY112" s="757"/>
      <c r="AZ112" s="757"/>
      <c r="BA112" s="757"/>
    </row>
    <row r="113" spans="1:53" ht="17.100000000000001" customHeight="1" x14ac:dyDescent="0.25">
      <c r="A113" s="765"/>
      <c r="B113" s="757"/>
      <c r="C113" s="757"/>
      <c r="D113" s="757"/>
      <c r="E113" s="757"/>
      <c r="F113" s="757"/>
      <c r="G113" s="757"/>
      <c r="H113" s="757"/>
      <c r="I113" s="757"/>
      <c r="J113" s="757"/>
      <c r="K113" s="757"/>
      <c r="L113" s="757"/>
      <c r="M113" s="757"/>
      <c r="N113" s="757"/>
      <c r="O113" s="757"/>
      <c r="P113" s="757"/>
      <c r="Q113" s="757"/>
      <c r="R113" s="757"/>
      <c r="S113" s="757"/>
      <c r="T113" s="757"/>
      <c r="U113" s="757"/>
      <c r="V113" s="757"/>
      <c r="W113" s="757"/>
      <c r="X113" s="757"/>
      <c r="Y113" s="757"/>
      <c r="Z113" s="757"/>
      <c r="AA113" s="757"/>
      <c r="AB113" s="757"/>
      <c r="AC113" s="757"/>
      <c r="AD113" s="757"/>
      <c r="AE113" s="757"/>
      <c r="AF113" s="757"/>
      <c r="AG113" s="757"/>
      <c r="AH113" s="757"/>
      <c r="AI113" s="757"/>
      <c r="AJ113" s="757"/>
      <c r="AK113" s="757"/>
      <c r="AL113" s="757"/>
      <c r="AM113" s="757"/>
      <c r="AN113" s="757"/>
      <c r="AO113" s="757"/>
      <c r="AP113" s="757"/>
      <c r="AQ113" s="757"/>
      <c r="AR113" s="757"/>
      <c r="AS113" s="757"/>
      <c r="AT113" s="757"/>
      <c r="AU113" s="757"/>
      <c r="AV113" s="757"/>
      <c r="AW113" s="757"/>
      <c r="AX113" s="757"/>
      <c r="AY113" s="757"/>
      <c r="AZ113" s="757"/>
      <c r="BA113" s="757"/>
    </row>
    <row r="114" spans="1:53" ht="17.100000000000001" customHeight="1" x14ac:dyDescent="0.25">
      <c r="A114" s="771"/>
      <c r="B114" s="757"/>
      <c r="C114" s="757"/>
      <c r="D114" s="757"/>
      <c r="E114" s="757"/>
      <c r="F114" s="757"/>
      <c r="G114" s="757"/>
      <c r="H114" s="757"/>
      <c r="I114" s="757"/>
      <c r="J114" s="757"/>
      <c r="K114" s="757"/>
      <c r="L114" s="757"/>
      <c r="M114" s="757"/>
      <c r="N114" s="757"/>
      <c r="O114" s="757"/>
      <c r="P114" s="757"/>
      <c r="Q114" s="757"/>
      <c r="R114" s="757"/>
      <c r="S114" s="757"/>
      <c r="T114" s="757"/>
      <c r="U114" s="757"/>
      <c r="V114" s="757"/>
      <c r="W114" s="757"/>
      <c r="X114" s="757"/>
      <c r="Y114" s="757"/>
      <c r="Z114" s="757"/>
      <c r="AA114" s="757"/>
      <c r="AB114" s="757"/>
      <c r="AC114" s="757"/>
      <c r="AD114" s="757"/>
      <c r="AE114" s="757"/>
      <c r="AF114" s="757"/>
      <c r="AG114" s="757"/>
      <c r="AH114" s="757"/>
      <c r="AI114" s="757"/>
      <c r="AJ114" s="757"/>
      <c r="AK114" s="757"/>
      <c r="AL114" s="757"/>
      <c r="AM114" s="757"/>
      <c r="AN114" s="757"/>
      <c r="AO114" s="757"/>
      <c r="AP114" s="757"/>
      <c r="AQ114" s="757"/>
      <c r="AR114" s="757"/>
      <c r="AS114" s="757"/>
      <c r="AT114" s="757"/>
      <c r="AU114" s="757"/>
      <c r="AV114" s="757"/>
      <c r="AW114" s="757"/>
      <c r="AX114" s="757"/>
      <c r="AY114" s="757"/>
      <c r="AZ114" s="757"/>
      <c r="BA114" s="757"/>
    </row>
  </sheetData>
  <mergeCells count="1">
    <mergeCell ref="J49:L49"/>
  </mergeCells>
  <conditionalFormatting sqref="E20:E74">
    <cfRule type="cellIs" dxfId="0" priority="1" operator="equal">
      <formula>"NaN"</formula>
    </cfRule>
  </conditionalFormatting>
  <hyperlinks>
    <hyperlink ref="C8" r:id="rId1" display="The atmospheric CO2 growth rate (variable uncertainty averaging 0.18 PgC/yr during 1980-2011) is estimated directly from atmospheric CO2 concentration measurements, and provided by the US National Oceanic and Atmospheric Administration Earth System Resear"/>
  </hyperlinks>
  <pageMargins left="0.75" right="0.75" top="1" bottom="1" header="0.5" footer="0.5"/>
  <pageSetup paperSize="9" orientation="portrait" horizontalDpi="4294967292" verticalDpi="4294967292"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1">
    <tabColor theme="0" tint="-0.34998626667073579"/>
    <pageSetUpPr fitToPage="1"/>
  </sheetPr>
  <dimension ref="A1:K13"/>
  <sheetViews>
    <sheetView workbookViewId="0">
      <selection activeCell="A2" sqref="A2"/>
    </sheetView>
  </sheetViews>
  <sheetFormatPr baseColWidth="10" defaultRowHeight="15" x14ac:dyDescent="0.25"/>
  <cols>
    <col min="1" max="1" width="35.28515625" style="92" customWidth="1"/>
  </cols>
  <sheetData>
    <row r="1" spans="1:11" s="327" customFormat="1" x14ac:dyDescent="0.25">
      <c r="A1" s="92"/>
    </row>
    <row r="2" spans="1:11" x14ac:dyDescent="0.25">
      <c r="A2" s="199" t="s">
        <v>60</v>
      </c>
    </row>
    <row r="3" spans="1:11" x14ac:dyDescent="0.25">
      <c r="A3" s="91"/>
    </row>
    <row r="4" spans="1:11" x14ac:dyDescent="0.25">
      <c r="A4" s="91" t="s">
        <v>61</v>
      </c>
    </row>
    <row r="5" spans="1:11" x14ac:dyDescent="0.25">
      <c r="A5" s="91" t="s">
        <v>63</v>
      </c>
    </row>
    <row r="6" spans="1:11" x14ac:dyDescent="0.25">
      <c r="A6" s="91" t="s">
        <v>62</v>
      </c>
    </row>
    <row r="7" spans="1:11" x14ac:dyDescent="0.25">
      <c r="A7" s="130" t="s">
        <v>76</v>
      </c>
    </row>
    <row r="9" spans="1:11" x14ac:dyDescent="0.25">
      <c r="A9" s="92" t="s">
        <v>342</v>
      </c>
      <c r="H9" s="24"/>
      <c r="I9" s="24"/>
      <c r="J9" s="24"/>
      <c r="K9" s="24"/>
    </row>
    <row r="10" spans="1:11" x14ac:dyDescent="0.25">
      <c r="A10" s="24" t="s">
        <v>64</v>
      </c>
      <c r="H10" s="24"/>
      <c r="I10" s="24"/>
      <c r="J10" s="24"/>
      <c r="K10" s="24"/>
    </row>
    <row r="13" spans="1:11" x14ac:dyDescent="0.25">
      <c r="A13" s="215"/>
      <c r="B13" s="215"/>
      <c r="C13" s="215"/>
      <c r="D13" s="215"/>
      <c r="E13" s="215"/>
    </row>
  </sheetData>
  <customSheetViews>
    <customSheetView guid="{314CBECC-1AE9-4578-9B87-473AB0B3A698}" fitToPage="1">
      <pageMargins left="0.70866141732283472" right="0.70866141732283472" top="0.78740157480314965" bottom="0.78740157480314965" header="0.31496062992125984" footer="0.31496062992125984"/>
      <printOptions horizontalCentered="1"/>
      <pageSetup paperSize="9" orientation="landscape" r:id="rId1"/>
      <headerFooter>
        <oddHeader>&amp;LRegensburger Modell</oddHeader>
        <oddFooter>&amp;LSargl/Wolfsteiner/Wittmann&amp;R&amp;A</oddFooter>
      </headerFooter>
    </customSheetView>
    <customSheetView guid="{7B9C85BD-D1BB-4F3C-98F5-6414F32599ED}" fitToPage="1">
      <pageMargins left="0.70866141732283472" right="0.70866141732283472" top="0.78740157480314965" bottom="0.78740157480314965" header="0.31496062992125984" footer="0.31496062992125984"/>
      <printOptions horizontalCentered="1"/>
      <pageSetup paperSize="9" orientation="landscape" r:id="rId2"/>
      <headerFooter>
        <oddHeader>&amp;LRegensburger Modell</oddHeader>
        <oddFooter>&amp;LSargl/Wolfsteiner/Wittmann&amp;R&amp;A</oddFooter>
      </headerFooter>
    </customSheetView>
  </customSheetViews>
  <phoneticPr fontId="9" type="noConversion"/>
  <hyperlinks>
    <hyperlink ref="A7" r:id="rId3"/>
    <hyperlink ref="A10" r:id="rId4"/>
  </hyperlinks>
  <printOptions horizontalCentered="1"/>
  <pageMargins left="0.70866141732283472" right="0.70866141732283472" top="0.78740157480314965" bottom="0.78740157480314965" header="0.31496062992125984" footer="0.31496062992125984"/>
  <pageSetup paperSize="9" scale="83" orientation="landscape" r:id="rId5"/>
  <headerFooter>
    <oddHeader>&amp;LRegensburger Modell</oddHeader>
    <oddFooter>&amp;LSargl/Wolfsteiner/Wittmann&amp;R&amp;A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C3"/>
  <sheetViews>
    <sheetView workbookViewId="0"/>
  </sheetViews>
  <sheetFormatPr baseColWidth="10" defaultRowHeight="15" x14ac:dyDescent="0.25"/>
  <sheetData>
    <row r="1" spans="1:3" x14ac:dyDescent="0.25">
      <c r="A1" t="s">
        <v>158</v>
      </c>
    </row>
    <row r="2" spans="1:3" ht="409.5" x14ac:dyDescent="0.25">
      <c r="B2" t="s">
        <v>159</v>
      </c>
      <c r="C2" s="513" t="s">
        <v>179</v>
      </c>
    </row>
    <row r="3" spans="1:3" x14ac:dyDescent="0.25">
      <c r="B3" t="s">
        <v>160</v>
      </c>
      <c r="C3" t="s">
        <v>339</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dimension ref="A1:AP112"/>
  <sheetViews>
    <sheetView topLeftCell="S1" zoomScale="80" zoomScaleNormal="80" workbookViewId="0">
      <selection activeCell="F8" sqref="F8"/>
    </sheetView>
  </sheetViews>
  <sheetFormatPr baseColWidth="10" defaultRowHeight="15" x14ac:dyDescent="0.25"/>
  <cols>
    <col min="2" max="2" width="3" bestFit="1" customWidth="1"/>
    <col min="3" max="3" width="3.28515625" bestFit="1" customWidth="1"/>
    <col min="4" max="4" width="4.7109375" bestFit="1" customWidth="1"/>
    <col min="36" max="36" width="11.140625" customWidth="1"/>
    <col min="37" max="37" width="11.140625" bestFit="1" customWidth="1"/>
    <col min="38" max="38" width="10.85546875" bestFit="1" customWidth="1"/>
    <col min="39" max="39" width="8.5703125" bestFit="1" customWidth="1"/>
    <col min="40" max="40" width="12.140625" bestFit="1" customWidth="1"/>
    <col min="41" max="41" width="11.140625" bestFit="1" customWidth="1"/>
  </cols>
  <sheetData>
    <row r="1" spans="1:42" x14ac:dyDescent="0.25">
      <c r="A1" t="s">
        <v>9</v>
      </c>
      <c r="E1" t="s">
        <v>10</v>
      </c>
      <c r="H1" t="s">
        <v>21</v>
      </c>
      <c r="N1" s="121"/>
    </row>
    <row r="2" spans="1:42" x14ac:dyDescent="0.25">
      <c r="A2">
        <v>1</v>
      </c>
      <c r="E2" t="s">
        <v>16</v>
      </c>
      <c r="F2" s="1" t="s">
        <v>2</v>
      </c>
      <c r="I2" s="1"/>
      <c r="AH2">
        <v>2019</v>
      </c>
      <c r="AJ2" s="189"/>
      <c r="AK2" s="141" t="s">
        <v>329</v>
      </c>
      <c r="AL2" s="675" t="s">
        <v>331</v>
      </c>
      <c r="AM2" s="674" t="s">
        <v>333</v>
      </c>
      <c r="AN2" s="673" t="s">
        <v>330</v>
      </c>
      <c r="AO2" s="673" t="s">
        <v>332</v>
      </c>
      <c r="AP2" s="673" t="s">
        <v>344</v>
      </c>
    </row>
    <row r="3" spans="1:42" x14ac:dyDescent="0.25">
      <c r="A3">
        <f>A2+1</f>
        <v>2</v>
      </c>
      <c r="E3" t="s">
        <v>17</v>
      </c>
      <c r="F3" s="1" t="s">
        <v>3</v>
      </c>
      <c r="I3" s="1"/>
      <c r="AG3">
        <v>2020</v>
      </c>
      <c r="AJ3" s="191" t="s">
        <v>334</v>
      </c>
      <c r="AK3" s="676">
        <f>graphs!J5</f>
        <v>142.75575901885998</v>
      </c>
      <c r="AL3" s="678">
        <f>graphs!N5</f>
        <v>183.03514003758721</v>
      </c>
      <c r="AM3" s="677">
        <f>graphs!L5</f>
        <v>206.36126585877378</v>
      </c>
      <c r="AN3" s="677">
        <f>graphs!M5</f>
        <v>230.46271593687152</v>
      </c>
      <c r="AO3" s="677">
        <f>graphs!K5</f>
        <v>234.77034012312299</v>
      </c>
      <c r="AP3" s="677">
        <f>graphs!O5</f>
        <v>227.96856269349993</v>
      </c>
    </row>
    <row r="4" spans="1:42" x14ac:dyDescent="0.25">
      <c r="A4">
        <f t="shared" ref="A4:A6" si="0">A3+1</f>
        <v>3</v>
      </c>
      <c r="E4" t="s">
        <v>18</v>
      </c>
      <c r="F4" s="1" t="s">
        <v>4</v>
      </c>
      <c r="I4" s="1"/>
      <c r="AG4" s="327"/>
      <c r="AH4" s="327"/>
    </row>
    <row r="5" spans="1:42" x14ac:dyDescent="0.25">
      <c r="A5">
        <f t="shared" si="0"/>
        <v>4</v>
      </c>
      <c r="E5" t="s">
        <v>19</v>
      </c>
      <c r="F5" s="1" t="s">
        <v>5</v>
      </c>
      <c r="I5" s="1"/>
      <c r="AG5" s="327"/>
      <c r="AH5" s="327"/>
    </row>
    <row r="6" spans="1:42" x14ac:dyDescent="0.25">
      <c r="A6">
        <f t="shared" si="0"/>
        <v>5</v>
      </c>
      <c r="E6" t="s">
        <v>20</v>
      </c>
      <c r="F6" s="1" t="s">
        <v>6</v>
      </c>
      <c r="I6" s="1"/>
      <c r="AG6" s="327"/>
      <c r="AH6" s="327"/>
    </row>
    <row r="7" spans="1:42" x14ac:dyDescent="0.25">
      <c r="A7">
        <v>6</v>
      </c>
      <c r="E7" t="s">
        <v>352</v>
      </c>
      <c r="F7" s="173" t="s">
        <v>353</v>
      </c>
      <c r="H7" s="1"/>
      <c r="I7" s="1"/>
      <c r="AG7" s="327"/>
      <c r="AH7" s="327"/>
    </row>
    <row r="8" spans="1:42" x14ac:dyDescent="0.25">
      <c r="H8" s="1"/>
      <c r="I8" s="1"/>
      <c r="AG8" s="327"/>
      <c r="AH8" s="327"/>
    </row>
    <row r="9" spans="1:42" x14ac:dyDescent="0.25">
      <c r="H9" s="1"/>
      <c r="I9" s="1"/>
      <c r="AG9" s="327"/>
      <c r="AH9" s="327"/>
    </row>
    <row r="10" spans="1:42" x14ac:dyDescent="0.25">
      <c r="H10" s="1"/>
      <c r="I10" s="1"/>
      <c r="AG10" s="327"/>
      <c r="AH10" s="327"/>
    </row>
    <row r="11" spans="1:42" x14ac:dyDescent="0.25">
      <c r="AG11" s="327"/>
      <c r="AH11" s="327"/>
    </row>
    <row r="12" spans="1:42" x14ac:dyDescent="0.25">
      <c r="N12" s="121"/>
      <c r="AG12" s="327"/>
      <c r="AH12" s="327"/>
    </row>
    <row r="13" spans="1:42" x14ac:dyDescent="0.25">
      <c r="AG13" s="327">
        <v>2030</v>
      </c>
      <c r="AH13" s="327">
        <v>2030</v>
      </c>
    </row>
    <row r="14" spans="1:42" x14ac:dyDescent="0.25">
      <c r="AG14" s="327"/>
      <c r="AH14" s="327"/>
    </row>
    <row r="15" spans="1:42" x14ac:dyDescent="0.25">
      <c r="N15" s="121"/>
      <c r="AG15" s="327"/>
      <c r="AH15" s="327"/>
    </row>
    <row r="16" spans="1:42" x14ac:dyDescent="0.25">
      <c r="AG16" s="327"/>
      <c r="AH16" s="327"/>
    </row>
    <row r="17" spans="20:34" x14ac:dyDescent="0.25">
      <c r="AG17" s="327"/>
      <c r="AH17" s="327"/>
    </row>
    <row r="18" spans="20:34" x14ac:dyDescent="0.25">
      <c r="AG18" s="327"/>
      <c r="AH18" s="327"/>
    </row>
    <row r="19" spans="20:34" x14ac:dyDescent="0.25">
      <c r="AG19" s="327"/>
      <c r="AH19" s="327"/>
    </row>
    <row r="20" spans="20:34" x14ac:dyDescent="0.25">
      <c r="AG20" s="327"/>
      <c r="AH20" s="327"/>
    </row>
    <row r="21" spans="20:34" x14ac:dyDescent="0.25">
      <c r="AG21" s="327"/>
      <c r="AH21" s="327"/>
    </row>
    <row r="22" spans="20:34" x14ac:dyDescent="0.25">
      <c r="AG22" s="327"/>
      <c r="AH22" s="327"/>
    </row>
    <row r="23" spans="20:34" x14ac:dyDescent="0.25">
      <c r="AG23" s="327">
        <v>2040</v>
      </c>
      <c r="AH23" s="327">
        <v>2040</v>
      </c>
    </row>
    <row r="24" spans="20:34" x14ac:dyDescent="0.25">
      <c r="AG24" s="327"/>
      <c r="AH24" s="327"/>
    </row>
    <row r="25" spans="20:34" x14ac:dyDescent="0.25">
      <c r="T25" t="s">
        <v>184</v>
      </c>
      <c r="AG25" s="327"/>
      <c r="AH25" s="327"/>
    </row>
    <row r="26" spans="20:34" x14ac:dyDescent="0.25">
      <c r="T26" t="s">
        <v>181</v>
      </c>
      <c r="AG26" s="327"/>
      <c r="AH26" s="327"/>
    </row>
    <row r="27" spans="20:34" x14ac:dyDescent="0.25">
      <c r="T27" t="s">
        <v>182</v>
      </c>
      <c r="AG27" s="327"/>
      <c r="AH27" s="327"/>
    </row>
    <row r="28" spans="20:34" x14ac:dyDescent="0.25">
      <c r="T28" t="s">
        <v>183</v>
      </c>
      <c r="AG28" s="327"/>
      <c r="AH28" s="327"/>
    </row>
    <row r="29" spans="20:34" x14ac:dyDescent="0.25">
      <c r="AG29" s="327"/>
      <c r="AH29" s="327"/>
    </row>
    <row r="30" spans="20:34" x14ac:dyDescent="0.25">
      <c r="AG30" s="327"/>
      <c r="AH30" s="327"/>
    </row>
    <row r="31" spans="20:34" x14ac:dyDescent="0.25">
      <c r="AG31" s="327"/>
      <c r="AH31" s="327"/>
    </row>
    <row r="32" spans="20:34" x14ac:dyDescent="0.25">
      <c r="AG32" s="327"/>
      <c r="AH32" s="327"/>
    </row>
    <row r="33" spans="33:34" x14ac:dyDescent="0.25">
      <c r="AG33" s="327">
        <v>2050</v>
      </c>
      <c r="AH33" s="327">
        <v>2050</v>
      </c>
    </row>
    <row r="34" spans="33:34" x14ac:dyDescent="0.25">
      <c r="AG34" s="327"/>
      <c r="AH34" s="327"/>
    </row>
    <row r="35" spans="33:34" x14ac:dyDescent="0.25">
      <c r="AG35" s="327"/>
      <c r="AH35" s="327"/>
    </row>
    <row r="36" spans="33:34" x14ac:dyDescent="0.25">
      <c r="AG36" s="327"/>
      <c r="AH36" s="327"/>
    </row>
    <row r="37" spans="33:34" x14ac:dyDescent="0.25">
      <c r="AG37" s="327"/>
      <c r="AH37" s="327"/>
    </row>
    <row r="38" spans="33:34" x14ac:dyDescent="0.25">
      <c r="AG38" s="327"/>
      <c r="AH38" s="327"/>
    </row>
    <row r="39" spans="33:34" x14ac:dyDescent="0.25">
      <c r="AG39" s="327"/>
      <c r="AH39" s="327"/>
    </row>
    <row r="40" spans="33:34" x14ac:dyDescent="0.25">
      <c r="AG40" s="327"/>
      <c r="AH40" s="327"/>
    </row>
    <row r="41" spans="33:34" x14ac:dyDescent="0.25">
      <c r="AG41" s="327"/>
      <c r="AH41" s="327"/>
    </row>
    <row r="42" spans="33:34" x14ac:dyDescent="0.25">
      <c r="AG42" s="327"/>
      <c r="AH42" s="327"/>
    </row>
    <row r="43" spans="33:34" x14ac:dyDescent="0.25">
      <c r="AG43" s="327"/>
      <c r="AH43" s="327">
        <v>2060</v>
      </c>
    </row>
    <row r="44" spans="33:34" x14ac:dyDescent="0.25">
      <c r="AG44" s="327"/>
      <c r="AH44" s="327"/>
    </row>
    <row r="45" spans="33:34" x14ac:dyDescent="0.25">
      <c r="AG45" s="327"/>
      <c r="AH45" s="327"/>
    </row>
    <row r="46" spans="33:34" x14ac:dyDescent="0.25">
      <c r="AG46" s="327"/>
      <c r="AH46" s="327"/>
    </row>
    <row r="47" spans="33:34" x14ac:dyDescent="0.25">
      <c r="AG47" s="327"/>
      <c r="AH47" s="327"/>
    </row>
    <row r="48" spans="33:34" x14ac:dyDescent="0.25">
      <c r="AG48" s="327"/>
      <c r="AH48" s="327"/>
    </row>
    <row r="49" spans="33:34" x14ac:dyDescent="0.25">
      <c r="AG49" s="327"/>
      <c r="AH49" s="327"/>
    </row>
    <row r="50" spans="33:34" x14ac:dyDescent="0.25">
      <c r="AG50" s="327"/>
      <c r="AH50" s="327"/>
    </row>
    <row r="51" spans="33:34" x14ac:dyDescent="0.25">
      <c r="AG51" s="327"/>
      <c r="AH51" s="327"/>
    </row>
    <row r="52" spans="33:34" x14ac:dyDescent="0.25">
      <c r="AG52" s="327"/>
      <c r="AH52" s="327"/>
    </row>
    <row r="53" spans="33:34" x14ac:dyDescent="0.25">
      <c r="AG53" s="327"/>
      <c r="AH53" s="327">
        <v>2070</v>
      </c>
    </row>
    <row r="54" spans="33:34" x14ac:dyDescent="0.25">
      <c r="AG54" s="327"/>
      <c r="AH54" s="327"/>
    </row>
    <row r="55" spans="33:34" x14ac:dyDescent="0.25">
      <c r="AG55" s="327"/>
      <c r="AH55" s="327"/>
    </row>
    <row r="56" spans="33:34" x14ac:dyDescent="0.25">
      <c r="AG56" s="327"/>
      <c r="AH56" s="327"/>
    </row>
    <row r="57" spans="33:34" x14ac:dyDescent="0.25">
      <c r="AG57" s="327"/>
      <c r="AH57" s="327"/>
    </row>
    <row r="58" spans="33:34" x14ac:dyDescent="0.25">
      <c r="AG58" s="327"/>
      <c r="AH58" s="327"/>
    </row>
    <row r="59" spans="33:34" x14ac:dyDescent="0.25">
      <c r="AG59" s="327"/>
      <c r="AH59" s="327"/>
    </row>
    <row r="60" spans="33:34" x14ac:dyDescent="0.25">
      <c r="AG60" s="327"/>
      <c r="AH60" s="327"/>
    </row>
    <row r="61" spans="33:34" x14ac:dyDescent="0.25">
      <c r="AG61" s="327"/>
      <c r="AH61" s="327"/>
    </row>
    <row r="62" spans="33:34" x14ac:dyDescent="0.25">
      <c r="AG62" s="327"/>
      <c r="AH62" s="327"/>
    </row>
    <row r="63" spans="33:34" x14ac:dyDescent="0.25">
      <c r="AG63" s="327"/>
      <c r="AH63" s="327">
        <v>2080</v>
      </c>
    </row>
    <row r="64" spans="33:34" x14ac:dyDescent="0.25">
      <c r="AG64" s="327"/>
      <c r="AH64" s="327"/>
    </row>
    <row r="65" spans="33:34" x14ac:dyDescent="0.25">
      <c r="AG65" s="327"/>
      <c r="AH65" s="327"/>
    </row>
    <row r="66" spans="33:34" x14ac:dyDescent="0.25">
      <c r="AG66" s="327"/>
      <c r="AH66" s="327"/>
    </row>
    <row r="67" spans="33:34" x14ac:dyDescent="0.25">
      <c r="AG67" s="327"/>
      <c r="AH67" s="327"/>
    </row>
    <row r="68" spans="33:34" x14ac:dyDescent="0.25">
      <c r="AG68" s="327"/>
      <c r="AH68" s="327"/>
    </row>
    <row r="69" spans="33:34" x14ac:dyDescent="0.25">
      <c r="AG69" s="327"/>
      <c r="AH69" s="327"/>
    </row>
    <row r="70" spans="33:34" x14ac:dyDescent="0.25">
      <c r="AG70" s="327"/>
      <c r="AH70" s="327"/>
    </row>
    <row r="71" spans="33:34" x14ac:dyDescent="0.25">
      <c r="AG71" s="327"/>
      <c r="AH71" s="327"/>
    </row>
    <row r="72" spans="33:34" x14ac:dyDescent="0.25">
      <c r="AG72" s="327"/>
      <c r="AH72" s="327"/>
    </row>
    <row r="73" spans="33:34" x14ac:dyDescent="0.25">
      <c r="AG73" s="327"/>
      <c r="AH73" s="327">
        <v>2090</v>
      </c>
    </row>
    <row r="74" spans="33:34" x14ac:dyDescent="0.25">
      <c r="AG74" s="327"/>
      <c r="AH74" s="327"/>
    </row>
    <row r="75" spans="33:34" x14ac:dyDescent="0.25">
      <c r="AG75" s="327"/>
      <c r="AH75" s="327"/>
    </row>
    <row r="76" spans="33:34" x14ac:dyDescent="0.25">
      <c r="AG76" s="327"/>
      <c r="AH76" s="327"/>
    </row>
    <row r="77" spans="33:34" x14ac:dyDescent="0.25">
      <c r="AG77" s="327"/>
      <c r="AH77" s="327"/>
    </row>
    <row r="78" spans="33:34" x14ac:dyDescent="0.25">
      <c r="AG78" s="327"/>
      <c r="AH78" s="327"/>
    </row>
    <row r="79" spans="33:34" x14ac:dyDescent="0.25">
      <c r="AG79" s="327"/>
      <c r="AH79" s="327"/>
    </row>
    <row r="80" spans="33:34" x14ac:dyDescent="0.25">
      <c r="AG80" s="327"/>
      <c r="AH80" s="327"/>
    </row>
    <row r="81" spans="33:34" x14ac:dyDescent="0.25">
      <c r="AG81" s="327"/>
      <c r="AH81" s="327"/>
    </row>
    <row r="82" spans="33:34" x14ac:dyDescent="0.25">
      <c r="AG82" s="327"/>
      <c r="AH82" s="327"/>
    </row>
    <row r="83" spans="33:34" x14ac:dyDescent="0.25">
      <c r="AG83" s="327"/>
      <c r="AH83" s="327">
        <v>2100</v>
      </c>
    </row>
    <row r="112" spans="1:1" ht="15.75" x14ac:dyDescent="0.25">
      <c r="A112" s="188"/>
    </row>
  </sheetData>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P2:Y83"/>
  <sheetViews>
    <sheetView zoomScale="80" zoomScaleNormal="80" workbookViewId="0">
      <selection activeCell="T18" sqref="T18"/>
    </sheetView>
  </sheetViews>
  <sheetFormatPr baseColWidth="10" defaultRowHeight="15" x14ac:dyDescent="0.25"/>
  <cols>
    <col min="1" max="18" width="11.42578125" style="327"/>
    <col min="19" max="19" width="11.140625" style="327" customWidth="1"/>
    <col min="20" max="20" width="11.140625" style="327" bestFit="1" customWidth="1"/>
    <col min="21" max="21" width="10.85546875" style="327" bestFit="1" customWidth="1"/>
    <col min="22" max="22" width="8.5703125" style="327" bestFit="1" customWidth="1"/>
    <col min="23" max="23" width="12.140625" style="327" bestFit="1" customWidth="1"/>
    <col min="24" max="24" width="11.42578125" style="327"/>
    <col min="25" max="25" width="11.140625" style="327" bestFit="1" customWidth="1"/>
    <col min="26" max="16384" width="11.42578125" style="327"/>
  </cols>
  <sheetData>
    <row r="2" spans="16:25" x14ac:dyDescent="0.25">
      <c r="Q2" s="327">
        <v>2019</v>
      </c>
      <c r="S2" s="189"/>
      <c r="T2" s="141" t="s">
        <v>329</v>
      </c>
      <c r="U2" s="675" t="s">
        <v>331</v>
      </c>
      <c r="V2" s="674" t="s">
        <v>333</v>
      </c>
      <c r="W2" s="673" t="s">
        <v>344</v>
      </c>
      <c r="X2" s="673" t="s">
        <v>330</v>
      </c>
      <c r="Y2" s="675" t="s">
        <v>332</v>
      </c>
    </row>
    <row r="3" spans="16:25" x14ac:dyDescent="0.25">
      <c r="P3" s="327">
        <v>2020</v>
      </c>
      <c r="S3" s="191" t="s">
        <v>334</v>
      </c>
      <c r="T3" s="676">
        <f>graphs!J5</f>
        <v>142.75575901885998</v>
      </c>
      <c r="U3" s="678">
        <f>graphs!N5</f>
        <v>183.03514003758721</v>
      </c>
      <c r="V3" s="677">
        <f>graphs!L5</f>
        <v>206.36126585877378</v>
      </c>
      <c r="W3" s="677">
        <f>graphs!O5</f>
        <v>227.96856269349993</v>
      </c>
      <c r="X3" s="677">
        <f>graphs!M5</f>
        <v>230.46271593687152</v>
      </c>
      <c r="Y3" s="678">
        <f>graphs!K5</f>
        <v>234.77034012312299</v>
      </c>
    </row>
    <row r="13" spans="16:25" x14ac:dyDescent="0.25">
      <c r="P13" s="327">
        <v>2030</v>
      </c>
      <c r="Q13" s="327">
        <v>2030</v>
      </c>
    </row>
    <row r="23" spans="16:17" x14ac:dyDescent="0.25">
      <c r="P23" s="327">
        <v>2040</v>
      </c>
      <c r="Q23" s="327">
        <v>2040</v>
      </c>
    </row>
    <row r="33" spans="16:17" x14ac:dyDescent="0.25">
      <c r="P33" s="327">
        <v>2050</v>
      </c>
      <c r="Q33" s="327">
        <v>2050</v>
      </c>
    </row>
    <row r="43" spans="16:17" x14ac:dyDescent="0.25">
      <c r="Q43" s="327">
        <v>2060</v>
      </c>
    </row>
    <row r="53" spans="17:17" x14ac:dyDescent="0.25">
      <c r="Q53" s="327">
        <v>2070</v>
      </c>
    </row>
    <row r="63" spans="17:17" x14ac:dyDescent="0.25">
      <c r="Q63" s="327">
        <v>2080</v>
      </c>
    </row>
    <row r="73" spans="17:17" x14ac:dyDescent="0.25">
      <c r="Q73" s="327">
        <v>2090</v>
      </c>
    </row>
    <row r="83" spans="17:17" x14ac:dyDescent="0.25">
      <c r="Q83" s="327">
        <v>2100</v>
      </c>
    </row>
  </sheetData>
  <pageMargins left="0.7" right="0.7" top="0.78740157499999996" bottom="0.78740157499999996"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8</vt:i4>
      </vt:variant>
    </vt:vector>
  </HeadingPairs>
  <TitlesOfParts>
    <vt:vector size="21" baseType="lpstr">
      <vt:lpstr>navi</vt:lpstr>
      <vt:lpstr>summary</vt:lpstr>
      <vt:lpstr>base data</vt:lpstr>
      <vt:lpstr>graphs</vt:lpstr>
      <vt:lpstr>goal seek</vt:lpstr>
      <vt:lpstr>scenarios</vt:lpstr>
      <vt:lpstr>IPCC SR15 graphs</vt:lpstr>
      <vt:lpstr>IPCC SR15 paths P1-P4</vt:lpstr>
      <vt:lpstr>IPCC SR15 data</vt:lpstr>
      <vt:lpstr>GCP</vt:lpstr>
      <vt:lpstr>imprint</vt:lpstr>
      <vt:lpstr>Intern</vt:lpstr>
      <vt:lpstr>wp</vt:lpstr>
      <vt:lpstr>'base data'!Druckbereich</vt:lpstr>
      <vt:lpstr>graphs!Druckbereich</vt:lpstr>
      <vt:lpstr>imprint!Druckbereich</vt:lpstr>
      <vt:lpstr>'IPCC SR15 graphs'!Druckbereich</vt:lpstr>
      <vt:lpstr>navi!Druckbereich</vt:lpstr>
      <vt:lpstr>scenarios!Druckbereich</vt:lpstr>
      <vt:lpstr>summary!Druckbereich</vt:lpstr>
      <vt:lpstr>scenarios!solver_lhs2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Regensburger Modell</dc:title>
  <dc:subject>Weltklimavertrag 2015</dc:subject>
  <dc:creator>Sargl/Wolfsteiner/Wittmann</dc:creator>
  <cp:keywords>Klimarechner</cp:keywords>
  <dc:description>Anmerkungen an: klima-retten@email.de</dc:description>
  <cp:lastModifiedBy>RM</cp:lastModifiedBy>
  <cp:lastPrinted>2018-01-03T13:24:06Z</cp:lastPrinted>
  <dcterms:created xsi:type="dcterms:W3CDTF">2013-12-19T14:30:02Z</dcterms:created>
  <dcterms:modified xsi:type="dcterms:W3CDTF">2020-01-01T08:39:22Z</dcterms:modified>
  <cp:category>Globale Climate Calculator</cp:category>
</cp:coreProperties>
</file>