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l Zhang\Desktop\"/>
    </mc:Choice>
  </mc:AlternateContent>
  <xr:revisionPtr revIDLastSave="0" documentId="13_ncr:1_{28A40830-438D-4804-BA2F-2CE0113C2669}" xr6:coauthVersionLast="45" xr6:coauthVersionMax="45" xr10:uidLastSave="{00000000-0000-0000-0000-000000000000}"/>
  <bookViews>
    <workbookView xWindow="5685" yWindow="1665" windowWidth="18480" windowHeight="12855" activeTab="2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  <c r="J13" i="3" l="1"/>
  <c r="L14" i="3"/>
  <c r="L15" i="3"/>
  <c r="L16" i="3"/>
  <c r="L17" i="3"/>
  <c r="L18" i="3"/>
  <c r="L19" i="3"/>
  <c r="L20" i="3"/>
  <c r="L21" i="3"/>
  <c r="L22" i="3"/>
  <c r="L23" i="3"/>
  <c r="L24" i="3"/>
  <c r="L13" i="3"/>
  <c r="J14" i="3"/>
  <c r="J15" i="3"/>
  <c r="J16" i="3"/>
  <c r="J17" i="3"/>
  <c r="J18" i="3"/>
  <c r="J19" i="3"/>
  <c r="J20" i="3"/>
  <c r="J21" i="3"/>
  <c r="J22" i="3"/>
  <c r="J23" i="3"/>
  <c r="J24" i="3"/>
  <c r="G2" i="3"/>
  <c r="I2" i="3"/>
  <c r="K2" i="3"/>
  <c r="K3" i="3"/>
  <c r="K4" i="3"/>
  <c r="K5" i="3"/>
  <c r="K6" i="3"/>
  <c r="K7" i="3"/>
  <c r="K8" i="3"/>
  <c r="K9" i="3"/>
  <c r="K10" i="3"/>
  <c r="K11" i="3"/>
  <c r="G3" i="3"/>
  <c r="G4" i="3"/>
  <c r="G5" i="3"/>
  <c r="G6" i="3"/>
  <c r="G7" i="3"/>
  <c r="G8" i="3"/>
  <c r="G9" i="3"/>
  <c r="G10" i="3"/>
  <c r="G11" i="3"/>
  <c r="U3" i="1"/>
  <c r="U4" i="1"/>
  <c r="U5" i="1"/>
  <c r="U6" i="1"/>
  <c r="U7" i="1"/>
  <c r="U8" i="1"/>
  <c r="U9" i="1"/>
  <c r="U10" i="1"/>
  <c r="U2" i="1"/>
  <c r="U12" i="1"/>
  <c r="I3" i="3" l="1"/>
  <c r="I4" i="3"/>
  <c r="I5" i="3"/>
  <c r="I6" i="3"/>
  <c r="I7" i="3"/>
  <c r="I8" i="3"/>
  <c r="I9" i="3"/>
  <c r="I10" i="3"/>
  <c r="I11" i="3"/>
  <c r="D3" i="3"/>
  <c r="D4" i="3"/>
  <c r="D5" i="3"/>
  <c r="D6" i="3"/>
  <c r="D7" i="3"/>
  <c r="D8" i="3"/>
  <c r="D9" i="3"/>
  <c r="D10" i="3"/>
  <c r="D11" i="3"/>
  <c r="D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" i="3"/>
  <c r="X21" i="3"/>
  <c r="X22" i="3"/>
  <c r="S3" i="3"/>
  <c r="S4" i="3"/>
  <c r="S5" i="3"/>
  <c r="S6" i="3"/>
  <c r="S7" i="3"/>
  <c r="S8" i="3"/>
  <c r="S9" i="3"/>
  <c r="S10" i="3"/>
  <c r="S11" i="3"/>
  <c r="S2" i="3"/>
  <c r="O11" i="3"/>
  <c r="O3" i="3"/>
  <c r="O4" i="3"/>
  <c r="O5" i="3"/>
  <c r="O6" i="3"/>
  <c r="O7" i="3"/>
  <c r="O8" i="3"/>
  <c r="O9" i="3"/>
  <c r="O10" i="3"/>
  <c r="O2" i="3"/>
  <c r="Y12" i="3" l="1"/>
  <c r="F13" i="1"/>
  <c r="F32" i="1"/>
  <c r="F31" i="1"/>
  <c r="F30" i="1"/>
  <c r="F29" i="1"/>
  <c r="F28" i="1"/>
  <c r="F27" i="1"/>
  <c r="F26" i="1"/>
  <c r="F25" i="1"/>
  <c r="F24" i="1"/>
  <c r="F17" i="1" l="1"/>
  <c r="O10" i="1"/>
  <c r="O9" i="1"/>
  <c r="O8" i="1"/>
  <c r="O7" i="1"/>
  <c r="O6" i="1"/>
  <c r="O5" i="1"/>
  <c r="O4" i="1"/>
  <c r="O3" i="1"/>
  <c r="O2" i="1"/>
  <c r="L10" i="1"/>
  <c r="L9" i="1"/>
  <c r="L8" i="1"/>
  <c r="L7" i="1"/>
  <c r="L6" i="1"/>
  <c r="L5" i="1"/>
  <c r="L4" i="1"/>
  <c r="L3" i="1"/>
  <c r="L2" i="1"/>
  <c r="Q20" i="1"/>
  <c r="P20" i="1"/>
  <c r="N20" i="1"/>
  <c r="M20" i="1"/>
  <c r="K20" i="1"/>
  <c r="J20" i="1"/>
  <c r="I20" i="1"/>
  <c r="U20" i="1" s="1"/>
  <c r="H20" i="1"/>
  <c r="G20" i="1"/>
  <c r="E20" i="1"/>
  <c r="D20" i="1"/>
  <c r="C20" i="1"/>
  <c r="B13" i="1"/>
  <c r="B14" i="1"/>
  <c r="B15" i="1"/>
  <c r="B16" i="1"/>
  <c r="B17" i="1"/>
  <c r="B18" i="1"/>
  <c r="B19" i="1"/>
  <c r="B20" i="1"/>
  <c r="L20" i="1" l="1"/>
  <c r="F20" i="1"/>
  <c r="O20" i="1"/>
  <c r="Q12" i="1" l="1"/>
  <c r="R10" i="1"/>
  <c r="R9" i="1"/>
  <c r="R8" i="1"/>
  <c r="R7" i="1"/>
  <c r="R6" i="1"/>
  <c r="R5" i="1"/>
  <c r="R4" i="1"/>
  <c r="R2" i="1"/>
  <c r="R12" i="1" s="1"/>
  <c r="R3" i="1"/>
  <c r="L13" i="1"/>
  <c r="L14" i="1"/>
  <c r="L15" i="1"/>
  <c r="L16" i="1"/>
  <c r="L17" i="1"/>
  <c r="L18" i="1"/>
  <c r="L19" i="1"/>
  <c r="R16" i="1" l="1"/>
  <c r="R15" i="1"/>
  <c r="R18" i="1"/>
  <c r="R14" i="1"/>
  <c r="R17" i="1"/>
  <c r="R19" i="1"/>
  <c r="R13" i="1"/>
  <c r="R20" i="1"/>
  <c r="T20" i="1" s="1"/>
  <c r="Q13" i="1"/>
  <c r="Q14" i="1"/>
  <c r="Q15" i="1"/>
  <c r="Q16" i="1"/>
  <c r="Q17" i="1"/>
  <c r="Q18" i="1"/>
  <c r="Q19" i="1"/>
  <c r="P13" i="1"/>
  <c r="P14" i="1"/>
  <c r="P15" i="1"/>
  <c r="P16" i="1"/>
  <c r="P17" i="1"/>
  <c r="P18" i="1"/>
  <c r="P19" i="1"/>
  <c r="O13" i="1"/>
  <c r="O14" i="1"/>
  <c r="O15" i="1"/>
  <c r="O16" i="1"/>
  <c r="O17" i="1"/>
  <c r="O18" i="1"/>
  <c r="O19" i="1"/>
  <c r="N13" i="1"/>
  <c r="N14" i="1"/>
  <c r="N15" i="1"/>
  <c r="N16" i="1"/>
  <c r="N17" i="1"/>
  <c r="N18" i="1"/>
  <c r="N19" i="1"/>
  <c r="N12" i="1"/>
  <c r="O12" i="1"/>
  <c r="P12" i="1"/>
  <c r="M13" i="1"/>
  <c r="M14" i="1"/>
  <c r="M15" i="1"/>
  <c r="M16" i="1"/>
  <c r="M17" i="1"/>
  <c r="M18" i="1"/>
  <c r="M19" i="1"/>
  <c r="M12" i="1"/>
  <c r="K13" i="1"/>
  <c r="K14" i="1"/>
  <c r="K15" i="1"/>
  <c r="K16" i="1"/>
  <c r="K17" i="1"/>
  <c r="K18" i="1"/>
  <c r="K19" i="1"/>
  <c r="K12" i="1"/>
  <c r="L12" i="1"/>
  <c r="J13" i="1"/>
  <c r="J14" i="1"/>
  <c r="J15" i="1"/>
  <c r="J16" i="1"/>
  <c r="J17" i="1"/>
  <c r="J18" i="1"/>
  <c r="J19" i="1"/>
  <c r="J12" i="1"/>
  <c r="I13" i="1"/>
  <c r="U13" i="1" s="1"/>
  <c r="I14" i="1"/>
  <c r="U14" i="1" s="1"/>
  <c r="I15" i="1"/>
  <c r="U15" i="1" s="1"/>
  <c r="I16" i="1"/>
  <c r="U16" i="1" s="1"/>
  <c r="I17" i="1"/>
  <c r="U17" i="1" s="1"/>
  <c r="I18" i="1"/>
  <c r="I19" i="1"/>
  <c r="I12" i="1"/>
  <c r="H13" i="1"/>
  <c r="H14" i="1"/>
  <c r="H15" i="1"/>
  <c r="H16" i="1"/>
  <c r="H17" i="1"/>
  <c r="H18" i="1"/>
  <c r="H19" i="1"/>
  <c r="H12" i="1"/>
  <c r="G13" i="1"/>
  <c r="G14" i="1"/>
  <c r="G15" i="1"/>
  <c r="G16" i="1"/>
  <c r="G17" i="1"/>
  <c r="G18" i="1"/>
  <c r="G19" i="1"/>
  <c r="G12" i="1"/>
  <c r="F14" i="1"/>
  <c r="F15" i="1"/>
  <c r="F16" i="1"/>
  <c r="F18" i="1"/>
  <c r="F19" i="1"/>
  <c r="F12" i="1"/>
  <c r="E13" i="1"/>
  <c r="E14" i="1"/>
  <c r="E15" i="1"/>
  <c r="E16" i="1"/>
  <c r="E17" i="1"/>
  <c r="E18" i="1"/>
  <c r="E19" i="1"/>
  <c r="E12" i="1"/>
  <c r="D13" i="1"/>
  <c r="D14" i="1"/>
  <c r="D15" i="1"/>
  <c r="D16" i="1"/>
  <c r="D17" i="1"/>
  <c r="D18" i="1"/>
  <c r="D19" i="1"/>
  <c r="D12" i="1"/>
  <c r="C13" i="1"/>
  <c r="C14" i="1"/>
  <c r="C15" i="1"/>
  <c r="C16" i="1"/>
  <c r="C17" i="1"/>
  <c r="C18" i="1"/>
  <c r="C19" i="1"/>
  <c r="C12" i="1"/>
  <c r="B12" i="1"/>
  <c r="U19" i="1" l="1"/>
  <c r="U18" i="1"/>
  <c r="T15" i="1"/>
  <c r="T12" i="1"/>
  <c r="T17" i="1"/>
  <c r="T13" i="1"/>
  <c r="T19" i="1"/>
  <c r="T18" i="1"/>
  <c r="T16" i="1"/>
  <c r="T14" i="1"/>
</calcChain>
</file>

<file path=xl/sharedStrings.xml><?xml version="1.0" encoding="utf-8"?>
<sst xmlns="http://schemas.openxmlformats.org/spreadsheetml/2006/main" count="75" uniqueCount="57">
  <si>
    <t>Chile</t>
  </si>
  <si>
    <t>China</t>
  </si>
  <si>
    <t>Germany</t>
  </si>
  <si>
    <t>India</t>
  </si>
  <si>
    <t>Indonesia</t>
  </si>
  <si>
    <t>Mexico</t>
  </si>
  <si>
    <t>United Kingdom</t>
  </si>
  <si>
    <t>United States</t>
  </si>
  <si>
    <t>Japan</t>
  </si>
  <si>
    <t>R1-Government expenditure on tertiary education as % of GDP (%)</t>
  </si>
  <si>
    <t>E1-Qualitative index of the policy and regulatory environment</t>
  </si>
  <si>
    <t>E2-Gini index (World Bank estimate)</t>
  </si>
  <si>
    <t>O9-Higher education employment rate</t>
  </si>
  <si>
    <t>O9-non Higher education employment rate</t>
  </si>
  <si>
    <t>R3-R&amp;D expenditure (% of GDP)</t>
    <phoneticPr fontId="1" type="noConversion"/>
  </si>
  <si>
    <t xml:space="preserve">R4-Expenditure on R&amp;D in tertiary institutions (PPP) per head of population </t>
    <phoneticPr fontId="1" type="noConversion"/>
  </si>
  <si>
    <t>O1-total article number</t>
  </si>
  <si>
    <t>O2-total article per head of population</t>
  </si>
  <si>
    <t>O3-Average impact of articles</t>
  </si>
  <si>
    <t>O4-university ranking per head of population</t>
  </si>
  <si>
    <t>O6-Tertiary enrolment rates</t>
  </si>
  <si>
    <t>O7-Percentage of population over 24 with a tertiary qualification</t>
  </si>
  <si>
    <t>O8-Number of researchers in the nation per head of population</t>
  </si>
  <si>
    <t>total with ratio</t>
  </si>
  <si>
    <t>Q1-Q3 with ratio 2:4:4</t>
  </si>
  <si>
    <t>C1-international student ratio</t>
  </si>
  <si>
    <t>C2-collaboration article ratio</t>
  </si>
  <si>
    <t>O9-ratio</t>
  </si>
  <si>
    <t>Employment In Agriculture (% Of Total Employment)</t>
  </si>
  <si>
    <t>Employment In Industrial (% Of Total Employment)</t>
  </si>
  <si>
    <t>GDP: https://www.statista.com/statistics/370021/share-of-economic-sectors-in-the-gdp-in-chile/</t>
  </si>
  <si>
    <t>AE: https://tradingeconomics.com/chile/employment-in-agriculture-percent-of-total-employment-wb-data.html</t>
  </si>
  <si>
    <t>IE: https://www.statista.com/statistics/370372/employment-by-economic-sector-in-chile/</t>
  </si>
  <si>
    <t>GDP From Agriculture (%)</t>
  </si>
  <si>
    <t>GDP From Industry (%)</t>
  </si>
  <si>
    <t>Expenditure on tertiary education (% of government expenditure on education)</t>
  </si>
  <si>
    <t>government expenditure on education</t>
  </si>
  <si>
    <t>Expenditure on tertiary education</t>
  </si>
  <si>
    <t>population</t>
  </si>
  <si>
    <t>new born population</t>
  </si>
  <si>
    <t>1987-97 births per 1000 people</t>
  </si>
  <si>
    <t>Capital investment</t>
  </si>
  <si>
    <t>K</t>
  </si>
  <si>
    <t>employed people</t>
  </si>
  <si>
    <t>GDP(million)</t>
  </si>
  <si>
    <t>Employment In Agriculture</t>
  </si>
  <si>
    <t>Employment In Industrial</t>
  </si>
  <si>
    <t>GDP From Agriculture</t>
  </si>
  <si>
    <t>GDP From Industry</t>
  </si>
  <si>
    <t>china alternative</t>
  </si>
  <si>
    <t>Chile Average Yearly Salary</t>
  </si>
  <si>
    <t>2016极大落差:奇妙的数据</t>
  </si>
  <si>
    <t>Hourly Wages in Manufacturing Index</t>
  </si>
  <si>
    <t>Employed people</t>
  </si>
  <si>
    <t>https://tradingeconomics.com/chile/wages-in-manufacturing</t>
  </si>
  <si>
    <t>Labor Force Participation Rate</t>
  </si>
  <si>
    <t>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</si>
</sst>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 sz="2400" b="1"/>
              <a:t>Government expenditure on tertiary education as a percentage of GDP in different Countries</a:t>
            </a:r>
            <a:endParaRPr lang="zh-CN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AE-48E5-A620-A21C7A935AC7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AE-48E5-A620-A21C7A935AC7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AE-48E5-A620-A21C7A935AC7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E-48E5-A620-A21C7A935AC7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E-48E5-A620-A21C7A935AC7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4AE-48E5-A620-A21C7A935AC7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4AE-48E5-A620-A21C7A935AC7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4AE-48E5-A620-A21C7A935AC7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4AE-48E5-A620-A21C7A935AC7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Chile</c:v>
                </c:pt>
                <c:pt idx="1">
                  <c:v>China</c:v>
                </c:pt>
                <c:pt idx="2">
                  <c:v>Germany</c:v>
                </c:pt>
                <c:pt idx="3">
                  <c:v>Japan</c:v>
                </c:pt>
                <c:pt idx="4">
                  <c:v>India</c:v>
                </c:pt>
                <c:pt idx="5">
                  <c:v>Indonesia</c:v>
                </c:pt>
                <c:pt idx="6">
                  <c:v>Mexico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1.17E-2</c:v>
                </c:pt>
                <c:pt idx="1">
                  <c:v>4.4999999999999997E-3</c:v>
                </c:pt>
                <c:pt idx="2">
                  <c:v>1.32E-2</c:v>
                </c:pt>
                <c:pt idx="3">
                  <c:v>7.7999999999999996E-3</c:v>
                </c:pt>
                <c:pt idx="4">
                  <c:v>1.23E-2</c:v>
                </c:pt>
                <c:pt idx="5">
                  <c:v>5.0000000000000001E-3</c:v>
                </c:pt>
                <c:pt idx="6">
                  <c:v>9.2999999999999992E-3</c:v>
                </c:pt>
                <c:pt idx="7">
                  <c:v>1.3599999999999999E-2</c:v>
                </c:pt>
                <c:pt idx="8">
                  <c:v>1.3599999999999999E-2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A-4394-8A2F-FF22B4E791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554816496"/>
        <c:axId val="1012875120"/>
      </c:barChart>
      <c:catAx>
        <c:axId val="155481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Countries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10" b="0" i="0" u="none" strike="noStrike" kern="1200" cap="small" spc="20" normalizeH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75120"/>
        <c:crosses val="autoZero"/>
        <c:auto val="1"/>
        <c:lblAlgn val="ctr"/>
        <c:lblOffset val="100"/>
        <c:noMultiLvlLbl val="0"/>
      </c:catAx>
      <c:valAx>
        <c:axId val="10128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percentage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1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 sz="2400" b="1"/>
              <a:t>O1-O3 with ratio 2:4:4</a:t>
            </a:r>
          </a:p>
          <a:p>
            <a:pPr>
              <a:defRPr/>
            </a:pPr>
            <a:r>
              <a:rPr lang="en-AU" sz="2400" b="1"/>
              <a:t>O1: Total number of journal articles</a:t>
            </a:r>
          </a:p>
          <a:p>
            <a:pPr>
              <a:defRPr/>
            </a:pPr>
            <a:r>
              <a:rPr lang="en-AU" sz="2400" b="1"/>
              <a:t>O2: Total articles per head of population</a:t>
            </a:r>
          </a:p>
          <a:p>
            <a:pPr>
              <a:defRPr/>
            </a:pPr>
            <a:r>
              <a:rPr lang="en-AU" sz="2400" b="1"/>
              <a:t>O3: Average impact of articles</a:t>
            </a:r>
            <a:endParaRPr lang="zh-CN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CE-443C-9634-58AF200FC2AB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CE-443C-9634-58AF200FC2AB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CE-443C-9634-58AF200FC2AB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E-443C-9634-58AF200FC2AB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CE-443C-9634-58AF200FC2AB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CE-443C-9634-58AF200FC2AB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CE-443C-9634-58AF200FC2AB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CCE-443C-9634-58AF200FC2AB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CCE-443C-9634-58AF200FC2AB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Chile</c:v>
                </c:pt>
                <c:pt idx="1">
                  <c:v>China</c:v>
                </c:pt>
                <c:pt idx="2">
                  <c:v>Germany</c:v>
                </c:pt>
                <c:pt idx="3">
                  <c:v>Japan</c:v>
                </c:pt>
                <c:pt idx="4">
                  <c:v>India</c:v>
                </c:pt>
                <c:pt idx="5">
                  <c:v>Indonesia</c:v>
                </c:pt>
                <c:pt idx="6">
                  <c:v>Mexico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Sheet1!$U$2:$U$10</c:f>
              <c:numCache>
                <c:formatCode>General</c:formatCode>
                <c:ptCount val="9"/>
                <c:pt idx="0">
                  <c:v>3097.4102483957363</c:v>
                </c:pt>
                <c:pt idx="1">
                  <c:v>136809.60071236279</c:v>
                </c:pt>
                <c:pt idx="2">
                  <c:v>36728.003711270743</c:v>
                </c:pt>
                <c:pt idx="3">
                  <c:v>26461.603551545191</c:v>
                </c:pt>
                <c:pt idx="4">
                  <c:v>37402.801389419437</c:v>
                </c:pt>
                <c:pt idx="5">
                  <c:v>8915.2022293787049</c:v>
                </c:pt>
                <c:pt idx="6">
                  <c:v>5508.4066799181883</c:v>
                </c:pt>
                <c:pt idx="7">
                  <c:v>42503.804074240579</c:v>
                </c:pt>
                <c:pt idx="8">
                  <c:v>135639.40223366072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8-45EF-88D0-67C6749DB2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566052000"/>
        <c:axId val="1563407552"/>
      </c:barChart>
      <c:catAx>
        <c:axId val="156605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Countries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small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407552"/>
        <c:crosses val="autoZero"/>
        <c:auto val="1"/>
        <c:lblAlgn val="ctr"/>
        <c:lblOffset val="100"/>
        <c:noMultiLvlLbl val="0"/>
      </c:catAx>
      <c:valAx>
        <c:axId val="15634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index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0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 sz="2400" b="1" i="0" cap="none" baseline="0"/>
              <a:t>Tertiary enrolment rates in different countries</a:t>
            </a:r>
            <a:endParaRPr lang="zh-CN" sz="2400" b="1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C59-4113-BFBA-96694F76CBD6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A5-43CC-BEC2-F71E30A6A5A7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A5-43CC-BEC2-F71E30A6A5A7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A5-43CC-BEC2-F71E30A6A5A7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6A5-43CC-BEC2-F71E30A6A5A7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6A5-43CC-BEC2-F71E30A6A5A7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6A5-43CC-BEC2-F71E30A6A5A7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6A5-43CC-BEC2-F71E30A6A5A7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6A5-43CC-BEC2-F71E30A6A5A7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Chile</c:v>
                </c:pt>
                <c:pt idx="1">
                  <c:v>China</c:v>
                </c:pt>
                <c:pt idx="2">
                  <c:v>Germany</c:v>
                </c:pt>
                <c:pt idx="3">
                  <c:v>Japan</c:v>
                </c:pt>
                <c:pt idx="4">
                  <c:v>India</c:v>
                </c:pt>
                <c:pt idx="5">
                  <c:v>Indonesia</c:v>
                </c:pt>
                <c:pt idx="6">
                  <c:v>Mexico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Sheet1!$M$2:$M$10</c:f>
              <c:numCache>
                <c:formatCode>General</c:formatCode>
                <c:ptCount val="9"/>
                <c:pt idx="0">
                  <c:v>91</c:v>
                </c:pt>
                <c:pt idx="1">
                  <c:v>54</c:v>
                </c:pt>
                <c:pt idx="2">
                  <c:v>70</c:v>
                </c:pt>
                <c:pt idx="3">
                  <c:v>63</c:v>
                </c:pt>
                <c:pt idx="4">
                  <c:v>29</c:v>
                </c:pt>
                <c:pt idx="5">
                  <c:v>36</c:v>
                </c:pt>
                <c:pt idx="6">
                  <c:v>42</c:v>
                </c:pt>
                <c:pt idx="7">
                  <c:v>61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9-4113-BFBA-96694F76CB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586063776"/>
        <c:axId val="1559639616"/>
      </c:barChart>
      <c:catAx>
        <c:axId val="15860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 i="0" baseline="0"/>
                  <a:t>Countries</a:t>
                </a:r>
                <a:endParaRPr lang="en-US" sz="1800" b="1" i="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small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639616"/>
        <c:crosses val="autoZero"/>
        <c:auto val="1"/>
        <c:lblAlgn val="ctr"/>
        <c:lblOffset val="100"/>
        <c:noMultiLvlLbl val="0"/>
      </c:catAx>
      <c:valAx>
        <c:axId val="15596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 i="0" baseline="0"/>
                  <a:t>Tertiary enrolment rates</a:t>
                </a:r>
                <a:endParaRPr lang="en-US" sz="1800" b="1" i="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6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all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 sz="2400" b="1"/>
              <a:t>Ratio of employment rate of the tertiary educated and non</a:t>
            </a:r>
            <a:r>
              <a:rPr lang="en-AU" sz="2400" b="1" baseline="0"/>
              <a:t> </a:t>
            </a:r>
            <a:r>
              <a:rPr lang="en-AU" sz="2400" b="1"/>
              <a:t>higher educated in different countries</a:t>
            </a:r>
            <a:endParaRPr lang="zh-CN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A6-46B3-9157-7A304A6AF087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A6-46B3-9157-7A304A6AF087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A6-46B3-9157-7A304A6AF087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A6-46B3-9157-7A304A6AF087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A6-46B3-9157-7A304A6AF087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5A6-46B3-9157-7A304A6AF087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5A6-46B3-9157-7A304A6AF087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5A6-46B3-9157-7A304A6AF087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5A6-46B3-9157-7A304A6AF087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Chile</c:v>
                </c:pt>
                <c:pt idx="1">
                  <c:v>China</c:v>
                </c:pt>
                <c:pt idx="2">
                  <c:v>Germany</c:v>
                </c:pt>
                <c:pt idx="3">
                  <c:v>Japan</c:v>
                </c:pt>
                <c:pt idx="4">
                  <c:v>India</c:v>
                </c:pt>
                <c:pt idx="5">
                  <c:v>Indonesia</c:v>
                </c:pt>
                <c:pt idx="6">
                  <c:v>Mexico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Sheet1!$R$2:$R$10</c:f>
              <c:numCache>
                <c:formatCode>General</c:formatCode>
                <c:ptCount val="9"/>
                <c:pt idx="0">
                  <c:v>0.8571428571428571</c:v>
                </c:pt>
                <c:pt idx="1">
                  <c:v>1.0131147540983607</c:v>
                </c:pt>
                <c:pt idx="2">
                  <c:v>0.93258426966292129</c:v>
                </c:pt>
                <c:pt idx="3">
                  <c:v>0.94186046511627908</c:v>
                </c:pt>
                <c:pt idx="4">
                  <c:v>0.91764705882352937</c:v>
                </c:pt>
                <c:pt idx="5">
                  <c:v>0.87058823529411766</c:v>
                </c:pt>
                <c:pt idx="6">
                  <c:v>0.9</c:v>
                </c:pt>
                <c:pt idx="7">
                  <c:v>0.93103448275862066</c:v>
                </c:pt>
                <c:pt idx="8">
                  <c:v>0.94666666666666666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17-40D2-8D2E-E6DEB990BB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753701408"/>
        <c:axId val="1559637952"/>
      </c:barChart>
      <c:catAx>
        <c:axId val="175370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Countries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small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637952"/>
        <c:crosses val="autoZero"/>
        <c:auto val="1"/>
        <c:lblAlgn val="ctr"/>
        <c:lblOffset val="100"/>
        <c:noMultiLvlLbl val="0"/>
      </c:catAx>
      <c:valAx>
        <c:axId val="15596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1"/>
                  <a:t>Ratio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0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86138</xdr:colOff>
      <xdr:row>64</xdr:row>
      <xdr:rowOff>23804</xdr:rowOff>
    </xdr:from>
    <xdr:to>
      <xdr:col>10</xdr:col>
      <xdr:colOff>428127</xdr:colOff>
      <xdr:row>92</xdr:row>
      <xdr:rowOff>111961</xdr:rowOff>
    </xdr:to>
    <xdr:graphicFrame macro="">
      <xdr:nvGraphicFramePr>
        <xdr:cNvPr id="3" name="图表 2" descr="图表类型: 簇状柱形图。 “字段 2”按“字段 1”排列&#10;&#10;已自动生成说明">
          <a:extLst>
            <a:ext uri="{FF2B5EF4-FFF2-40B4-BE49-F238E27FC236}">
              <a16:creationId xmlns:a16="http://schemas.microsoft.com/office/drawing/2014/main" id="{1C41DC52-140E-4FC7-86EA-4A51466A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516789</xdr:colOff>
      <xdr:row>64</xdr:row>
      <xdr:rowOff>22791</xdr:rowOff>
    </xdr:from>
    <xdr:to>
      <xdr:col>23</xdr:col>
      <xdr:colOff>361248</xdr:colOff>
      <xdr:row>92</xdr:row>
      <xdr:rowOff>111961</xdr:rowOff>
    </xdr:to>
    <xdr:graphicFrame macro="">
      <xdr:nvGraphicFramePr>
        <xdr:cNvPr id="4" name="图表 3" descr="图表类型: 簇状柱形图。 “字段 2”按“字段 1”排列&#10;&#10;已自动生成说明">
          <a:extLst>
            <a:ext uri="{FF2B5EF4-FFF2-40B4-BE49-F238E27FC236}">
              <a16:creationId xmlns:a16="http://schemas.microsoft.com/office/drawing/2014/main" id="{6C434B34-ECA9-46EA-AEE0-665B37829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86139</xdr:colOff>
      <xdr:row>35</xdr:row>
      <xdr:rowOff>71429</xdr:rowOff>
    </xdr:from>
    <xdr:to>
      <xdr:col>10</xdr:col>
      <xdr:colOff>432324</xdr:colOff>
      <xdr:row>63</xdr:row>
      <xdr:rowOff>166680</xdr:rowOff>
    </xdr:to>
    <xdr:graphicFrame macro="">
      <xdr:nvGraphicFramePr>
        <xdr:cNvPr id="5" name="图表 4" descr="图表类型: 簇状柱形图。 “字段 2”按“字段 1”排列&#10;&#10;已自动生成说明">
          <a:extLst>
            <a:ext uri="{FF2B5EF4-FFF2-40B4-BE49-F238E27FC236}">
              <a16:creationId xmlns:a16="http://schemas.microsoft.com/office/drawing/2014/main" id="{FD8B01F4-25FB-4710-AC56-185BEC39B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523884</xdr:colOff>
      <xdr:row>35</xdr:row>
      <xdr:rowOff>81635</xdr:rowOff>
    </xdr:from>
    <xdr:to>
      <xdr:col>23</xdr:col>
      <xdr:colOff>357195</xdr:colOff>
      <xdr:row>63</xdr:row>
      <xdr:rowOff>176885</xdr:rowOff>
    </xdr:to>
    <xdr:graphicFrame macro="">
      <xdr:nvGraphicFramePr>
        <xdr:cNvPr id="6" name="图表 5" descr="图表类型: 簇状柱形图。 “字段 2”按“字段 1”排列&#10;&#10;已自动生成说明">
          <a:extLst>
            <a:ext uri="{FF2B5EF4-FFF2-40B4-BE49-F238E27FC236}">
              <a16:creationId xmlns:a16="http://schemas.microsoft.com/office/drawing/2014/main" id="{15EC328C-7DA3-4ED7-A9FF-E94A651ED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zoomScale="70" zoomScaleNormal="70" workbookViewId="0">
      <selection activeCell="U2" sqref="U2:U10"/>
    </sheetView>
  </sheetViews>
  <sheetFormatPr defaultColWidth="8.85546875" defaultRowHeight="15"/>
  <cols>
    <col min="1" max="1" width="18.7109375" customWidth="1"/>
    <col min="2" max="2" width="12" customWidth="1"/>
    <col min="3" max="5" width="9" bestFit="1" customWidth="1"/>
    <col min="6" max="6" width="17.7109375" customWidth="1"/>
    <col min="7" max="7" width="19.7109375" customWidth="1"/>
    <col min="8" max="9" width="9" bestFit="1" customWidth="1"/>
    <col min="10" max="10" width="12.28515625" customWidth="1"/>
    <col min="11" max="11" width="11.42578125" customWidth="1"/>
    <col min="12" max="12" width="20" customWidth="1"/>
    <col min="13" max="14" width="9" bestFit="1" customWidth="1"/>
    <col min="15" max="15" width="10.140625" customWidth="1"/>
    <col min="16" max="16" width="10.5703125" customWidth="1"/>
    <col min="17" max="18" width="9" bestFit="1" customWidth="1"/>
  </cols>
  <sheetData>
    <row r="1" spans="1:23">
      <c r="B1" t="s">
        <v>9</v>
      </c>
      <c r="C1" t="s">
        <v>14</v>
      </c>
      <c r="D1" t="s">
        <v>15</v>
      </c>
      <c r="E1" t="s">
        <v>10</v>
      </c>
      <c r="F1" t="s">
        <v>11</v>
      </c>
      <c r="G1" t="s">
        <v>25</v>
      </c>
      <c r="H1" t="s">
        <v>26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12</v>
      </c>
      <c r="Q1" t="s">
        <v>13</v>
      </c>
      <c r="R1" t="s">
        <v>27</v>
      </c>
      <c r="T1" t="s">
        <v>23</v>
      </c>
      <c r="U1" t="s">
        <v>24</v>
      </c>
    </row>
    <row r="2" spans="1:23">
      <c r="A2" t="s">
        <v>0</v>
      </c>
      <c r="B2">
        <v>1.17E-2</v>
      </c>
      <c r="C2">
        <v>0.36</v>
      </c>
      <c r="D2">
        <v>206.71029999999999</v>
      </c>
      <c r="E2">
        <v>1.22</v>
      </c>
      <c r="F2">
        <v>46.6</v>
      </c>
      <c r="G2">
        <v>0.45</v>
      </c>
      <c r="H2">
        <v>58.6</v>
      </c>
      <c r="I2">
        <v>15487</v>
      </c>
      <c r="J2">
        <v>8.2600000000000002E-4</v>
      </c>
      <c r="K2">
        <v>2.479498934E-2</v>
      </c>
      <c r="L2" s="2">
        <f>(0.2710035*0 + 0.23162194*0 + 0.19194866*0 + 0.14673279*0 + 0.10997666*0 + 0.03413069*1 + 0.01458576*3)/19116201*L22</f>
        <v>4.074448160489629E-3</v>
      </c>
      <c r="M2">
        <v>91</v>
      </c>
      <c r="N2">
        <v>26</v>
      </c>
      <c r="O2">
        <f>0.00002669193*L22</f>
        <v>26.691929999999999</v>
      </c>
      <c r="P2">
        <v>72</v>
      </c>
      <c r="Q2">
        <v>84</v>
      </c>
      <c r="R2">
        <f t="shared" ref="R2:R10" si="0" xml:space="preserve"> (P2/Q2)</f>
        <v>0.8571428571428571</v>
      </c>
      <c r="U2">
        <f xml:space="preserve"> I2*0.2+J2*0.4+K2*0.4</f>
        <v>3097.4102483957363</v>
      </c>
    </row>
    <row r="3" spans="1:23">
      <c r="A3" t="s">
        <v>1</v>
      </c>
      <c r="B3">
        <v>4.4999999999999997E-3</v>
      </c>
      <c r="C3">
        <v>2.19</v>
      </c>
      <c r="D3">
        <v>20.9376</v>
      </c>
      <c r="E3">
        <v>-0.24</v>
      </c>
      <c r="F3">
        <v>38.5</v>
      </c>
      <c r="G3">
        <v>1.7299999999999999E-2</v>
      </c>
      <c r="H3">
        <v>23.2</v>
      </c>
      <c r="I3">
        <v>684048</v>
      </c>
      <c r="J3">
        <v>4.8859999999999995E-4</v>
      </c>
      <c r="K3">
        <v>1.29230697E-3</v>
      </c>
      <c r="L3" s="2">
        <f>(0.2710035*0 + 0.23162194*6 + 0.19194866*24 + 0.14673279*38 + 0.10997666*57 + 0.03413069*81 + 0.01458576*87)/1439323776*L22</f>
        <v>1.5197805035077807E-2</v>
      </c>
      <c r="M3">
        <v>54</v>
      </c>
      <c r="N3">
        <v>10</v>
      </c>
      <c r="O3" s="1">
        <f>0.000000938262742*L22</f>
        <v>0.93826274200000004</v>
      </c>
      <c r="P3">
        <v>92.7</v>
      </c>
      <c r="Q3">
        <v>91.5</v>
      </c>
      <c r="R3">
        <f t="shared" si="0"/>
        <v>1.0131147540983607</v>
      </c>
      <c r="U3">
        <f t="shared" ref="U3:U10" si="1" xml:space="preserve"> I3*0.2+J3*0.4+K3*0.4</f>
        <v>136809.60071236279</v>
      </c>
    </row>
    <row r="4" spans="1:23">
      <c r="A4" t="s">
        <v>2</v>
      </c>
      <c r="B4">
        <v>1.32E-2</v>
      </c>
      <c r="C4">
        <v>3.09</v>
      </c>
      <c r="D4">
        <v>245.8476</v>
      </c>
      <c r="E4">
        <v>1.72</v>
      </c>
      <c r="F4">
        <v>31.9</v>
      </c>
      <c r="G4">
        <v>9.9700000000000006</v>
      </c>
      <c r="H4">
        <v>48.5</v>
      </c>
      <c r="I4">
        <v>183640</v>
      </c>
      <c r="J4">
        <v>2.2100000000000002E-3</v>
      </c>
      <c r="K4">
        <v>7.0681768599999998E-3</v>
      </c>
      <c r="L4" s="2">
        <f>(0.2710035*0 + 0.23162194*4 + 0.19194866*10 + 0.14673279*19 + 0.10997666*24 + 0.03413069*30 + 0.01458576*19)/83783942*L22</f>
        <v>0.11427472999539695</v>
      </c>
      <c r="M4">
        <v>70</v>
      </c>
      <c r="N4">
        <v>29</v>
      </c>
      <c r="O4">
        <f>0.00006295446*L22</f>
        <v>62.954459999999997</v>
      </c>
      <c r="P4">
        <v>83</v>
      </c>
      <c r="Q4">
        <v>89</v>
      </c>
      <c r="R4">
        <f t="shared" si="0"/>
        <v>0.93258426966292129</v>
      </c>
      <c r="U4">
        <f t="shared" si="1"/>
        <v>36728.003711270743</v>
      </c>
    </row>
    <row r="5" spans="1:23">
      <c r="A5" t="s">
        <v>8</v>
      </c>
      <c r="B5">
        <v>7.7999999999999996E-3</v>
      </c>
      <c r="C5">
        <v>3.26</v>
      </c>
      <c r="D5">
        <v>164.90950000000001</v>
      </c>
      <c r="E5">
        <v>1.33</v>
      </c>
      <c r="F5">
        <v>30.8</v>
      </c>
      <c r="G5">
        <v>4.7321398284292</v>
      </c>
      <c r="H5">
        <v>24.5</v>
      </c>
      <c r="I5">
        <v>132308</v>
      </c>
      <c r="J5">
        <v>1.0486486399999999E-3</v>
      </c>
      <c r="K5">
        <v>7.8302143400000006E-3</v>
      </c>
      <c r="L5" s="2">
        <f>(0.2710035*0 + 0.23162194*3 + 0.19194866*7 + 0.14673279*8 + 0.10997666*10 + 0.03413069*14 + 0.01458576*26)/126476461*L22</f>
        <v>4.0870805042528824E-2</v>
      </c>
      <c r="M5">
        <v>63</v>
      </c>
      <c r="N5">
        <v>60</v>
      </c>
      <c r="O5">
        <f>0.00004214229*L22</f>
        <v>42.142289999999996</v>
      </c>
      <c r="P5">
        <v>81</v>
      </c>
      <c r="Q5">
        <v>86</v>
      </c>
      <c r="R5">
        <f t="shared" si="0"/>
        <v>0.94186046511627908</v>
      </c>
      <c r="U5">
        <f t="shared" si="1"/>
        <v>26461.603551545191</v>
      </c>
    </row>
    <row r="6" spans="1:23">
      <c r="A6" t="s">
        <v>3</v>
      </c>
      <c r="B6">
        <v>1.23E-2</v>
      </c>
      <c r="C6">
        <v>0.65</v>
      </c>
      <c r="D6">
        <v>10.4293</v>
      </c>
      <c r="E6">
        <v>-0.16</v>
      </c>
      <c r="F6">
        <v>47.9</v>
      </c>
      <c r="G6">
        <v>0.13</v>
      </c>
      <c r="H6">
        <v>21.6</v>
      </c>
      <c r="I6">
        <v>187014</v>
      </c>
      <c r="J6">
        <v>1.3689999999999999E-4</v>
      </c>
      <c r="K6">
        <v>3.33664859E-3</v>
      </c>
      <c r="L6" s="2">
        <f>(0.2710035*0 + 0.23162194*0 + 0.19194866*0 + 0.14673279*0 + 0.10997666*0 + 0.03413069*0 + 0.01458576*15)/1380004385*L22</f>
        <v>1.5854036579746083E-4</v>
      </c>
      <c r="M6">
        <v>29</v>
      </c>
      <c r="N6">
        <v>12</v>
      </c>
      <c r="O6" s="1">
        <f>0.00000018699187*L22</f>
        <v>0.18699186999999998</v>
      </c>
      <c r="P6">
        <v>78</v>
      </c>
      <c r="Q6">
        <v>85</v>
      </c>
      <c r="R6">
        <f t="shared" si="0"/>
        <v>0.91764705882352937</v>
      </c>
      <c r="U6">
        <f t="shared" si="1"/>
        <v>37402.801389419437</v>
      </c>
    </row>
    <row r="7" spans="1:23">
      <c r="A7" t="s">
        <v>4</v>
      </c>
      <c r="B7">
        <v>5.0000000000000001E-3</v>
      </c>
      <c r="C7">
        <v>0.23</v>
      </c>
      <c r="D7">
        <v>7.6871999999999998</v>
      </c>
      <c r="E7">
        <v>-0.09</v>
      </c>
      <c r="F7">
        <v>38.6</v>
      </c>
      <c r="G7">
        <v>0.1</v>
      </c>
      <c r="H7">
        <v>85.7</v>
      </c>
      <c r="I7">
        <v>44576</v>
      </c>
      <c r="J7">
        <v>1.6694999999999999E-4</v>
      </c>
      <c r="K7">
        <v>5.4064967599999998E-3</v>
      </c>
      <c r="L7" s="2">
        <f>(0.2710035*0 + 0.23162194*0 + 0.19194866*0 + 0.14673279*0 + 0.10997666*0 + 0.03413069*0 + 0.01458576*0)*L22</f>
        <v>0</v>
      </c>
      <c r="M7">
        <v>36</v>
      </c>
      <c r="N7">
        <v>12</v>
      </c>
      <c r="O7" s="1">
        <f>0.000000806873366*L22</f>
        <v>0.80687336600000004</v>
      </c>
      <c r="P7">
        <v>74</v>
      </c>
      <c r="Q7">
        <v>85</v>
      </c>
      <c r="R7">
        <f t="shared" si="0"/>
        <v>0.87058823529411766</v>
      </c>
      <c r="U7">
        <f t="shared" si="1"/>
        <v>8915.2022293787049</v>
      </c>
    </row>
    <row r="8" spans="1:23">
      <c r="A8" t="s">
        <v>5</v>
      </c>
      <c r="B8">
        <v>9.2999999999999992E-3</v>
      </c>
      <c r="C8">
        <v>0.31</v>
      </c>
      <c r="D8">
        <v>24.373899999999999</v>
      </c>
      <c r="E8">
        <v>0.1</v>
      </c>
      <c r="F8">
        <v>46.3</v>
      </c>
      <c r="G8">
        <v>0.16</v>
      </c>
      <c r="H8">
        <v>43.8</v>
      </c>
      <c r="I8">
        <v>27542</v>
      </c>
      <c r="J8">
        <v>2.1588E-4</v>
      </c>
      <c r="K8">
        <v>1.6483915469999999E-2</v>
      </c>
      <c r="L8" s="2">
        <f>(0.2710035*0 + 0.23162194*0 + 0.19194866*0 + 0.14673279*1 + 0.10997666*1 + 0.03413069*1 + 0.01458576*1)/128932753*L22</f>
        <v>2.3688775186550158E-3</v>
      </c>
      <c r="M8">
        <v>42</v>
      </c>
      <c r="N8">
        <v>18</v>
      </c>
      <c r="O8" s="1">
        <f>0.00000255474*L22</f>
        <v>2.5547400000000002</v>
      </c>
      <c r="P8">
        <v>72</v>
      </c>
      <c r="Q8">
        <v>80</v>
      </c>
      <c r="R8">
        <f t="shared" si="0"/>
        <v>0.9</v>
      </c>
      <c r="U8">
        <f t="shared" si="1"/>
        <v>5508.4066799181883</v>
      </c>
    </row>
    <row r="9" spans="1:23">
      <c r="A9" t="s">
        <v>6</v>
      </c>
      <c r="B9">
        <v>1.3599999999999999E-2</v>
      </c>
      <c r="C9">
        <v>1.72</v>
      </c>
      <c r="D9">
        <v>183.10310000000001</v>
      </c>
      <c r="E9">
        <v>1.63</v>
      </c>
      <c r="F9">
        <v>34.799999999999997</v>
      </c>
      <c r="G9">
        <v>18.32</v>
      </c>
      <c r="H9">
        <v>47.3</v>
      </c>
      <c r="I9">
        <v>212519</v>
      </c>
      <c r="J9">
        <v>3.1885799999999999E-3</v>
      </c>
      <c r="K9">
        <v>6.9970214399999999E-3</v>
      </c>
      <c r="L9" s="2">
        <f>(0.2710035*3 + 0.23162194*8 + 0.19194866*20 + 0.14673279*28 + 0.10997666*34 + 0.03413069*36 + 0.01458576*29)/67886011*L22</f>
        <v>0.2357536615312395</v>
      </c>
      <c r="M9">
        <v>61</v>
      </c>
      <c r="N9">
        <v>46</v>
      </c>
      <c r="O9" s="1">
        <f>0.00006945827*L22</f>
        <v>69.458269999999999</v>
      </c>
      <c r="P9">
        <v>81</v>
      </c>
      <c r="Q9">
        <v>87</v>
      </c>
      <c r="R9">
        <f t="shared" si="0"/>
        <v>0.93103448275862066</v>
      </c>
      <c r="U9">
        <f t="shared" si="1"/>
        <v>42503.804074240579</v>
      </c>
    </row>
    <row r="10" spans="1:23">
      <c r="A10" t="s">
        <v>7</v>
      </c>
      <c r="B10">
        <v>1.3599999999999999E-2</v>
      </c>
      <c r="C10">
        <v>2.84</v>
      </c>
      <c r="D10">
        <v>206.71029999999999</v>
      </c>
      <c r="E10">
        <v>1.35</v>
      </c>
      <c r="F10">
        <v>41.1</v>
      </c>
      <c r="G10">
        <v>5.21</v>
      </c>
      <c r="H10">
        <v>30.5</v>
      </c>
      <c r="I10">
        <v>678197</v>
      </c>
      <c r="J10">
        <v>2.0660000000000001E-3</v>
      </c>
      <c r="K10">
        <v>3.5181518E-3</v>
      </c>
      <c r="L10" s="2">
        <f>(0.2710035*15 + 0.23162194*41 + 0.19194866*65 + 0.14673279*94 + 0.10997666*114 + 0.03413069*133 + 0.01458576*73)/331002651*L22</f>
        <v>0.17514233953975189</v>
      </c>
      <c r="M10">
        <v>88</v>
      </c>
      <c r="N10">
        <v>48</v>
      </c>
      <c r="O10" s="1">
        <f>0.0000135712*L22</f>
        <v>13.571199999999999</v>
      </c>
      <c r="P10">
        <v>71</v>
      </c>
      <c r="Q10">
        <v>75</v>
      </c>
      <c r="R10">
        <f t="shared" si="0"/>
        <v>0.94666666666666666</v>
      </c>
      <c r="U10">
        <f t="shared" si="1"/>
        <v>135639.40223366072</v>
      </c>
    </row>
    <row r="12" spans="1:23">
      <c r="A12" t="s">
        <v>0</v>
      </c>
      <c r="B12">
        <f t="shared" ref="B12:J12" si="2">B2/B$2</f>
        <v>1</v>
      </c>
      <c r="C12">
        <f t="shared" si="2"/>
        <v>1</v>
      </c>
      <c r="D12">
        <f t="shared" si="2"/>
        <v>1</v>
      </c>
      <c r="E12">
        <f t="shared" si="2"/>
        <v>1</v>
      </c>
      <c r="F12">
        <f t="shared" ref="F12:F20" si="3">F2/F$2</f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ref="K12:P12" si="4">K2/K$2</f>
        <v>1</v>
      </c>
      <c r="L12">
        <f t="shared" si="4"/>
        <v>1</v>
      </c>
      <c r="M12">
        <f t="shared" si="4"/>
        <v>1</v>
      </c>
      <c r="N12">
        <f t="shared" si="4"/>
        <v>1</v>
      </c>
      <c r="O12">
        <f t="shared" si="4"/>
        <v>1</v>
      </c>
      <c r="P12">
        <f t="shared" si="4"/>
        <v>1</v>
      </c>
      <c r="Q12">
        <f>Q2/Q$2</f>
        <v>1</v>
      </c>
      <c r="R12">
        <f t="shared" ref="R12:R20" si="5">R2/R$2</f>
        <v>1</v>
      </c>
      <c r="T12">
        <f t="shared" ref="T12:T20" si="6">V$12/3*B12+V$12/3*C12+V$12/3*D12+V$13/2*E12+V$13/2*F12+W$12/2*G12+W$12/2*H12+0.02*I12+W$13/8*J12+W$13/8*K12+W$13/8*L12+W$13/8*M12+W$13/8*N12+W$13/8*O12+0.1*R12</f>
        <v>1.0000000000000004</v>
      </c>
      <c r="U12">
        <f xml:space="preserve"> I12*0.2+J12*0.4+K12*0.4</f>
        <v>1</v>
      </c>
      <c r="V12">
        <v>0.3</v>
      </c>
      <c r="W12">
        <v>0.1</v>
      </c>
    </row>
    <row r="13" spans="1:23">
      <c r="A13" t="s">
        <v>1</v>
      </c>
      <c r="B13">
        <f t="shared" ref="B13" si="7">B3/B$2</f>
        <v>0.38461538461538458</v>
      </c>
      <c r="C13">
        <f t="shared" ref="C13:L20" si="8">C3/C$2</f>
        <v>6.083333333333333</v>
      </c>
      <c r="D13">
        <f t="shared" si="8"/>
        <v>0.10128958257038957</v>
      </c>
      <c r="E13">
        <f t="shared" si="8"/>
        <v>-0.19672131147540983</v>
      </c>
      <c r="F13">
        <f t="shared" si="3"/>
        <v>0.82618025751072954</v>
      </c>
      <c r="G13">
        <f t="shared" si="8"/>
        <v>3.8444444444444441E-2</v>
      </c>
      <c r="H13">
        <f t="shared" si="8"/>
        <v>0.39590443686006827</v>
      </c>
      <c r="I13">
        <f t="shared" si="8"/>
        <v>44.169174146057983</v>
      </c>
      <c r="J13">
        <f t="shared" si="8"/>
        <v>0.59152542372881345</v>
      </c>
      <c r="K13">
        <f t="shared" si="8"/>
        <v>5.2119682419673907E-2</v>
      </c>
      <c r="L13">
        <f t="shared" si="8"/>
        <v>3.7300278311189698</v>
      </c>
      <c r="M13">
        <f t="shared" ref="M13:Q13" si="9">M3/M$2</f>
        <v>0.59340659340659341</v>
      </c>
      <c r="N13">
        <f t="shared" si="9"/>
        <v>0.38461538461538464</v>
      </c>
      <c r="O13">
        <f t="shared" si="9"/>
        <v>3.5151551124253666E-2</v>
      </c>
      <c r="P13">
        <f t="shared" si="9"/>
        <v>1.2875000000000001</v>
      </c>
      <c r="Q13">
        <f t="shared" si="9"/>
        <v>1.0892857142857142</v>
      </c>
      <c r="R13">
        <f t="shared" si="5"/>
        <v>1.1819672131147543</v>
      </c>
      <c r="T13">
        <f t="shared" si="6"/>
        <v>2.0237074549551735</v>
      </c>
      <c r="U13">
        <f xml:space="preserve"> I13*0.2+J13*0.4+K13*0.4</f>
        <v>9.0912928716709924</v>
      </c>
      <c r="V13">
        <v>0.15</v>
      </c>
      <c r="W13">
        <v>0.44</v>
      </c>
    </row>
    <row r="14" spans="1:23">
      <c r="A14" t="s">
        <v>2</v>
      </c>
      <c r="B14">
        <f t="shared" ref="B14" si="10">B4/B$2</f>
        <v>1.1282051282051282</v>
      </c>
      <c r="C14">
        <f t="shared" si="8"/>
        <v>8.5833333333333339</v>
      </c>
      <c r="D14">
        <f t="shared" si="8"/>
        <v>1.1893340583415535</v>
      </c>
      <c r="E14">
        <f t="shared" si="8"/>
        <v>1.4098360655737705</v>
      </c>
      <c r="F14">
        <f t="shared" si="3"/>
        <v>0.68454935622317592</v>
      </c>
      <c r="G14">
        <f t="shared" si="8"/>
        <v>22.155555555555555</v>
      </c>
      <c r="H14">
        <f t="shared" si="8"/>
        <v>0.82764505119453924</v>
      </c>
      <c r="I14">
        <f t="shared" si="8"/>
        <v>11.857687092400077</v>
      </c>
      <c r="J14">
        <f t="shared" si="8"/>
        <v>2.6755447941888622</v>
      </c>
      <c r="K14">
        <f t="shared" si="8"/>
        <v>0.2850647267106266</v>
      </c>
      <c r="L14">
        <f t="shared" si="8"/>
        <v>28.046676628146002</v>
      </c>
      <c r="M14">
        <f t="shared" ref="M14:Q14" si="11">M4/M$2</f>
        <v>0.76923076923076927</v>
      </c>
      <c r="N14">
        <f t="shared" si="11"/>
        <v>1.1153846153846154</v>
      </c>
      <c r="O14">
        <f t="shared" si="11"/>
        <v>2.3585578112935259</v>
      </c>
      <c r="P14">
        <f t="shared" si="11"/>
        <v>1.1527777777777777</v>
      </c>
      <c r="Q14">
        <f t="shared" si="11"/>
        <v>1.0595238095238095</v>
      </c>
      <c r="R14">
        <f t="shared" si="5"/>
        <v>1.0880149812734083</v>
      </c>
      <c r="T14">
        <f t="shared" si="6"/>
        <v>4.6810566929081121</v>
      </c>
      <c r="U14">
        <f t="shared" ref="U14:U20" si="12" xml:space="preserve"> I14*0.2+J14*0.4+K14*0.4</f>
        <v>3.555781226839811</v>
      </c>
    </row>
    <row r="15" spans="1:23">
      <c r="A15" t="s">
        <v>8</v>
      </c>
      <c r="B15">
        <f t="shared" ref="B15" si="13">B5/B$2</f>
        <v>0.66666666666666663</v>
      </c>
      <c r="C15">
        <f t="shared" si="8"/>
        <v>9.0555555555555554</v>
      </c>
      <c r="D15">
        <f t="shared" si="8"/>
        <v>0.79778075886881306</v>
      </c>
      <c r="E15">
        <f t="shared" si="8"/>
        <v>1.0901639344262295</v>
      </c>
      <c r="F15">
        <f t="shared" si="3"/>
        <v>0.66094420600858372</v>
      </c>
      <c r="G15">
        <f t="shared" si="8"/>
        <v>10.515866285398221</v>
      </c>
      <c r="H15">
        <f t="shared" si="8"/>
        <v>0.41808873720136519</v>
      </c>
      <c r="I15">
        <f t="shared" si="8"/>
        <v>8.5431652353586873</v>
      </c>
      <c r="J15">
        <f t="shared" si="8"/>
        <v>1.269550411622276</v>
      </c>
      <c r="K15">
        <f t="shared" si="8"/>
        <v>0.31579825393867261</v>
      </c>
      <c r="L15">
        <f t="shared" si="8"/>
        <v>10.031003815156494</v>
      </c>
      <c r="M15">
        <f t="shared" ref="M15:Q15" si="14">M5/M$2</f>
        <v>0.69230769230769229</v>
      </c>
      <c r="N15">
        <f t="shared" si="14"/>
        <v>2.3076923076923075</v>
      </c>
      <c r="O15">
        <f t="shared" si="14"/>
        <v>1.5788401213400454</v>
      </c>
      <c r="P15">
        <f t="shared" si="14"/>
        <v>1.125</v>
      </c>
      <c r="Q15">
        <f t="shared" si="14"/>
        <v>1.0238095238095237</v>
      </c>
      <c r="R15">
        <f t="shared" si="5"/>
        <v>1.0988372093023258</v>
      </c>
      <c r="T15">
        <f t="shared" si="6"/>
        <v>2.9015137785222622</v>
      </c>
      <c r="U15">
        <f t="shared" si="12"/>
        <v>2.3427725132961168</v>
      </c>
    </row>
    <row r="16" spans="1:23">
      <c r="A16" t="s">
        <v>3</v>
      </c>
      <c r="B16">
        <f t="shared" ref="B16" si="15">B6/B$2</f>
        <v>1.0512820512820513</v>
      </c>
      <c r="C16">
        <f t="shared" si="8"/>
        <v>1.8055555555555556</v>
      </c>
      <c r="D16">
        <f t="shared" si="8"/>
        <v>5.0453702597306471E-2</v>
      </c>
      <c r="E16">
        <f t="shared" si="8"/>
        <v>-0.13114754098360656</v>
      </c>
      <c r="F16">
        <f t="shared" si="3"/>
        <v>1.0278969957081545</v>
      </c>
      <c r="G16">
        <f t="shared" si="8"/>
        <v>0.28888888888888892</v>
      </c>
      <c r="H16">
        <f t="shared" si="8"/>
        <v>0.36860068259385664</v>
      </c>
      <c r="I16">
        <f t="shared" si="8"/>
        <v>12.075547233163299</v>
      </c>
      <c r="J16">
        <f t="shared" si="8"/>
        <v>0.16573849878934624</v>
      </c>
      <c r="K16">
        <f t="shared" si="8"/>
        <v>0.13456947063966757</v>
      </c>
      <c r="L16">
        <f t="shared" si="8"/>
        <v>3.8910880578833754E-2</v>
      </c>
      <c r="M16">
        <f t="shared" ref="M16:Q16" si="16">M6/M$2</f>
        <v>0.31868131868131866</v>
      </c>
      <c r="N16">
        <f t="shared" si="16"/>
        <v>0.46153846153846156</v>
      </c>
      <c r="O16">
        <f t="shared" si="16"/>
        <v>7.0055582342678103E-3</v>
      </c>
      <c r="P16">
        <f t="shared" si="16"/>
        <v>1.0833333333333333</v>
      </c>
      <c r="Q16">
        <f t="shared" si="16"/>
        <v>1.0119047619047619</v>
      </c>
      <c r="R16">
        <f t="shared" si="5"/>
        <v>1.0705882352941176</v>
      </c>
      <c r="T16">
        <f t="shared" si="6"/>
        <v>0.8013840171800517</v>
      </c>
      <c r="U16">
        <f t="shared" si="12"/>
        <v>2.5352326344042653</v>
      </c>
    </row>
    <row r="17" spans="1:21">
      <c r="A17" t="s">
        <v>4</v>
      </c>
      <c r="B17">
        <f t="shared" ref="B17" si="17">B7/B$2</f>
        <v>0.42735042735042733</v>
      </c>
      <c r="C17">
        <f t="shared" si="8"/>
        <v>0.63888888888888895</v>
      </c>
      <c r="D17">
        <f t="shared" si="8"/>
        <v>3.7188277507216622E-2</v>
      </c>
      <c r="E17">
        <f t="shared" si="8"/>
        <v>-7.3770491803278687E-2</v>
      </c>
      <c r="F17">
        <f t="shared" si="3"/>
        <v>0.8283261802575107</v>
      </c>
      <c r="G17">
        <f t="shared" si="8"/>
        <v>0.22222222222222224</v>
      </c>
      <c r="H17">
        <f t="shared" si="8"/>
        <v>1.4624573378839592</v>
      </c>
      <c r="I17">
        <f t="shared" si="8"/>
        <v>2.8782850132369084</v>
      </c>
      <c r="J17">
        <f t="shared" si="8"/>
        <v>0.20211864406779659</v>
      </c>
      <c r="K17">
        <f t="shared" si="8"/>
        <v>0.21804795661993215</v>
      </c>
      <c r="L17">
        <f t="shared" si="8"/>
        <v>0</v>
      </c>
      <c r="M17">
        <f t="shared" ref="M17:Q17" si="18">M7/M$2</f>
        <v>0.39560439560439559</v>
      </c>
      <c r="N17">
        <f t="shared" si="18"/>
        <v>0.46153846153846156</v>
      </c>
      <c r="O17">
        <f t="shared" si="18"/>
        <v>3.0229112919148225E-2</v>
      </c>
      <c r="P17">
        <f t="shared" si="18"/>
        <v>1.0277777777777777</v>
      </c>
      <c r="Q17">
        <f t="shared" si="18"/>
        <v>1.0119047619047619</v>
      </c>
      <c r="R17">
        <f t="shared" si="5"/>
        <v>1.0156862745098041</v>
      </c>
      <c r="T17">
        <f t="shared" si="6"/>
        <v>0.48221736312098373</v>
      </c>
      <c r="U17">
        <f t="shared" si="12"/>
        <v>0.74372364292247328</v>
      </c>
    </row>
    <row r="18" spans="1:21">
      <c r="A18" t="s">
        <v>5</v>
      </c>
      <c r="B18">
        <f t="shared" ref="B18" si="19">B8/B$2</f>
        <v>0.79487179487179482</v>
      </c>
      <c r="C18">
        <f t="shared" si="8"/>
        <v>0.86111111111111116</v>
      </c>
      <c r="D18">
        <f t="shared" si="8"/>
        <v>0.1179133308790128</v>
      </c>
      <c r="E18">
        <f t="shared" si="8"/>
        <v>8.1967213114754106E-2</v>
      </c>
      <c r="F18">
        <f t="shared" si="3"/>
        <v>0.99356223175965652</v>
      </c>
      <c r="G18">
        <f t="shared" si="8"/>
        <v>0.35555555555555557</v>
      </c>
      <c r="H18">
        <f t="shared" si="8"/>
        <v>0.74744027303754257</v>
      </c>
      <c r="I18">
        <f t="shared" si="8"/>
        <v>1.7783947827209918</v>
      </c>
      <c r="J18">
        <f t="shared" si="8"/>
        <v>0.26135593220338982</v>
      </c>
      <c r="K18">
        <f t="shared" si="8"/>
        <v>0.66480833058506972</v>
      </c>
      <c r="L18">
        <f t="shared" si="8"/>
        <v>0.58139836987651017</v>
      </c>
      <c r="M18">
        <f t="shared" ref="M18:Q18" si="20">M8/M$2</f>
        <v>0.46153846153846156</v>
      </c>
      <c r="N18">
        <f t="shared" si="20"/>
        <v>0.69230769230769229</v>
      </c>
      <c r="O18">
        <f t="shared" si="20"/>
        <v>9.5712074773161793E-2</v>
      </c>
      <c r="P18">
        <f t="shared" si="20"/>
        <v>1</v>
      </c>
      <c r="Q18">
        <f t="shared" si="20"/>
        <v>0.95238095238095233</v>
      </c>
      <c r="R18">
        <f t="shared" si="5"/>
        <v>1.05</v>
      </c>
      <c r="T18">
        <f t="shared" si="6"/>
        <v>0.60541366650648309</v>
      </c>
      <c r="U18">
        <f t="shared" si="12"/>
        <v>0.72614466165958225</v>
      </c>
    </row>
    <row r="19" spans="1:21">
      <c r="A19" t="s">
        <v>6</v>
      </c>
      <c r="B19">
        <f t="shared" ref="B19" si="21">B9/B$2</f>
        <v>1.1623931623931623</v>
      </c>
      <c r="C19">
        <f t="shared" si="8"/>
        <v>4.7777777777777777</v>
      </c>
      <c r="D19">
        <f t="shared" si="8"/>
        <v>0.88579572474134105</v>
      </c>
      <c r="E19">
        <f t="shared" si="8"/>
        <v>1.3360655737704918</v>
      </c>
      <c r="F19">
        <f t="shared" si="3"/>
        <v>0.74678111587982821</v>
      </c>
      <c r="G19">
        <f t="shared" si="8"/>
        <v>40.711111111111109</v>
      </c>
      <c r="H19">
        <f t="shared" si="8"/>
        <v>0.80716723549488045</v>
      </c>
      <c r="I19">
        <f t="shared" si="8"/>
        <v>13.722412345838444</v>
      </c>
      <c r="J19">
        <f t="shared" si="8"/>
        <v>3.8602663438256655</v>
      </c>
      <c r="K19">
        <f t="shared" si="8"/>
        <v>0.28219497673718297</v>
      </c>
      <c r="L19">
        <f t="shared" si="8"/>
        <v>57.86149491785627</v>
      </c>
      <c r="M19">
        <f t="shared" ref="M19:Q20" si="22">M9/M$2</f>
        <v>0.67032967032967028</v>
      </c>
      <c r="N19">
        <f t="shared" si="22"/>
        <v>1.7692307692307692</v>
      </c>
      <c r="O19">
        <f t="shared" si="22"/>
        <v>2.6022198469724747</v>
      </c>
      <c r="P19">
        <f t="shared" si="22"/>
        <v>1.125</v>
      </c>
      <c r="Q19">
        <f t="shared" si="22"/>
        <v>1.0357142857142858</v>
      </c>
      <c r="R19">
        <f t="shared" si="5"/>
        <v>1.0862068965517242</v>
      </c>
      <c r="T19">
        <f t="shared" si="6"/>
        <v>6.9853085309896041</v>
      </c>
      <c r="U19">
        <f t="shared" si="12"/>
        <v>4.4014669973928289</v>
      </c>
    </row>
    <row r="20" spans="1:21">
      <c r="A20" t="s">
        <v>7</v>
      </c>
      <c r="B20">
        <f t="shared" ref="B20" si="23">B10/B$2</f>
        <v>1.1623931623931623</v>
      </c>
      <c r="C20">
        <f t="shared" si="8"/>
        <v>7.8888888888888884</v>
      </c>
      <c r="D20">
        <f t="shared" si="8"/>
        <v>1</v>
      </c>
      <c r="E20">
        <f t="shared" si="8"/>
        <v>1.1065573770491803</v>
      </c>
      <c r="F20">
        <f t="shared" si="3"/>
        <v>0.88197424892703868</v>
      </c>
      <c r="G20">
        <f t="shared" si="8"/>
        <v>11.577777777777778</v>
      </c>
      <c r="H20">
        <f t="shared" si="8"/>
        <v>0.52047781569965867</v>
      </c>
      <c r="I20">
        <f t="shared" si="8"/>
        <v>43.791373409956741</v>
      </c>
      <c r="J20">
        <f t="shared" si="8"/>
        <v>2.5012106537530268</v>
      </c>
      <c r="K20">
        <f t="shared" si="8"/>
        <v>0.14188962744680092</v>
      </c>
      <c r="L20">
        <f t="shared" si="8"/>
        <v>42.985536357567725</v>
      </c>
      <c r="M20">
        <f t="shared" si="22"/>
        <v>0.96703296703296704</v>
      </c>
      <c r="N20">
        <f t="shared" si="22"/>
        <v>1.8461538461538463</v>
      </c>
      <c r="O20">
        <f t="shared" si="22"/>
        <v>0.50843831824824959</v>
      </c>
      <c r="P20">
        <f t="shared" si="22"/>
        <v>0.98611111111111116</v>
      </c>
      <c r="Q20">
        <f t="shared" si="22"/>
        <v>0.8928571428571429</v>
      </c>
      <c r="R20">
        <f t="shared" si="5"/>
        <v>1.1044444444444446</v>
      </c>
      <c r="T20">
        <f t="shared" si="6"/>
        <v>5.4377171667550162</v>
      </c>
      <c r="U20">
        <f t="shared" si="12"/>
        <v>9.8155147944712802</v>
      </c>
    </row>
    <row r="22" spans="1:21">
      <c r="L22">
        <v>1000000</v>
      </c>
    </row>
    <row r="23" spans="1:21">
      <c r="A23" t="s">
        <v>0</v>
      </c>
      <c r="L23" s="2"/>
      <c r="O23" s="3"/>
    </row>
    <row r="24" spans="1:21">
      <c r="A24" t="s">
        <v>1</v>
      </c>
      <c r="F24">
        <f>10/44.4</f>
        <v>0.22522522522522523</v>
      </c>
      <c r="L24" s="2"/>
    </row>
    <row r="25" spans="1:21">
      <c r="A25" t="s">
        <v>2</v>
      </c>
      <c r="F25">
        <f>10/38.5</f>
        <v>0.25974025974025972</v>
      </c>
    </row>
    <row r="26" spans="1:21">
      <c r="A26" t="s">
        <v>8</v>
      </c>
      <c r="F26">
        <f>10/31.9</f>
        <v>0.31347962382445144</v>
      </c>
    </row>
    <row r="27" spans="1:21">
      <c r="A27" t="s">
        <v>3</v>
      </c>
      <c r="F27">
        <f>10/32.9</f>
        <v>0.303951367781155</v>
      </c>
    </row>
    <row r="28" spans="1:21">
      <c r="A28" t="s">
        <v>4</v>
      </c>
      <c r="F28">
        <f>10/35.7</f>
        <v>0.28011204481792717</v>
      </c>
    </row>
    <row r="29" spans="1:21">
      <c r="A29" t="s">
        <v>5</v>
      </c>
      <c r="F29">
        <f>10/37.8</f>
        <v>0.26455026455026459</v>
      </c>
    </row>
    <row r="30" spans="1:21">
      <c r="A30" t="s">
        <v>6</v>
      </c>
      <c r="F30">
        <f>10/45.4</f>
        <v>0.22026431718061676</v>
      </c>
    </row>
    <row r="31" spans="1:21">
      <c r="A31" t="s">
        <v>7</v>
      </c>
      <c r="F31">
        <f>10/34.8</f>
        <v>0.2873563218390805</v>
      </c>
    </row>
    <row r="32" spans="1:21">
      <c r="F32">
        <f>10/41.1</f>
        <v>0.24330900243309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AC96-A4E0-4A41-9D68-F0C92DAD80C8}">
  <dimension ref="A1:AA36"/>
  <sheetViews>
    <sheetView zoomScaleNormal="100" workbookViewId="0">
      <selection activeCell="I13" sqref="I13:L24"/>
    </sheetView>
  </sheetViews>
  <sheetFormatPr defaultRowHeight="15"/>
  <cols>
    <col min="2" max="2" width="9.7109375" customWidth="1"/>
    <col min="3" max="3" width="9.28515625" customWidth="1"/>
    <col min="4" max="4" width="21.5703125" customWidth="1"/>
    <col min="5" max="5" width="10" customWidth="1"/>
    <col min="6" max="6" width="6.140625" customWidth="1"/>
    <col min="7" max="7" width="20.5703125" style="1" customWidth="1"/>
    <col min="8" max="8" width="7" customWidth="1"/>
    <col min="9" max="9" width="20.28515625" customWidth="1"/>
    <col min="10" max="10" width="8.140625" customWidth="1"/>
    <col min="11" max="11" width="20.140625" style="1" customWidth="1"/>
    <col min="12" max="12" width="10" customWidth="1"/>
    <col min="16" max="16" width="5.28515625" customWidth="1"/>
  </cols>
  <sheetData>
    <row r="1" spans="1:27">
      <c r="B1" t="s">
        <v>43</v>
      </c>
      <c r="C1" t="s">
        <v>28</v>
      </c>
      <c r="D1" t="s">
        <v>45</v>
      </c>
      <c r="E1" t="s">
        <v>44</v>
      </c>
      <c r="F1" t="s">
        <v>33</v>
      </c>
      <c r="G1" s="1" t="s">
        <v>47</v>
      </c>
      <c r="H1" t="s">
        <v>29</v>
      </c>
      <c r="I1" t="s">
        <v>46</v>
      </c>
      <c r="J1" t="s">
        <v>34</v>
      </c>
      <c r="K1" s="1" t="s">
        <v>48</v>
      </c>
      <c r="M1" t="s">
        <v>35</v>
      </c>
      <c r="N1" t="s">
        <v>36</v>
      </c>
      <c r="O1" t="s">
        <v>37</v>
      </c>
      <c r="Q1" t="s">
        <v>40</v>
      </c>
      <c r="R1" t="s">
        <v>38</v>
      </c>
      <c r="S1" t="s">
        <v>39</v>
      </c>
      <c r="V1" t="s">
        <v>41</v>
      </c>
    </row>
    <row r="2" spans="1:27">
      <c r="A2">
        <v>2010</v>
      </c>
      <c r="B2">
        <v>7000000</v>
      </c>
      <c r="C2">
        <v>10.61</v>
      </c>
      <c r="D2">
        <f t="shared" ref="D2:D11" si="0">B2*C2*0.01</f>
        <v>742700</v>
      </c>
      <c r="E2">
        <v>218537551220.07101</v>
      </c>
      <c r="F2">
        <v>3.62</v>
      </c>
      <c r="G2" s="1">
        <f>E2*F2*0.01</f>
        <v>7911059354.1665716</v>
      </c>
      <c r="H2">
        <v>22.96</v>
      </c>
      <c r="I2">
        <f xml:space="preserve"> B2*H2*0.01</f>
        <v>1607200</v>
      </c>
      <c r="J2">
        <v>35.700000000000003</v>
      </c>
      <c r="K2" s="1">
        <f>E2*J2*0.01</f>
        <v>78017905785.565369</v>
      </c>
      <c r="M2">
        <v>15.602</v>
      </c>
      <c r="N2">
        <v>9086.3580000000002</v>
      </c>
      <c r="O2">
        <f>0.01*M2*N2</f>
        <v>1417.6535751600002</v>
      </c>
      <c r="Q2">
        <v>22.664000000000001</v>
      </c>
      <c r="R2">
        <v>12847708</v>
      </c>
      <c r="S2">
        <f>Q2/1000*R2</f>
        <v>291180.45411200001</v>
      </c>
      <c r="V2">
        <v>380</v>
      </c>
      <c r="W2">
        <v>1</v>
      </c>
      <c r="X2">
        <f>V2*(1-5%)^-(-W$20+W2)</f>
        <v>150.94144101412303</v>
      </c>
    </row>
    <row r="3" spans="1:27">
      <c r="A3">
        <v>2011</v>
      </c>
      <c r="B3">
        <v>7650000</v>
      </c>
      <c r="C3">
        <v>10.26</v>
      </c>
      <c r="D3">
        <f t="shared" si="0"/>
        <v>784890</v>
      </c>
      <c r="E3">
        <v>252251992029.44199</v>
      </c>
      <c r="F3">
        <v>3.67</v>
      </c>
      <c r="G3" s="1">
        <f t="shared" ref="G3:G11" si="1">E3*F3*0.01</f>
        <v>9257648107.4805222</v>
      </c>
      <c r="H3">
        <v>23.38</v>
      </c>
      <c r="I3">
        <f t="shared" ref="I3:I11" si="2" xml:space="preserve"> B3*H3*0.01</f>
        <v>1788570</v>
      </c>
      <c r="J3">
        <v>34.700000000000003</v>
      </c>
      <c r="K3" s="1">
        <f t="shared" ref="K3:K11" si="3">E3*J3*0.01</f>
        <v>87531441234.216385</v>
      </c>
      <c r="M3">
        <v>22.33</v>
      </c>
      <c r="N3">
        <v>10206.338750000001</v>
      </c>
      <c r="O3">
        <f t="shared" ref="O3:O10" si="4">0.01*M3*N3</f>
        <v>2279.0754428750001</v>
      </c>
      <c r="Q3">
        <v>22.416</v>
      </c>
      <c r="R3">
        <v>13058758</v>
      </c>
      <c r="S3">
        <f t="shared" ref="S3:S11" si="5">Q3/1000*R3</f>
        <v>292725.119328</v>
      </c>
      <c r="V3">
        <v>380</v>
      </c>
      <c r="W3">
        <v>2</v>
      </c>
      <c r="X3">
        <f t="shared" ref="X3:X20" si="6">V3*(1-5%)^-(-W$20+W3)</f>
        <v>158.88572738328739</v>
      </c>
    </row>
    <row r="4" spans="1:27">
      <c r="A4">
        <v>2012</v>
      </c>
      <c r="B4">
        <v>7760000</v>
      </c>
      <c r="C4">
        <v>9.9809999999999999</v>
      </c>
      <c r="D4">
        <f t="shared" si="0"/>
        <v>774525.6</v>
      </c>
      <c r="E4">
        <v>267122320056.702</v>
      </c>
      <c r="F4">
        <v>3.3</v>
      </c>
      <c r="G4" s="1">
        <f t="shared" si="1"/>
        <v>8815036561.8711662</v>
      </c>
      <c r="H4">
        <v>23.83</v>
      </c>
      <c r="I4">
        <f t="shared" si="2"/>
        <v>1849208</v>
      </c>
      <c r="J4">
        <v>32.54</v>
      </c>
      <c r="K4" s="1">
        <f t="shared" si="3"/>
        <v>86921602946.450836</v>
      </c>
      <c r="M4">
        <v>21.792000000000002</v>
      </c>
      <c r="N4">
        <v>12106.901239999999</v>
      </c>
      <c r="O4">
        <f t="shared" si="4"/>
        <v>2638.3359182208001</v>
      </c>
      <c r="Q4">
        <v>22.169</v>
      </c>
      <c r="R4">
        <v>13274623</v>
      </c>
      <c r="S4">
        <f t="shared" si="5"/>
        <v>294285.117287</v>
      </c>
      <c r="V4">
        <v>380</v>
      </c>
      <c r="W4">
        <v>3</v>
      </c>
      <c r="X4">
        <f t="shared" si="6"/>
        <v>167.24813408767093</v>
      </c>
    </row>
    <row r="5" spans="1:27">
      <c r="A5">
        <v>2013</v>
      </c>
      <c r="B5">
        <v>8000000</v>
      </c>
      <c r="C5">
        <v>9.4830000000000005</v>
      </c>
      <c r="D5">
        <f t="shared" si="0"/>
        <v>758640</v>
      </c>
      <c r="E5">
        <v>278384345259.37701</v>
      </c>
      <c r="F5">
        <v>3.38</v>
      </c>
      <c r="G5" s="1">
        <f t="shared" si="1"/>
        <v>9409390869.766943</v>
      </c>
      <c r="H5">
        <v>23.88</v>
      </c>
      <c r="I5">
        <f t="shared" si="2"/>
        <v>1910400</v>
      </c>
      <c r="J5">
        <v>31.19</v>
      </c>
      <c r="K5" s="1">
        <f t="shared" si="3"/>
        <v>86828077286.399704</v>
      </c>
      <c r="M5">
        <v>24.021000000000001</v>
      </c>
      <c r="N5">
        <v>12610.68225</v>
      </c>
      <c r="O5">
        <f t="shared" si="4"/>
        <v>3029.2119832725002</v>
      </c>
      <c r="Q5">
        <v>21.920999999999999</v>
      </c>
      <c r="R5">
        <v>13495258</v>
      </c>
      <c r="S5">
        <f t="shared" si="5"/>
        <v>295829.55061799998</v>
      </c>
      <c r="V5">
        <v>380</v>
      </c>
      <c r="W5">
        <v>4</v>
      </c>
      <c r="X5">
        <f t="shared" si="6"/>
        <v>176.05066746070625</v>
      </c>
    </row>
    <row r="6" spans="1:27">
      <c r="A6">
        <v>2014</v>
      </c>
      <c r="B6">
        <v>8230000</v>
      </c>
      <c r="C6">
        <v>9.4209999999999994</v>
      </c>
      <c r="D6">
        <f t="shared" si="0"/>
        <v>775348.3</v>
      </c>
      <c r="E6">
        <v>260541629960.664</v>
      </c>
      <c r="F6">
        <v>3.73</v>
      </c>
      <c r="G6" s="1">
        <f t="shared" si="1"/>
        <v>9718202797.5327682</v>
      </c>
      <c r="H6">
        <v>23.49</v>
      </c>
      <c r="I6">
        <f t="shared" si="2"/>
        <v>1933227</v>
      </c>
      <c r="J6">
        <v>31.04</v>
      </c>
      <c r="K6" s="1">
        <f t="shared" si="3"/>
        <v>80872121939.790115</v>
      </c>
      <c r="M6">
        <v>25.614999999999998</v>
      </c>
      <c r="N6">
        <v>12321.97416</v>
      </c>
      <c r="O6">
        <f t="shared" si="4"/>
        <v>3156.2736810839997</v>
      </c>
      <c r="Q6">
        <v>21.673999999999999</v>
      </c>
      <c r="R6">
        <v>13719819</v>
      </c>
      <c r="S6">
        <f t="shared" si="5"/>
        <v>297363.35700600001</v>
      </c>
      <c r="V6">
        <v>380</v>
      </c>
      <c r="W6">
        <v>5</v>
      </c>
      <c r="X6">
        <f t="shared" si="6"/>
        <v>185.31649206390131</v>
      </c>
    </row>
    <row r="7" spans="1:27">
      <c r="A7">
        <v>2015</v>
      </c>
      <c r="B7">
        <v>8260000</v>
      </c>
      <c r="C7">
        <v>9.3829999999999991</v>
      </c>
      <c r="D7">
        <f t="shared" si="0"/>
        <v>775035.8</v>
      </c>
      <c r="E7">
        <v>243919085308.936</v>
      </c>
      <c r="F7">
        <v>3.64</v>
      </c>
      <c r="G7" s="1">
        <f t="shared" si="1"/>
        <v>8878654705.2452717</v>
      </c>
      <c r="H7">
        <v>23.28</v>
      </c>
      <c r="I7">
        <f t="shared" si="2"/>
        <v>1922928</v>
      </c>
      <c r="J7">
        <v>29.78</v>
      </c>
      <c r="K7" s="1">
        <f t="shared" si="3"/>
        <v>72639103605.001144</v>
      </c>
      <c r="M7">
        <v>24.696000000000002</v>
      </c>
      <c r="N7">
        <v>11888.91633</v>
      </c>
      <c r="O7">
        <f t="shared" si="4"/>
        <v>2936.0867768568</v>
      </c>
      <c r="Q7">
        <v>21.425999999999998</v>
      </c>
      <c r="R7">
        <v>13944937</v>
      </c>
      <c r="S7">
        <f t="shared" si="5"/>
        <v>298784.22016199998</v>
      </c>
      <c r="V7">
        <v>380</v>
      </c>
      <c r="W7">
        <v>6</v>
      </c>
      <c r="X7">
        <f t="shared" si="6"/>
        <v>195.06999164621192</v>
      </c>
    </row>
    <row r="8" spans="1:27">
      <c r="A8">
        <v>2016</v>
      </c>
      <c r="B8">
        <v>8460000</v>
      </c>
      <c r="C8">
        <v>9.4809999999999999</v>
      </c>
      <c r="D8">
        <f t="shared" si="0"/>
        <v>802092.6</v>
      </c>
      <c r="E8">
        <v>250440136356.12701</v>
      </c>
      <c r="F8">
        <v>3.99</v>
      </c>
      <c r="G8" s="1">
        <f t="shared" si="1"/>
        <v>9992561440.6094685</v>
      </c>
      <c r="H8">
        <v>23.01</v>
      </c>
      <c r="I8">
        <f t="shared" si="2"/>
        <v>1946646</v>
      </c>
      <c r="J8">
        <v>28.89</v>
      </c>
      <c r="K8" s="1">
        <f t="shared" si="3"/>
        <v>72352155393.285095</v>
      </c>
      <c r="M8">
        <v>25.681999999999999</v>
      </c>
      <c r="N8">
        <v>13385.41396</v>
      </c>
      <c r="O8">
        <f t="shared" si="4"/>
        <v>3437.6420132071999</v>
      </c>
      <c r="Q8">
        <v>20.745000000000001</v>
      </c>
      <c r="R8">
        <v>14166340</v>
      </c>
      <c r="S8">
        <f t="shared" si="5"/>
        <v>293880.72330000001</v>
      </c>
      <c r="V8">
        <v>380</v>
      </c>
      <c r="W8">
        <v>7</v>
      </c>
      <c r="X8">
        <f t="shared" si="6"/>
        <v>205.33683331180202</v>
      </c>
    </row>
    <row r="9" spans="1:27">
      <c r="A9">
        <v>2017</v>
      </c>
      <c r="B9">
        <v>8550000</v>
      </c>
      <c r="C9">
        <v>9.2530000000000001</v>
      </c>
      <c r="D9">
        <f t="shared" si="0"/>
        <v>791131.5</v>
      </c>
      <c r="E9">
        <v>277044950259.00897</v>
      </c>
      <c r="F9">
        <v>3.98</v>
      </c>
      <c r="G9" s="1">
        <f t="shared" si="1"/>
        <v>11026389020.308558</v>
      </c>
      <c r="H9">
        <v>22.74</v>
      </c>
      <c r="I9">
        <f t="shared" si="2"/>
        <v>1944270</v>
      </c>
      <c r="J9">
        <v>29.44</v>
      </c>
      <c r="K9" s="1">
        <f t="shared" si="3"/>
        <v>81562033356.252243</v>
      </c>
      <c r="M9">
        <v>25.396000000000001</v>
      </c>
      <c r="N9">
        <v>15011.3241</v>
      </c>
      <c r="O9">
        <f t="shared" si="4"/>
        <v>3812.2758684360001</v>
      </c>
      <c r="Q9">
        <v>20.062999999999999</v>
      </c>
      <c r="R9">
        <v>14380866</v>
      </c>
      <c r="S9">
        <f t="shared" si="5"/>
        <v>288523.31455799995</v>
      </c>
      <c r="V9">
        <v>380</v>
      </c>
      <c r="W9">
        <v>8</v>
      </c>
      <c r="X9">
        <f t="shared" si="6"/>
        <v>216.14403506505477</v>
      </c>
    </row>
    <row r="10" spans="1:27">
      <c r="A10">
        <v>2018</v>
      </c>
      <c r="B10">
        <v>8760000</v>
      </c>
      <c r="C10">
        <v>9.2240000000000002</v>
      </c>
      <c r="D10">
        <f t="shared" si="0"/>
        <v>808022.4</v>
      </c>
      <c r="E10">
        <v>298258019275.04901</v>
      </c>
      <c r="F10">
        <v>3.53</v>
      </c>
      <c r="G10" s="1">
        <f t="shared" si="1"/>
        <v>10528508080.409229</v>
      </c>
      <c r="H10">
        <v>22.33</v>
      </c>
      <c r="I10">
        <f t="shared" si="2"/>
        <v>1956107.9999999998</v>
      </c>
      <c r="J10">
        <v>29.65</v>
      </c>
      <c r="K10" s="1">
        <f t="shared" si="3"/>
        <v>88433502715.052032</v>
      </c>
      <c r="M10">
        <v>25.154</v>
      </c>
      <c r="N10">
        <v>16858.131000000001</v>
      </c>
      <c r="O10">
        <f t="shared" si="4"/>
        <v>4240.4942717399999</v>
      </c>
      <c r="Q10">
        <v>19.382000000000001</v>
      </c>
      <c r="R10">
        <v>14587370</v>
      </c>
      <c r="S10">
        <f t="shared" si="5"/>
        <v>282732.40534</v>
      </c>
      <c r="V10">
        <v>380</v>
      </c>
      <c r="W10">
        <v>9</v>
      </c>
      <c r="X10">
        <f t="shared" si="6"/>
        <v>227.52003691058397</v>
      </c>
    </row>
    <row r="11" spans="1:27">
      <c r="A11">
        <v>2019</v>
      </c>
      <c r="B11">
        <v>8900000</v>
      </c>
      <c r="C11">
        <v>9.0350000000000001</v>
      </c>
      <c r="D11">
        <f t="shared" si="0"/>
        <v>804115</v>
      </c>
      <c r="E11">
        <v>282318159744.65002</v>
      </c>
      <c r="F11">
        <v>3.54</v>
      </c>
      <c r="G11" s="1">
        <f t="shared" si="1"/>
        <v>9994062854.9606113</v>
      </c>
      <c r="H11">
        <v>22.15</v>
      </c>
      <c r="I11">
        <f t="shared" si="2"/>
        <v>1971350</v>
      </c>
      <c r="J11">
        <v>29.33</v>
      </c>
      <c r="K11" s="1">
        <f t="shared" si="3"/>
        <v>82803916253.10585</v>
      </c>
      <c r="M11">
        <v>25.521000000000001</v>
      </c>
      <c r="N11">
        <v>16268.8981</v>
      </c>
      <c r="O11">
        <f>0.01*M11*N11</f>
        <v>4151.9854841010001</v>
      </c>
      <c r="Q11">
        <v>18.7</v>
      </c>
      <c r="R11">
        <v>14786220</v>
      </c>
      <c r="S11">
        <f t="shared" si="5"/>
        <v>276502.31399999995</v>
      </c>
      <c r="V11">
        <v>380</v>
      </c>
      <c r="W11">
        <v>10</v>
      </c>
      <c r="X11">
        <f t="shared" si="6"/>
        <v>239.49477569535154</v>
      </c>
      <c r="Z11" t="s">
        <v>42</v>
      </c>
    </row>
    <row r="12" spans="1:27">
      <c r="V12">
        <v>380</v>
      </c>
      <c r="W12">
        <v>11</v>
      </c>
      <c r="X12">
        <f t="shared" si="6"/>
        <v>252.09976388984373</v>
      </c>
      <c r="Y12">
        <f>SUM(X2:X11)</f>
        <v>1922.0081346386933</v>
      </c>
      <c r="Z12">
        <v>3049.6</v>
      </c>
      <c r="AA12">
        <v>3.62</v>
      </c>
    </row>
    <row r="13" spans="1:27">
      <c r="A13">
        <v>2008</v>
      </c>
      <c r="I13">
        <v>205.53399999999999</v>
      </c>
      <c r="J13">
        <f>1000000*I13</f>
        <v>205534000</v>
      </c>
      <c r="K13" s="1">
        <v>149956.6</v>
      </c>
      <c r="L13" s="1">
        <f>100000000*K13</f>
        <v>14995660000000</v>
      </c>
      <c r="V13">
        <v>380</v>
      </c>
      <c r="W13">
        <v>12</v>
      </c>
      <c r="X13">
        <f t="shared" si="6"/>
        <v>265.36817251562496</v>
      </c>
      <c r="Z13">
        <v>2897.1</v>
      </c>
      <c r="AA13">
        <v>3.67</v>
      </c>
    </row>
    <row r="14" spans="1:27">
      <c r="A14">
        <v>2009</v>
      </c>
      <c r="I14">
        <v>210.80199999999999</v>
      </c>
      <c r="J14">
        <f t="shared" ref="J14:J24" si="7">1000000*I14</f>
        <v>210802000</v>
      </c>
      <c r="K14" s="1">
        <v>160171.70000000001</v>
      </c>
      <c r="L14" s="1">
        <f t="shared" ref="L14:L24" si="8">100000000*K14</f>
        <v>16017170000000.002</v>
      </c>
      <c r="V14">
        <v>380</v>
      </c>
      <c r="W14">
        <v>13</v>
      </c>
      <c r="X14">
        <f t="shared" si="6"/>
        <v>279.33491843749999</v>
      </c>
      <c r="Z14">
        <v>2752.3</v>
      </c>
      <c r="AA14">
        <v>3.3</v>
      </c>
    </row>
    <row r="15" spans="1:27">
      <c r="A15">
        <v>2010</v>
      </c>
      <c r="I15">
        <v>218.42099999999999</v>
      </c>
      <c r="J15">
        <f t="shared" si="7"/>
        <v>218421000</v>
      </c>
      <c r="K15" s="1">
        <v>191629.8</v>
      </c>
      <c r="L15" s="1">
        <f t="shared" si="8"/>
        <v>19162980000000</v>
      </c>
      <c r="V15">
        <v>380</v>
      </c>
      <c r="W15">
        <v>14</v>
      </c>
      <c r="X15">
        <f t="shared" si="6"/>
        <v>294.03675625</v>
      </c>
      <c r="Z15">
        <v>2614.6999999999998</v>
      </c>
      <c r="AA15">
        <v>3.38</v>
      </c>
    </row>
    <row r="16" spans="1:27">
      <c r="A16">
        <v>2011</v>
      </c>
      <c r="I16">
        <v>225.43899999999999</v>
      </c>
      <c r="J16">
        <f t="shared" si="7"/>
        <v>225439000</v>
      </c>
      <c r="K16" s="1">
        <v>227038.8</v>
      </c>
      <c r="L16" s="1">
        <f t="shared" si="8"/>
        <v>22703880000000</v>
      </c>
      <c r="V16">
        <v>380</v>
      </c>
      <c r="W16">
        <v>15</v>
      </c>
      <c r="X16">
        <f t="shared" si="6"/>
        <v>309.51237500000002</v>
      </c>
      <c r="Z16">
        <v>2483.9</v>
      </c>
      <c r="AA16">
        <v>3.73</v>
      </c>
    </row>
    <row r="17" spans="1:27">
      <c r="A17">
        <v>2012</v>
      </c>
      <c r="I17">
        <v>232.41</v>
      </c>
      <c r="J17">
        <f t="shared" si="7"/>
        <v>232410000</v>
      </c>
      <c r="K17" s="1">
        <v>244643.3</v>
      </c>
      <c r="L17" s="1">
        <f t="shared" si="8"/>
        <v>24464330000000</v>
      </c>
      <c r="V17">
        <v>380</v>
      </c>
      <c r="W17">
        <v>16</v>
      </c>
      <c r="X17">
        <f t="shared" si="6"/>
        <v>325.80249999999995</v>
      </c>
      <c r="Z17">
        <v>2359.6999999999998</v>
      </c>
      <c r="AA17">
        <v>3.64</v>
      </c>
    </row>
    <row r="18" spans="1:27">
      <c r="A18">
        <v>2013</v>
      </c>
      <c r="I18">
        <v>231.7</v>
      </c>
      <c r="J18">
        <f t="shared" si="7"/>
        <v>231700000</v>
      </c>
      <c r="K18" s="1">
        <v>261956.1</v>
      </c>
      <c r="L18" s="1">
        <f t="shared" si="8"/>
        <v>26195610000000</v>
      </c>
      <c r="V18">
        <v>380</v>
      </c>
      <c r="W18">
        <v>17</v>
      </c>
      <c r="X18">
        <f t="shared" si="6"/>
        <v>342.95</v>
      </c>
      <c r="Z18">
        <v>2241.6999999999998</v>
      </c>
      <c r="AA18">
        <v>3.99</v>
      </c>
    </row>
    <row r="19" spans="1:27">
      <c r="A19">
        <v>2014</v>
      </c>
      <c r="I19">
        <v>230.98599999999999</v>
      </c>
      <c r="J19">
        <f t="shared" si="7"/>
        <v>230986000</v>
      </c>
      <c r="K19" s="1">
        <v>277571.8</v>
      </c>
      <c r="L19" s="1">
        <f t="shared" si="8"/>
        <v>27757180000000</v>
      </c>
      <c r="V19">
        <v>380</v>
      </c>
      <c r="W19">
        <v>18</v>
      </c>
      <c r="X19">
        <f t="shared" si="6"/>
        <v>361</v>
      </c>
      <c r="Z19">
        <v>2129.6</v>
      </c>
      <c r="AA19">
        <v>3.98</v>
      </c>
    </row>
    <row r="20" spans="1:27">
      <c r="A20">
        <v>2015</v>
      </c>
      <c r="I20">
        <v>226.93</v>
      </c>
      <c r="J20">
        <f t="shared" si="7"/>
        <v>226930000</v>
      </c>
      <c r="K20" s="1">
        <v>282040.3</v>
      </c>
      <c r="L20" s="1">
        <f t="shared" si="8"/>
        <v>28204030000000</v>
      </c>
      <c r="V20">
        <v>380</v>
      </c>
      <c r="W20">
        <v>19</v>
      </c>
      <c r="X20">
        <f t="shared" si="6"/>
        <v>380</v>
      </c>
      <c r="Z20">
        <v>2023.2</v>
      </c>
      <c r="AA20">
        <v>3.53</v>
      </c>
    </row>
    <row r="21" spans="1:27">
      <c r="A21">
        <v>2016</v>
      </c>
      <c r="I21">
        <v>223.5</v>
      </c>
      <c r="J21">
        <f t="shared" si="7"/>
        <v>223500000</v>
      </c>
      <c r="K21" s="1">
        <v>296547.7</v>
      </c>
      <c r="L21" s="1">
        <f t="shared" si="8"/>
        <v>29654770000000</v>
      </c>
      <c r="V21">
        <v>380</v>
      </c>
      <c r="W21">
        <v>20</v>
      </c>
      <c r="X21">
        <f t="shared" ref="X21:X22" si="9">V21*(1-5%)^-(-W$11+W21)</f>
        <v>634.6693766437354</v>
      </c>
      <c r="Z21">
        <v>1922</v>
      </c>
      <c r="AA21">
        <v>3.54</v>
      </c>
    </row>
    <row r="22" spans="1:27">
      <c r="A22">
        <v>2017</v>
      </c>
      <c r="I22">
        <v>218.24</v>
      </c>
      <c r="J22">
        <f t="shared" si="7"/>
        <v>218240000</v>
      </c>
      <c r="K22" s="1">
        <v>334622.59999999998</v>
      </c>
      <c r="L22" s="1">
        <f t="shared" si="8"/>
        <v>33462259999999.996</v>
      </c>
      <c r="W22">
        <v>21</v>
      </c>
      <c r="X22">
        <f t="shared" si="9"/>
        <v>0</v>
      </c>
    </row>
    <row r="23" spans="1:27">
      <c r="A23">
        <v>2018</v>
      </c>
      <c r="I23">
        <v>213.905</v>
      </c>
      <c r="J23">
        <f t="shared" si="7"/>
        <v>213905000</v>
      </c>
      <c r="K23" s="1">
        <v>364835</v>
      </c>
      <c r="L23" s="1">
        <f t="shared" si="8"/>
        <v>36483500000000</v>
      </c>
    </row>
    <row r="24" spans="1:27">
      <c r="A24">
        <v>2019</v>
      </c>
      <c r="I24">
        <v>213.04499999999999</v>
      </c>
      <c r="J24">
        <f t="shared" si="7"/>
        <v>213045000</v>
      </c>
      <c r="K24" s="1">
        <v>386165</v>
      </c>
      <c r="L24" s="1">
        <f t="shared" si="8"/>
        <v>38616500000000</v>
      </c>
    </row>
    <row r="25" spans="1:27">
      <c r="A25" t="s">
        <v>49</v>
      </c>
    </row>
    <row r="34" spans="1:1">
      <c r="A34" t="s">
        <v>31</v>
      </c>
    </row>
    <row r="35" spans="1:1">
      <c r="A35" t="s">
        <v>30</v>
      </c>
    </row>
    <row r="36" spans="1:1">
      <c r="A36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B7C4-F1C9-4463-AA49-9D75382C0E90}">
  <dimension ref="A1:K19"/>
  <sheetViews>
    <sheetView tabSelected="1" workbookViewId="0">
      <selection activeCell="C1" sqref="C1:C11"/>
    </sheetView>
  </sheetViews>
  <sheetFormatPr defaultRowHeight="15"/>
  <cols>
    <col min="3" max="3" width="16.7109375" bestFit="1" customWidth="1"/>
    <col min="4" max="4" width="34.85546875" bestFit="1" customWidth="1"/>
    <col min="5" max="5" width="27.85546875" bestFit="1" customWidth="1"/>
    <col min="6" max="6" width="12" bestFit="1" customWidth="1"/>
  </cols>
  <sheetData>
    <row r="1" spans="1:11">
      <c r="B1" t="s">
        <v>50</v>
      </c>
      <c r="C1" t="s">
        <v>53</v>
      </c>
      <c r="D1" t="s">
        <v>52</v>
      </c>
      <c r="E1" t="s">
        <v>55</v>
      </c>
      <c r="F1" t="s">
        <v>56</v>
      </c>
      <c r="G1" s="1"/>
      <c r="K1" s="1"/>
    </row>
    <row r="2" spans="1:11">
      <c r="A2">
        <v>2010</v>
      </c>
      <c r="C2">
        <v>7000000</v>
      </c>
      <c r="D2">
        <v>101.2</v>
      </c>
      <c r="E2">
        <v>61.4</v>
      </c>
      <c r="F2">
        <f>C2/E2/0.01</f>
        <v>11400651.465798045</v>
      </c>
      <c r="G2" s="1"/>
      <c r="K2" s="1"/>
    </row>
    <row r="3" spans="1:11">
      <c r="A3">
        <v>2011</v>
      </c>
      <c r="C3">
        <v>7650000</v>
      </c>
      <c r="D3">
        <v>107.2</v>
      </c>
      <c r="E3">
        <v>61.5</v>
      </c>
      <c r="F3">
        <f t="shared" ref="F3:F11" si="0">C3/E3/0.01</f>
        <v>12439024.390243901</v>
      </c>
      <c r="G3" s="1"/>
      <c r="K3" s="1"/>
    </row>
    <row r="4" spans="1:11">
      <c r="A4">
        <v>2012</v>
      </c>
      <c r="C4">
        <v>7760000</v>
      </c>
      <c r="D4">
        <v>117.2</v>
      </c>
      <c r="E4">
        <v>61.6</v>
      </c>
      <c r="F4">
        <f t="shared" si="0"/>
        <v>12597402.597402597</v>
      </c>
      <c r="G4" s="1"/>
      <c r="K4" s="1"/>
    </row>
    <row r="5" spans="1:11">
      <c r="A5">
        <v>2013</v>
      </c>
      <c r="C5">
        <v>8000000</v>
      </c>
      <c r="D5">
        <v>123.6</v>
      </c>
      <c r="E5">
        <v>61.4</v>
      </c>
      <c r="F5">
        <f t="shared" si="0"/>
        <v>13029315.960912053</v>
      </c>
      <c r="G5" s="1"/>
      <c r="K5" s="1"/>
    </row>
    <row r="6" spans="1:11">
      <c r="A6">
        <v>2014</v>
      </c>
      <c r="C6">
        <v>8230000</v>
      </c>
      <c r="D6">
        <v>128.69999999999999</v>
      </c>
      <c r="E6">
        <v>62.3</v>
      </c>
      <c r="F6">
        <f t="shared" si="0"/>
        <v>13210272.873194221</v>
      </c>
      <c r="G6" s="1"/>
      <c r="K6" s="1"/>
    </row>
    <row r="7" spans="1:11">
      <c r="A7">
        <v>2015</v>
      </c>
      <c r="C7">
        <v>8260000</v>
      </c>
      <c r="D7">
        <v>139.19999999999999</v>
      </c>
      <c r="E7">
        <v>62.1</v>
      </c>
      <c r="F7">
        <f t="shared" si="0"/>
        <v>13301127.214170692</v>
      </c>
      <c r="G7" s="1"/>
      <c r="K7" s="1"/>
    </row>
    <row r="8" spans="1:11">
      <c r="A8">
        <v>2016</v>
      </c>
      <c r="C8">
        <v>8460000</v>
      </c>
      <c r="D8">
        <v>105.2</v>
      </c>
      <c r="E8">
        <v>62.8</v>
      </c>
      <c r="F8">
        <f t="shared" si="0"/>
        <v>13471337.579617836</v>
      </c>
      <c r="G8" s="1"/>
      <c r="K8" s="1"/>
    </row>
    <row r="9" spans="1:11">
      <c r="A9">
        <v>2017</v>
      </c>
      <c r="C9">
        <v>8550000</v>
      </c>
      <c r="D9">
        <v>104.3</v>
      </c>
      <c r="E9">
        <v>62.6</v>
      </c>
      <c r="F9">
        <f t="shared" si="0"/>
        <v>13658146.964856228</v>
      </c>
      <c r="G9" s="1"/>
      <c r="K9" s="1"/>
    </row>
    <row r="10" spans="1:11">
      <c r="A10">
        <v>2018</v>
      </c>
      <c r="C10">
        <v>8760000</v>
      </c>
      <c r="D10">
        <v>107.8</v>
      </c>
      <c r="E10">
        <v>63.3</v>
      </c>
      <c r="F10">
        <f t="shared" si="0"/>
        <v>13838862.559241705</v>
      </c>
    </row>
    <row r="11" spans="1:11">
      <c r="A11">
        <v>2019</v>
      </c>
      <c r="C11">
        <v>8900000</v>
      </c>
      <c r="D11">
        <v>113.3</v>
      </c>
      <c r="E11">
        <v>63.1</v>
      </c>
      <c r="F11">
        <f t="shared" si="0"/>
        <v>14104595.879556259</v>
      </c>
    </row>
    <row r="12" spans="1:11">
      <c r="A12">
        <v>2020</v>
      </c>
      <c r="B12">
        <v>15300000</v>
      </c>
      <c r="D12">
        <v>119.1</v>
      </c>
    </row>
    <row r="13" spans="1:11">
      <c r="D13" t="s">
        <v>51</v>
      </c>
    </row>
    <row r="19" spans="1:1">
      <c r="A19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31A33-316D-400D-9423-EDAFA6440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2021-02-08T03:40:39Z</dcterms:modified>
</cp:coreProperties>
</file>