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xr:revisionPtr revIDLastSave="0" documentId="13_ncr:1_{F5F3E6B9-D6ED-4EC6-9E38-199B74FE0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wer" sheetId="1" r:id="rId1"/>
    <sheet name="Matipo" sheetId="2" r:id="rId2"/>
    <sheet name="bo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8" i="1" l="1"/>
  <c r="Q29" i="1"/>
  <c r="Q30" i="1"/>
  <c r="Q31" i="1"/>
  <c r="O31" i="1"/>
  <c r="L31" i="1"/>
  <c r="M31" i="1"/>
  <c r="O30" i="1"/>
  <c r="O24" i="1"/>
  <c r="O25" i="1"/>
  <c r="O26" i="1"/>
  <c r="O27" i="1"/>
  <c r="L27" i="1"/>
  <c r="M27" i="1"/>
  <c r="M26" i="1"/>
  <c r="M25" i="1"/>
  <c r="M24" i="1"/>
  <c r="Q24" i="1"/>
  <c r="Q25" i="1"/>
  <c r="Q26" i="1"/>
  <c r="Q27" i="1"/>
  <c r="G11" i="3"/>
  <c r="O23" i="1"/>
  <c r="Q23" i="1"/>
  <c r="Q22" i="1"/>
  <c r="M23" i="1"/>
  <c r="M22" i="1"/>
  <c r="L22" i="1"/>
  <c r="L23" i="1"/>
  <c r="O22" i="1"/>
  <c r="O21" i="1"/>
  <c r="M21" i="1"/>
  <c r="L21" i="1"/>
  <c r="Q21" i="1"/>
  <c r="M20" i="1"/>
  <c r="L20" i="1"/>
  <c r="O20" i="1"/>
  <c r="Q20" i="1"/>
  <c r="Q19" i="1"/>
  <c r="O19" i="1"/>
  <c r="M19" i="1"/>
  <c r="L19" i="1"/>
  <c r="Q18" i="1"/>
  <c r="O18" i="1"/>
  <c r="M18" i="1"/>
  <c r="L18" i="1"/>
  <c r="M17" i="1"/>
  <c r="M16" i="1"/>
  <c r="O17" i="1"/>
  <c r="L17" i="1"/>
  <c r="Q17" i="1"/>
  <c r="Q16" i="1"/>
  <c r="Q15" i="1"/>
  <c r="L16" i="1"/>
  <c r="O16" i="1"/>
  <c r="O15" i="1"/>
  <c r="L15" i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H15" i="1" s="1"/>
  <c r="D16" i="1"/>
  <c r="F16" i="1" s="1"/>
  <c r="H16" i="1" s="1"/>
  <c r="D17" i="1"/>
  <c r="F17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L14" i="1"/>
  <c r="O14" i="1"/>
  <c r="Q14" i="1"/>
  <c r="O13" i="1"/>
  <c r="Q13" i="1"/>
  <c r="L13" i="1"/>
  <c r="L12" i="1"/>
  <c r="Q11" i="1"/>
  <c r="Q12" i="1"/>
  <c r="O12" i="1"/>
  <c r="L11" i="1"/>
  <c r="O10" i="1"/>
  <c r="O11" i="1"/>
  <c r="Q10" i="1"/>
  <c r="L9" i="1"/>
  <c r="L10" i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7" i="3"/>
  <c r="D7" i="3"/>
  <c r="D3" i="3"/>
  <c r="Q9" i="1"/>
  <c r="O9" i="1"/>
  <c r="O8" i="1"/>
  <c r="Q8" i="1"/>
  <c r="L8" i="1"/>
  <c r="L7" i="1"/>
  <c r="L35" i="1" l="1"/>
  <c r="L38" i="1" s="1"/>
  <c r="H11" i="1"/>
  <c r="H10" i="1"/>
  <c r="H9" i="1"/>
  <c r="H8" i="1"/>
  <c r="H12" i="1"/>
  <c r="H13" i="1"/>
  <c r="H7" i="1"/>
  <c r="H6" i="1"/>
  <c r="H14" i="1"/>
  <c r="Q7" i="1"/>
  <c r="O5" i="1" l="1"/>
  <c r="Q6" i="1"/>
  <c r="Q5" i="1"/>
  <c r="L6" i="1" l="1"/>
  <c r="L5" i="1"/>
  <c r="E5" i="1" l="1"/>
  <c r="G5" i="1" s="1"/>
  <c r="D5" i="1"/>
  <c r="F5" i="1" s="1"/>
  <c r="H5" i="1" l="1"/>
  <c r="V5" i="1"/>
  <c r="E24" i="2"/>
  <c r="D24" i="2"/>
  <c r="C24" i="2"/>
  <c r="F24" i="2" s="1"/>
  <c r="F25" i="2" s="1"/>
  <c r="B24" i="2"/>
  <c r="D12" i="2"/>
  <c r="C12" i="2"/>
  <c r="F18" i="2"/>
  <c r="F17" i="2"/>
  <c r="H10" i="2"/>
  <c r="E17" i="2"/>
  <c r="H9" i="2"/>
  <c r="F7" i="2"/>
  <c r="E7" i="2"/>
  <c r="D17" i="2"/>
  <c r="C17" i="2"/>
  <c r="B17" i="2"/>
  <c r="C7" i="2"/>
  <c r="D7" i="2"/>
  <c r="B8" i="2"/>
  <c r="V8" i="1"/>
  <c r="U8" i="1"/>
  <c r="T8" i="1"/>
  <c r="W8" i="1" l="1"/>
  <c r="G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tc={FD95F213-8647-4DC3-AEA6-A629587AF7D3}</author>
    <author>tc={5C69474C-E7D8-4047-8661-D50ABB87B7F1}</author>
    <author>tc={5BF2D02D-EA4D-493C-B448-77B94466136F}</author>
    <author>tc={9505A28F-B6A3-45DD-90AF-36836BD93749}</author>
    <author>tc={40ED0708-6046-4AE1-9BD8-82796BA1336E}</author>
    <author>tc={AF4F27C4-EF02-4AEA-8D5F-2561E0F3840D}</author>
    <author>tc={C0A5D0DF-594A-479E-B230-C11E8A2AA3FA}</author>
  </authors>
  <commentList>
    <comment ref="K12" authorId="0" shapeId="0" xr:uid="{FD95F213-8647-4DC3-AEA6-A629587AF7D3}">
      <text>
        <t>[Threaded comment]
Your version of Excel allows you to read this threaded comment; however, any edits to it will get removed if the file is opened in a newer version of Excel. Learn more: https://go.microsoft.com/fwlink/?linkid=870924
Comment:
    13/1/2022</t>
      </text>
    </comment>
    <comment ref="P12" authorId="1" shapeId="0" xr:uid="{5C69474C-E7D8-4047-8661-D50ABB87B7F1}">
      <text>
        <t>[Threaded comment]
Your version of Excel allows you to read this threaded comment; however, any edits to it will get removed if the file is opened in a newer version of Excel. Learn more: https://go.microsoft.com/fwlink/?linkid=870924
Comment:
    11/1/2022</t>
      </text>
    </comment>
    <comment ref="P15" authorId="2" shapeId="0" xr:uid="{5BF2D02D-EA4D-493C-B448-77B94466136F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Didn't read</t>
      </text>
    </comment>
    <comment ref="P16" authorId="3" shapeId="0" xr:uid="{9505A28F-B6A3-45DD-90AF-36836BD9374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didn't read</t>
      </text>
    </comment>
    <comment ref="P17" authorId="4" shapeId="0" xr:uid="{40ED0708-6046-4AE1-9BD8-82796BA1336E}">
      <text>
        <t>[Threaded comment]
Your version of Excel allows you to read this threaded comment; however, any edits to it will get removed if the file is opened in a newer version of Excel. Learn more: https://go.microsoft.com/fwlink/?linkid=870924
Comment:
    25/5</t>
      </text>
    </comment>
    <comment ref="K22" authorId="5" shapeId="0" xr:uid="{AF4F27C4-EF02-4AEA-8D5F-2561E0F3840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</t>
      </text>
    </comment>
    <comment ref="P22" authorId="6" shapeId="0" xr:uid="{C0A5D0DF-594A-479E-B230-C11E8A2AA3F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start? Need to confirm</t>
      </text>
    </comment>
  </commentList>
</comments>
</file>

<file path=xl/sharedStrings.xml><?xml version="1.0" encoding="utf-8"?>
<sst xmlns="http://schemas.openxmlformats.org/spreadsheetml/2006/main" count="57" uniqueCount="42">
  <si>
    <t>small room</t>
  </si>
  <si>
    <t>Med room</t>
  </si>
  <si>
    <t>Larg room</t>
  </si>
  <si>
    <t>Date</t>
  </si>
  <si>
    <t>usage</t>
  </si>
  <si>
    <t>units</t>
  </si>
  <si>
    <t>diff per unit</t>
  </si>
  <si>
    <t xml:space="preserve">day </t>
  </si>
  <si>
    <t>If change</t>
  </si>
  <si>
    <t>daily charge</t>
  </si>
  <si>
    <t>New</t>
  </si>
  <si>
    <t>Night</t>
  </si>
  <si>
    <t>Old</t>
  </si>
  <si>
    <t>total</t>
  </si>
  <si>
    <t>Total</t>
  </si>
  <si>
    <t>levy</t>
  </si>
  <si>
    <t>After discount1&amp;2(2%)</t>
  </si>
  <si>
    <t>total usage price</t>
  </si>
  <si>
    <t>Total with daily charge and GST</t>
  </si>
  <si>
    <t>Total after 18% discount</t>
  </si>
  <si>
    <t>Total after GST</t>
  </si>
  <si>
    <t>Old price after 18%discount</t>
  </si>
  <si>
    <t>Price</t>
  </si>
  <si>
    <t>All time</t>
  </si>
  <si>
    <t>Gas reading</t>
  </si>
  <si>
    <t>Power reading</t>
  </si>
  <si>
    <t>L</t>
  </si>
  <si>
    <t>W</t>
  </si>
  <si>
    <t>H</t>
  </si>
  <si>
    <t>Cost</t>
  </si>
  <si>
    <t>No bottom</t>
  </si>
  <si>
    <t>with bottom</t>
  </si>
  <si>
    <t>no bottom</t>
  </si>
  <si>
    <t>Unit Gas usage/Month</t>
  </si>
  <si>
    <t>Unit power usage/Month</t>
  </si>
  <si>
    <t xml:space="preserve">Gas $0.205*30.4201/Unit </t>
  </si>
  <si>
    <t>Power $0.28369+$0.13/Unit</t>
  </si>
  <si>
    <t>Total power price/month</t>
  </si>
  <si>
    <t>since 14/4/22 $5 perweek</t>
  </si>
  <si>
    <t>$5/weekAddup</t>
  </si>
  <si>
    <t>paid</t>
  </si>
  <si>
    <t>Balance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</si>
</sst>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09]d\ mmmm\ yyyy;@"/>
  </numFmts>
  <fonts count="4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" fontId="0" fillId="0" borderId="0" xfId="0" applyNumberFormat="1"/>
    <xf numFmtId="14" fontId="2" fillId="2" borderId="1" xfId="0" applyNumberFormat="1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9" fontId="0" fillId="0" borderId="0" xfId="0" applyNumberFormat="1"/>
    <xf numFmtId="0" fontId="1" fillId="0" borderId="0" xfId="0" applyFont="1"/>
    <xf numFmtId="0" fontId="2" fillId="2" borderId="2" xfId="0" applyFont="1" applyFill="1" applyBorder="1"/>
    <xf numFmtId="0" fontId="0" fillId="0" borderId="3" xfId="0" applyBorder="1"/>
    <xf numFmtId="14" fontId="2" fillId="2" borderId="0" xfId="0" applyNumberFormat="1" applyFont="1" applyFill="1"/>
    <xf numFmtId="0" fontId="2" fillId="2" borderId="0" xfId="0" applyFont="1" applyFill="1"/>
    <xf numFmtId="2" fontId="2" fillId="2" borderId="0" xfId="0" applyNumberFormat="1" applyFont="1" applyFill="1"/>
    <xf numFmtId="0" fontId="2" fillId="2" borderId="3" xfId="0" applyFont="1" applyFill="1" applyBorder="1"/>
    <xf numFmtId="176" fontId="2" fillId="2" borderId="4" xfId="0" applyNumberFormat="1" applyFont="1" applyFill="1" applyBorder="1"/>
    <xf numFmtId="0" fontId="2" fillId="2" borderId="4" xfId="0" applyFont="1" applyFill="1" applyBorder="1"/>
    <xf numFmtId="0" fontId="0" fillId="2" borderId="4" xfId="0" applyFill="1" applyBorder="1"/>
    <xf numFmtId="0" fontId="2" fillId="3" borderId="4" xfId="0" applyFont="1" applyFill="1" applyBorder="1"/>
    <xf numFmtId="0" fontId="0" fillId="3" borderId="4" xfId="0" applyFill="1" applyBorder="1"/>
    <xf numFmtId="176" fontId="2" fillId="4" borderId="4" xfId="0" applyNumberFormat="1" applyFont="1" applyFill="1" applyBorder="1"/>
    <xf numFmtId="176" fontId="0" fillId="4" borderId="4" xfId="0" applyNumberFormat="1" applyFill="1" applyBorder="1"/>
    <xf numFmtId="2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Power!$A$5:$A$13</c:f>
              <c:numCache>
                <c:formatCode>m/d/yyyy</c:formatCode>
                <c:ptCount val="9"/>
                <c:pt idx="0">
                  <c:v>44323</c:v>
                </c:pt>
                <c:pt idx="1">
                  <c:v>44336</c:v>
                </c:pt>
                <c:pt idx="2">
                  <c:v>44348</c:v>
                </c:pt>
                <c:pt idx="3">
                  <c:v>44362</c:v>
                </c:pt>
                <c:pt idx="4">
                  <c:v>44414</c:v>
                </c:pt>
                <c:pt idx="5">
                  <c:v>44438</c:v>
                </c:pt>
                <c:pt idx="6">
                  <c:v>44460</c:v>
                </c:pt>
                <c:pt idx="7">
                  <c:v>44594</c:v>
                </c:pt>
                <c:pt idx="8">
                  <c:v>44642</c:v>
                </c:pt>
              </c:numCache>
            </c:numRef>
          </c:cat>
          <c:val>
            <c:numRef>
              <c:f>Power!$H$5:$H$13</c:f>
              <c:numCache>
                <c:formatCode>0.00</c:formatCode>
                <c:ptCount val="9"/>
                <c:pt idx="0">
                  <c:v>184.78156870588236</c:v>
                </c:pt>
                <c:pt idx="1">
                  <c:v>122.47170238461538</c:v>
                </c:pt>
                <c:pt idx="2">
                  <c:v>159.39515674999998</c:v>
                </c:pt>
                <c:pt idx="3">
                  <c:v>185.17389650000001</c:v>
                </c:pt>
                <c:pt idx="4">
                  <c:v>220.94760915384614</c:v>
                </c:pt>
                <c:pt idx="5">
                  <c:v>211.34630202083338</c:v>
                </c:pt>
                <c:pt idx="6">
                  <c:v>164.60215488636362</c:v>
                </c:pt>
                <c:pt idx="7">
                  <c:v>140.31768387686566</c:v>
                </c:pt>
                <c:pt idx="8">
                  <c:v>176.3464043125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7-4071-8BA3-4117A39A6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26536"/>
        <c:axId val="201324240"/>
      </c:lineChart>
      <c:dateAx>
        <c:axId val="201326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24240"/>
        <c:crosses val="autoZero"/>
        <c:auto val="1"/>
        <c:lblOffset val="100"/>
        <c:baseTimeUnit val="days"/>
      </c:dateAx>
      <c:valAx>
        <c:axId val="2013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26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36</xdr:row>
      <xdr:rowOff>37147</xdr:rowOff>
    </xdr:from>
    <xdr:to>
      <xdr:col>5</xdr:col>
      <xdr:colOff>1062990</xdr:colOff>
      <xdr:row>51</xdr:row>
      <xdr:rowOff>65722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B6A56-E53B-4712-A287-B72A2FCBA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hao, Daniel" id="{0BCD3DB6-EFCD-4AAF-9A91-B288313B3735}" userId="S::Daniel.Zhao@FISGLOBAL.COM::0f7c36fd-6cfe-48e5-bd26-3da5b5369f9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2" dT="2022-01-13T03:17:28.22" personId="{0BCD3DB6-EFCD-4AAF-9A91-B288313B3735}" id="{FD95F213-8647-4DC3-AEA6-A629587AF7D3}">
    <text>13/1/2022</text>
  </threadedComment>
  <threadedComment ref="P12" dT="2022-01-12T00:42:34.52" personId="{0BCD3DB6-EFCD-4AAF-9A91-B288313B3735}" id="{5C69474C-E7D8-4047-8661-D50ABB87B7F1}">
    <text>11/1/2022</text>
  </threadedComment>
  <threadedComment ref="P15" dT="2022-05-16T14:37:19.11" personId="{0BCD3DB6-EFCD-4AAF-9A91-B288313B3735}" id="{5BF2D02D-EA4D-493C-B448-77B94466136F}">
    <text>Didn't read</text>
  </threadedComment>
  <threadedComment ref="P16" dT="2022-05-25T01:08:15.53" personId="{0BCD3DB6-EFCD-4AAF-9A91-B288313B3735}" id="{9505A28F-B6A3-45DD-90AF-36836BD93749}">
    <text>didn't read</text>
  </threadedComment>
  <threadedComment ref="P17" dT="2022-05-25T01:07:57.28" personId="{0BCD3DB6-EFCD-4AAF-9A91-B288313B3735}" id="{40ED0708-6046-4AE1-9BD8-82796BA1336E}">
    <text>25/5</text>
  </threadedComment>
  <threadedComment ref="K22" dT="2022-12-02T00:17:21.97" personId="{0BCD3DB6-EFCD-4AAF-9A91-B288313B3735}" id="{AF4F27C4-EF02-4AEA-8D5F-2561E0F3840D}">
    <text>Estimate</text>
  </threadedComment>
  <threadedComment ref="P22" dT="2022-12-02T00:21:47.16" personId="{0BCD3DB6-EFCD-4AAF-9A91-B288313B3735}" id="{C0A5D0DF-594A-479E-B230-C11E8A2AA3FA}">
    <text>New start? Need to confirm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H1" workbookViewId="0">
      <pane ySplit="1" topLeftCell="A20" activePane="bottomLeft" state="frozen"/>
      <selection pane="bottomLeft" activeCell="S34" sqref="S34"/>
    </sheetView>
  </sheetViews>
  <sheetFormatPr defaultRowHeight="13.8"/>
  <cols>
    <col min="1" max="1" width="10.59765625" style="1" bestFit="1" customWidth="1"/>
    <col min="4" max="4" width="20.796875" style="2" bestFit="1" customWidth="1"/>
    <col min="5" max="5" width="23.19921875" style="2" bestFit="1" customWidth="1"/>
    <col min="6" max="8" width="23.19921875" style="2" customWidth="1"/>
    <col min="10" max="10" width="17.3984375" style="20" bestFit="1" customWidth="1"/>
    <col min="11" max="11" width="23.19921875" style="16" bestFit="1" customWidth="1"/>
    <col min="12" max="12" width="16" style="16" customWidth="1"/>
    <col min="13" max="13" width="14.09765625" style="16" bestFit="1" customWidth="1"/>
    <col min="14" max="14" width="9.59765625" style="18" bestFit="1" customWidth="1"/>
    <col min="15" max="15" width="9.59765625" style="18" customWidth="1"/>
    <col min="16" max="16" width="9.296875" style="16" bestFit="1" customWidth="1"/>
    <col min="17" max="17" width="8.8984375" style="16"/>
    <col min="18" max="18" width="8.8984375" style="9"/>
    <col min="19" max="19" width="10.59765625" bestFit="1" customWidth="1"/>
  </cols>
  <sheetData>
    <row r="1" spans="1:23" s="4" customFormat="1" ht="14.4" thickBot="1">
      <c r="A1" s="3" t="s">
        <v>3</v>
      </c>
      <c r="B1" s="4" t="s">
        <v>24</v>
      </c>
      <c r="C1" s="4" t="s">
        <v>25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J1" s="19" t="s">
        <v>3</v>
      </c>
      <c r="K1" s="15" t="s">
        <v>0</v>
      </c>
      <c r="L1" s="15" t="s">
        <v>4</v>
      </c>
      <c r="M1" s="15" t="s">
        <v>39</v>
      </c>
      <c r="N1" s="17" t="s">
        <v>1</v>
      </c>
      <c r="O1" s="17" t="s">
        <v>4</v>
      </c>
      <c r="P1" s="15" t="s">
        <v>2</v>
      </c>
      <c r="Q1" s="15" t="s">
        <v>4</v>
      </c>
      <c r="R1" s="8"/>
    </row>
    <row r="2" spans="1:23" s="11" customFormat="1">
      <c r="A2" s="10"/>
      <c r="D2" s="12"/>
      <c r="E2" s="12"/>
      <c r="F2" s="12"/>
      <c r="G2" s="12"/>
      <c r="H2" s="12"/>
      <c r="J2" s="19"/>
      <c r="K2" s="15"/>
      <c r="L2" s="15"/>
      <c r="M2" s="15"/>
      <c r="N2" s="17"/>
      <c r="O2" s="17"/>
      <c r="P2" s="15"/>
      <c r="Q2" s="15"/>
      <c r="R2" s="13"/>
    </row>
    <row r="3" spans="1:23" s="11" customFormat="1">
      <c r="A3" s="10"/>
      <c r="D3" s="12"/>
      <c r="E3" s="12"/>
      <c r="F3" s="12"/>
      <c r="G3" s="12"/>
      <c r="H3" s="12"/>
      <c r="J3" s="19"/>
      <c r="K3" s="15" t="s">
        <v>38</v>
      </c>
      <c r="L3" s="15"/>
      <c r="M3" s="14">
        <v>44665</v>
      </c>
      <c r="N3" s="17"/>
      <c r="O3" s="17"/>
      <c r="P3" s="15"/>
      <c r="Q3" s="15"/>
      <c r="R3" s="13"/>
    </row>
    <row r="4" spans="1:23">
      <c r="A4" s="1">
        <v>44289</v>
      </c>
      <c r="B4">
        <v>1730</v>
      </c>
      <c r="C4">
        <v>25355</v>
      </c>
      <c r="J4" s="20">
        <v>44289</v>
      </c>
      <c r="K4" s="16">
        <v>0</v>
      </c>
      <c r="M4" s="21"/>
      <c r="N4" s="18">
        <v>0</v>
      </c>
      <c r="P4" s="16">
        <v>0</v>
      </c>
    </row>
    <row r="5" spans="1:23">
      <c r="A5" s="1">
        <v>44323</v>
      </c>
      <c r="B5">
        <v>1742</v>
      </c>
      <c r="C5">
        <v>25664</v>
      </c>
      <c r="D5" s="2">
        <f>(B5-B4)/(A5-A4)*31</f>
        <v>10.941176470588236</v>
      </c>
      <c r="E5" s="2">
        <f>(C5-C4)/(A5-A4)*31</f>
        <v>281.73529411764707</v>
      </c>
      <c r="F5" s="2">
        <f>D5*0.205*30.4201</f>
        <v>68.230494882352943</v>
      </c>
      <c r="G5" s="2">
        <f>E5*(0.28369+0.13)</f>
        <v>116.55107382352942</v>
      </c>
      <c r="H5" s="2">
        <f>SUM(F5:G5)</f>
        <v>184.78156870588236</v>
      </c>
      <c r="J5" s="20">
        <v>44317</v>
      </c>
      <c r="K5" s="16">
        <v>42.3</v>
      </c>
      <c r="L5" s="16">
        <f t="shared" ref="L5:L23" si="0">(K5-K4-15)*0.3</f>
        <v>8.19</v>
      </c>
      <c r="M5" s="21"/>
      <c r="N5" s="18">
        <v>9.6</v>
      </c>
      <c r="O5" s="18">
        <f>(N5-N4-15)*0.3</f>
        <v>-1.62</v>
      </c>
      <c r="P5" s="16">
        <v>21.6</v>
      </c>
      <c r="Q5" s="16">
        <f>(P5-P4-15)*0.3</f>
        <v>1.9800000000000004</v>
      </c>
      <c r="S5" s="1">
        <v>44299</v>
      </c>
      <c r="T5">
        <v>1732</v>
      </c>
      <c r="V5" s="2">
        <f>(T5-B4)/(S5-A4)</f>
        <v>0.2</v>
      </c>
      <c r="W5" s="2"/>
    </row>
    <row r="6" spans="1:23">
      <c r="A6" s="1">
        <v>44336</v>
      </c>
      <c r="B6">
        <v>1744</v>
      </c>
      <c r="C6">
        <v>25758</v>
      </c>
      <c r="D6" s="2">
        <f t="shared" ref="D6:D17" si="1">(B6-B5)/(A6-A5)*31</f>
        <v>4.7692307692307692</v>
      </c>
      <c r="E6" s="2">
        <f t="shared" ref="E6:E17" si="2">(C6-C5)/(A6-A5)*31</f>
        <v>224.15384615384616</v>
      </c>
      <c r="F6" s="2">
        <f t="shared" ref="F6:F17" si="3">D6*0.205*30.4201</f>
        <v>29.741497769230769</v>
      </c>
      <c r="G6" s="2">
        <f t="shared" ref="G6:G16" si="4">E6*(0.28369+0.13)</f>
        <v>92.730204615384622</v>
      </c>
      <c r="H6" s="2">
        <f t="shared" ref="H6:H16" si="5">SUM(F6:G6)</f>
        <v>122.47170238461538</v>
      </c>
      <c r="J6" s="20">
        <v>44348</v>
      </c>
      <c r="K6" s="16">
        <v>103.1</v>
      </c>
      <c r="L6" s="16">
        <f t="shared" si="0"/>
        <v>13.739999999999998</v>
      </c>
      <c r="M6" s="21"/>
      <c r="P6" s="16">
        <v>38.1</v>
      </c>
      <c r="Q6" s="16">
        <f>(P6-P5-15)*0.3</f>
        <v>0.44999999999999996</v>
      </c>
      <c r="S6" s="1"/>
      <c r="V6" s="2"/>
      <c r="W6" s="2"/>
    </row>
    <row r="7" spans="1:23">
      <c r="A7" s="1">
        <v>44348</v>
      </c>
      <c r="B7">
        <v>1746</v>
      </c>
      <c r="C7">
        <v>25877</v>
      </c>
      <c r="D7" s="2">
        <f t="shared" si="1"/>
        <v>5.1666666666666661</v>
      </c>
      <c r="E7" s="2">
        <f t="shared" si="2"/>
        <v>307.41666666666663</v>
      </c>
      <c r="F7" s="2">
        <f t="shared" si="3"/>
        <v>32.219955916666663</v>
      </c>
      <c r="G7" s="2">
        <f t="shared" si="4"/>
        <v>127.17520083333332</v>
      </c>
      <c r="H7" s="2">
        <f t="shared" si="5"/>
        <v>159.39515674999998</v>
      </c>
      <c r="J7" s="20">
        <v>44378</v>
      </c>
      <c r="K7" s="16">
        <v>218.9</v>
      </c>
      <c r="L7" s="16">
        <f t="shared" si="0"/>
        <v>30.240000000000002</v>
      </c>
      <c r="M7" s="21"/>
      <c r="P7" s="16">
        <v>106.6</v>
      </c>
      <c r="Q7" s="16">
        <f>(P7-P6-15)*0.3</f>
        <v>16.05</v>
      </c>
      <c r="S7" s="1"/>
      <c r="U7" t="s">
        <v>5</v>
      </c>
      <c r="V7" s="2" t="s">
        <v>6</v>
      </c>
      <c r="W7" s="2"/>
    </row>
    <row r="8" spans="1:23">
      <c r="A8" s="1">
        <v>44362</v>
      </c>
      <c r="B8">
        <v>1748</v>
      </c>
      <c r="C8">
        <v>26049</v>
      </c>
      <c r="D8" s="2">
        <f t="shared" si="1"/>
        <v>4.4285714285714279</v>
      </c>
      <c r="E8" s="2">
        <f t="shared" si="2"/>
        <v>380.85714285714289</v>
      </c>
      <c r="F8" s="2">
        <f t="shared" si="3"/>
        <v>27.617105071428568</v>
      </c>
      <c r="G8" s="2">
        <f t="shared" si="4"/>
        <v>157.55679142857144</v>
      </c>
      <c r="H8" s="2">
        <f t="shared" si="5"/>
        <v>185.17389650000001</v>
      </c>
      <c r="J8" s="20">
        <v>44409</v>
      </c>
      <c r="K8" s="16">
        <v>381.4</v>
      </c>
      <c r="L8" s="16">
        <f t="shared" si="0"/>
        <v>44.249999999999993</v>
      </c>
      <c r="M8" s="21"/>
      <c r="N8" s="18">
        <v>9.6</v>
      </c>
      <c r="O8" s="18">
        <f t="shared" ref="O8:O27" si="6">(N8-N7-15)*0.3</f>
        <v>-1.62</v>
      </c>
      <c r="P8" s="16">
        <v>173.7</v>
      </c>
      <c r="Q8" s="16">
        <f>(P8-P7-15)*0.3</f>
        <v>15.629999999999997</v>
      </c>
      <c r="S8" s="1"/>
      <c r="T8">
        <f>0.3*30</f>
        <v>9</v>
      </c>
      <c r="U8">
        <f>C5-C4</f>
        <v>309</v>
      </c>
      <c r="V8" s="2">
        <f>23.5-20.8</f>
        <v>2.6999999999999993</v>
      </c>
      <c r="W8" s="2">
        <f>U8*V8/100</f>
        <v>8.3429999999999964</v>
      </c>
    </row>
    <row r="9" spans="1:23">
      <c r="A9" s="1">
        <v>44414</v>
      </c>
      <c r="B9">
        <v>1760</v>
      </c>
      <c r="C9">
        <v>26764</v>
      </c>
      <c r="D9" s="2">
        <f t="shared" si="1"/>
        <v>7.1538461538461542</v>
      </c>
      <c r="E9" s="2">
        <f t="shared" si="2"/>
        <v>426.25</v>
      </c>
      <c r="F9" s="2">
        <f t="shared" si="3"/>
        <v>44.612246653846157</v>
      </c>
      <c r="G9" s="2">
        <f t="shared" si="4"/>
        <v>176.3353625</v>
      </c>
      <c r="H9" s="2">
        <f t="shared" si="5"/>
        <v>220.94760915384614</v>
      </c>
      <c r="J9" s="20">
        <v>44449</v>
      </c>
      <c r="K9" s="16">
        <v>460.5</v>
      </c>
      <c r="L9" s="16">
        <f t="shared" si="0"/>
        <v>19.230000000000008</v>
      </c>
      <c r="M9" s="21"/>
      <c r="N9" s="18">
        <v>70.7</v>
      </c>
      <c r="O9" s="18">
        <f t="shared" si="6"/>
        <v>13.83</v>
      </c>
      <c r="P9" s="16">
        <v>245.3</v>
      </c>
      <c r="Q9" s="16">
        <f>(P9-P8-15)*0.3</f>
        <v>16.980000000000008</v>
      </c>
    </row>
    <row r="10" spans="1:23">
      <c r="A10" s="1">
        <v>44438</v>
      </c>
      <c r="B10">
        <v>1767</v>
      </c>
      <c r="C10">
        <v>27054</v>
      </c>
      <c r="D10" s="2">
        <f t="shared" si="1"/>
        <v>9.0416666666666679</v>
      </c>
      <c r="E10" s="2">
        <f t="shared" si="2"/>
        <v>374.58333333333337</v>
      </c>
      <c r="F10" s="2">
        <f t="shared" si="3"/>
        <v>56.384922854166675</v>
      </c>
      <c r="G10" s="2">
        <f t="shared" si="4"/>
        <v>154.96137916666669</v>
      </c>
      <c r="H10" s="2">
        <f t="shared" si="5"/>
        <v>211.34630202083338</v>
      </c>
      <c r="J10" s="20">
        <v>44504</v>
      </c>
      <c r="K10" s="16">
        <v>460.5</v>
      </c>
      <c r="L10" s="16">
        <f t="shared" si="0"/>
        <v>-4.5</v>
      </c>
      <c r="M10" s="21"/>
      <c r="N10" s="18">
        <v>96</v>
      </c>
      <c r="O10" s="18">
        <f t="shared" si="6"/>
        <v>3.089999999999999</v>
      </c>
      <c r="P10" s="16">
        <v>315.8</v>
      </c>
      <c r="Q10" s="16">
        <f t="shared" ref="Q10:Q23" si="7">(P10-P9-15)*0.3</f>
        <v>16.649999999999999</v>
      </c>
    </row>
    <row r="11" spans="1:23">
      <c r="A11" s="1">
        <v>44460</v>
      </c>
      <c r="B11">
        <v>1772</v>
      </c>
      <c r="C11">
        <v>27261</v>
      </c>
      <c r="D11" s="2">
        <f t="shared" si="1"/>
        <v>7.045454545454545</v>
      </c>
      <c r="E11" s="2">
        <f t="shared" si="2"/>
        <v>291.68181818181813</v>
      </c>
      <c r="F11" s="2">
        <f t="shared" si="3"/>
        <v>43.936303522727272</v>
      </c>
      <c r="G11" s="2">
        <f t="shared" si="4"/>
        <v>120.66585136363635</v>
      </c>
      <c r="H11" s="2">
        <f t="shared" si="5"/>
        <v>164.60215488636362</v>
      </c>
      <c r="J11" s="20">
        <v>44533</v>
      </c>
      <c r="K11" s="16">
        <v>517</v>
      </c>
      <c r="L11" s="16">
        <f t="shared" si="0"/>
        <v>12.45</v>
      </c>
      <c r="M11" s="21"/>
      <c r="N11" s="18">
        <v>100.7</v>
      </c>
      <c r="O11" s="18">
        <f t="shared" si="6"/>
        <v>-3.089999999999999</v>
      </c>
      <c r="P11" s="16">
        <v>315.8</v>
      </c>
      <c r="Q11" s="16">
        <f t="shared" si="7"/>
        <v>-4.5</v>
      </c>
    </row>
    <row r="12" spans="1:23">
      <c r="A12" s="1">
        <v>44594</v>
      </c>
      <c r="B12">
        <v>1801</v>
      </c>
      <c r="C12">
        <v>28290</v>
      </c>
      <c r="D12" s="2">
        <f t="shared" si="1"/>
        <v>6.7089552238805963</v>
      </c>
      <c r="E12" s="2">
        <f t="shared" si="2"/>
        <v>238.05223880597015</v>
      </c>
      <c r="F12" s="2">
        <f t="shared" si="3"/>
        <v>41.83785320522388</v>
      </c>
      <c r="G12" s="2">
        <f t="shared" si="4"/>
        <v>98.479830671641793</v>
      </c>
      <c r="H12" s="2">
        <f t="shared" si="5"/>
        <v>140.31768387686566</v>
      </c>
      <c r="J12" s="20">
        <v>44563</v>
      </c>
      <c r="K12" s="16">
        <v>589</v>
      </c>
      <c r="L12" s="16">
        <f t="shared" si="0"/>
        <v>17.099999999999998</v>
      </c>
      <c r="M12" s="21"/>
      <c r="N12" s="18">
        <v>110.1</v>
      </c>
      <c r="O12" s="18">
        <f t="shared" si="6"/>
        <v>-1.6800000000000026</v>
      </c>
      <c r="P12" s="16">
        <v>336.7</v>
      </c>
      <c r="Q12" s="16">
        <f t="shared" si="7"/>
        <v>1.7699999999999931</v>
      </c>
    </row>
    <row r="13" spans="1:23">
      <c r="A13" s="1">
        <v>44642</v>
      </c>
      <c r="B13">
        <v>1815</v>
      </c>
      <c r="C13">
        <v>28739</v>
      </c>
      <c r="D13" s="2">
        <f t="shared" si="1"/>
        <v>9.0416666666666679</v>
      </c>
      <c r="E13" s="2">
        <f t="shared" si="2"/>
        <v>289.97916666666663</v>
      </c>
      <c r="F13" s="2">
        <f t="shared" si="3"/>
        <v>56.384922854166675</v>
      </c>
      <c r="G13" s="2">
        <f t="shared" si="4"/>
        <v>119.96148145833332</v>
      </c>
      <c r="H13" s="2">
        <f t="shared" si="5"/>
        <v>176.3464043125</v>
      </c>
      <c r="J13" s="20">
        <v>44593</v>
      </c>
      <c r="K13" s="16">
        <v>623</v>
      </c>
      <c r="L13" s="16">
        <f t="shared" si="0"/>
        <v>5.7</v>
      </c>
      <c r="M13" s="21"/>
      <c r="N13" s="18">
        <v>119</v>
      </c>
      <c r="O13" s="18">
        <f t="shared" si="6"/>
        <v>-1.8299999999999983</v>
      </c>
      <c r="P13" s="16">
        <v>352.8</v>
      </c>
      <c r="Q13" s="16">
        <f t="shared" si="7"/>
        <v>0.33000000000000679</v>
      </c>
    </row>
    <row r="14" spans="1:23">
      <c r="D14" s="2">
        <f t="shared" si="1"/>
        <v>1.2603601989158193</v>
      </c>
      <c r="E14" s="2">
        <f t="shared" si="2"/>
        <v>19.956744769499572</v>
      </c>
      <c r="F14" s="2">
        <f t="shared" si="3"/>
        <v>7.8597580738430182</v>
      </c>
      <c r="G14" s="2">
        <f t="shared" si="4"/>
        <v>8.255905743694278</v>
      </c>
      <c r="H14" s="2">
        <f t="shared" si="5"/>
        <v>16.115663817537296</v>
      </c>
      <c r="J14" s="20">
        <v>44623</v>
      </c>
      <c r="K14" s="16">
        <v>683</v>
      </c>
      <c r="L14" s="16">
        <f t="shared" si="0"/>
        <v>13.5</v>
      </c>
      <c r="M14" s="21"/>
      <c r="N14" s="18">
        <v>124</v>
      </c>
      <c r="O14" s="18">
        <f t="shared" si="6"/>
        <v>-3</v>
      </c>
      <c r="P14" s="16">
        <v>363</v>
      </c>
      <c r="Q14" s="16">
        <f t="shared" si="7"/>
        <v>-1.4400000000000033</v>
      </c>
    </row>
    <row r="15" spans="1:23">
      <c r="D15" s="2" t="e">
        <f t="shared" si="1"/>
        <v>#DIV/0!</v>
      </c>
      <c r="E15" s="2" t="e">
        <f t="shared" si="2"/>
        <v>#DIV/0!</v>
      </c>
      <c r="F15" s="2" t="e">
        <f t="shared" si="3"/>
        <v>#DIV/0!</v>
      </c>
      <c r="G15" s="2" t="e">
        <f t="shared" si="4"/>
        <v>#DIV/0!</v>
      </c>
      <c r="H15" s="2" t="e">
        <f t="shared" si="5"/>
        <v>#DIV/0!</v>
      </c>
      <c r="J15" s="20">
        <v>44652</v>
      </c>
      <c r="K15" s="16">
        <v>758</v>
      </c>
      <c r="L15" s="16">
        <f t="shared" si="0"/>
        <v>18</v>
      </c>
      <c r="M15" s="21"/>
      <c r="N15" s="18">
        <v>131</v>
      </c>
      <c r="O15" s="18">
        <f t="shared" si="6"/>
        <v>-2.4</v>
      </c>
      <c r="P15" s="16">
        <v>378</v>
      </c>
      <c r="Q15" s="16">
        <f t="shared" si="7"/>
        <v>0</v>
      </c>
    </row>
    <row r="16" spans="1:23">
      <c r="D16" s="2" t="e">
        <f t="shared" si="1"/>
        <v>#DIV/0!</v>
      </c>
      <c r="E16" s="2" t="e">
        <f t="shared" si="2"/>
        <v>#DIV/0!</v>
      </c>
      <c r="F16" s="2" t="e">
        <f t="shared" si="3"/>
        <v>#DIV/0!</v>
      </c>
      <c r="G16" s="2" t="e">
        <f t="shared" si="4"/>
        <v>#DIV/0!</v>
      </c>
      <c r="H16" s="2" t="e">
        <f t="shared" si="5"/>
        <v>#DIV/0!</v>
      </c>
      <c r="J16" s="20">
        <v>44694</v>
      </c>
      <c r="K16" s="16">
        <v>878</v>
      </c>
      <c r="L16" s="16">
        <f t="shared" si="0"/>
        <v>31.5</v>
      </c>
      <c r="M16" s="21">
        <f>(J16-M3)/7*5</f>
        <v>20.714285714285715</v>
      </c>
      <c r="N16" s="18">
        <v>145</v>
      </c>
      <c r="O16" s="18">
        <f t="shared" si="6"/>
        <v>-0.3</v>
      </c>
      <c r="P16" s="16">
        <v>393</v>
      </c>
      <c r="Q16" s="16">
        <f t="shared" si="7"/>
        <v>0</v>
      </c>
    </row>
    <row r="17" spans="4:17">
      <c r="D17" s="2" t="e">
        <f t="shared" si="1"/>
        <v>#DIV/0!</v>
      </c>
      <c r="E17" s="2" t="e">
        <f t="shared" si="2"/>
        <v>#DIV/0!</v>
      </c>
      <c r="F17" s="2" t="e">
        <f t="shared" si="3"/>
        <v>#DIV/0!</v>
      </c>
      <c r="J17" s="20">
        <v>44713</v>
      </c>
      <c r="K17" s="16">
        <v>992</v>
      </c>
      <c r="L17" s="16">
        <f t="shared" si="0"/>
        <v>29.7</v>
      </c>
      <c r="M17" s="21">
        <f>(J17-M3)/7*5</f>
        <v>34.285714285714285</v>
      </c>
      <c r="N17" s="18">
        <v>161</v>
      </c>
      <c r="O17" s="18">
        <f t="shared" si="6"/>
        <v>0.3</v>
      </c>
      <c r="P17" s="16">
        <v>451</v>
      </c>
      <c r="Q17" s="16">
        <f t="shared" si="7"/>
        <v>12.9</v>
      </c>
    </row>
    <row r="18" spans="4:17">
      <c r="J18" s="20">
        <v>44743</v>
      </c>
      <c r="K18" s="16">
        <v>1123</v>
      </c>
      <c r="L18" s="16">
        <f t="shared" si="0"/>
        <v>34.799999999999997</v>
      </c>
      <c r="M18" s="21">
        <f>(J18-M3)/7*5</f>
        <v>55.714285714285708</v>
      </c>
      <c r="N18" s="18">
        <v>218</v>
      </c>
      <c r="O18" s="18">
        <f t="shared" si="6"/>
        <v>12.6</v>
      </c>
      <c r="P18" s="16">
        <v>521</v>
      </c>
      <c r="Q18" s="16">
        <f t="shared" si="7"/>
        <v>16.5</v>
      </c>
    </row>
    <row r="19" spans="4:17">
      <c r="J19" s="20">
        <v>44783</v>
      </c>
      <c r="K19" s="16">
        <v>1294</v>
      </c>
      <c r="L19" s="16">
        <f t="shared" si="0"/>
        <v>46.8</v>
      </c>
      <c r="M19" s="21">
        <f>(J19-M3)/7*5</f>
        <v>84.285714285714292</v>
      </c>
      <c r="N19" s="18">
        <v>291</v>
      </c>
      <c r="O19" s="18">
        <f t="shared" si="6"/>
        <v>17.399999999999999</v>
      </c>
      <c r="P19" s="16">
        <v>602</v>
      </c>
      <c r="Q19" s="16">
        <f t="shared" si="7"/>
        <v>19.8</v>
      </c>
    </row>
    <row r="20" spans="4:17">
      <c r="J20" s="20">
        <v>44815</v>
      </c>
      <c r="K20" s="16">
        <v>1441</v>
      </c>
      <c r="L20" s="16">
        <f t="shared" si="0"/>
        <v>39.6</v>
      </c>
      <c r="M20" s="21">
        <f>(J20-M3)/7*5</f>
        <v>107.14285714285714</v>
      </c>
      <c r="N20" s="18">
        <v>349</v>
      </c>
      <c r="O20" s="18">
        <f t="shared" si="6"/>
        <v>12.9</v>
      </c>
      <c r="P20" s="16">
        <v>661</v>
      </c>
      <c r="Q20" s="16">
        <f t="shared" si="7"/>
        <v>13.2</v>
      </c>
    </row>
    <row r="21" spans="4:17">
      <c r="J21" s="20">
        <v>44844</v>
      </c>
      <c r="K21" s="16">
        <v>1575</v>
      </c>
      <c r="L21" s="16">
        <f t="shared" si="0"/>
        <v>35.699999999999996</v>
      </c>
      <c r="M21" s="21">
        <f>(J21-M3)/7*5</f>
        <v>127.85714285714286</v>
      </c>
      <c r="N21" s="18">
        <v>367</v>
      </c>
      <c r="O21" s="18">
        <f t="shared" si="6"/>
        <v>0.89999999999999991</v>
      </c>
      <c r="P21" s="16">
        <v>661</v>
      </c>
      <c r="Q21" s="16">
        <f t="shared" si="7"/>
        <v>-4.5</v>
      </c>
    </row>
    <row r="22" spans="4:17">
      <c r="J22" s="20">
        <v>44866</v>
      </c>
      <c r="K22" s="16">
        <v>1600</v>
      </c>
      <c r="L22" s="16">
        <f t="shared" si="0"/>
        <v>3</v>
      </c>
      <c r="M22" s="21">
        <f>(J22-M3)/7*5</f>
        <v>143.57142857142858</v>
      </c>
      <c r="N22" s="18">
        <v>367</v>
      </c>
      <c r="O22" s="18">
        <f t="shared" si="6"/>
        <v>-4.5</v>
      </c>
      <c r="P22" s="16">
        <v>727</v>
      </c>
      <c r="Q22" s="16">
        <f t="shared" si="7"/>
        <v>15.299999999999999</v>
      </c>
    </row>
    <row r="23" spans="4:17">
      <c r="J23" s="20">
        <v>44896</v>
      </c>
      <c r="K23" s="16">
        <v>1693</v>
      </c>
      <c r="L23" s="16">
        <f t="shared" si="0"/>
        <v>23.4</v>
      </c>
      <c r="M23" s="21">
        <f>(J23-M3)/7*5</f>
        <v>165</v>
      </c>
      <c r="N23" s="18">
        <v>371</v>
      </c>
      <c r="O23" s="18">
        <f t="shared" si="6"/>
        <v>-3.3</v>
      </c>
      <c r="P23" s="16">
        <v>730</v>
      </c>
      <c r="Q23" s="16">
        <f t="shared" si="7"/>
        <v>-3.5999999999999996</v>
      </c>
    </row>
    <row r="24" spans="4:17">
      <c r="J24" s="20">
        <v>44927</v>
      </c>
      <c r="M24" s="21">
        <f>(J24-M3)/7*5</f>
        <v>187.14285714285717</v>
      </c>
      <c r="N24" s="18">
        <v>371</v>
      </c>
      <c r="O24" s="18">
        <f t="shared" si="6"/>
        <v>-4.5</v>
      </c>
      <c r="P24" s="16">
        <v>745</v>
      </c>
      <c r="Q24" s="16">
        <f>(P24-P23-15)*0.3</f>
        <v>0</v>
      </c>
    </row>
    <row r="25" spans="4:17">
      <c r="J25" s="20">
        <v>44958</v>
      </c>
      <c r="M25" s="21">
        <f>(J25-M3)/7*5</f>
        <v>209.28571428571428</v>
      </c>
      <c r="N25" s="18">
        <v>371</v>
      </c>
      <c r="O25" s="18">
        <f t="shared" si="6"/>
        <v>-4.5</v>
      </c>
      <c r="P25" s="16">
        <v>760</v>
      </c>
      <c r="Q25" s="16">
        <f>(P25-P24-15)*0.3</f>
        <v>0</v>
      </c>
    </row>
    <row r="26" spans="4:17">
      <c r="J26" s="20">
        <v>44986</v>
      </c>
      <c r="M26" s="21">
        <f>(J26-M3)/7*5</f>
        <v>229.28571428571428</v>
      </c>
      <c r="N26" s="18">
        <v>371</v>
      </c>
      <c r="O26" s="18">
        <f t="shared" si="6"/>
        <v>-4.5</v>
      </c>
      <c r="P26" s="16">
        <v>760</v>
      </c>
      <c r="Q26" s="16">
        <f>(P26-P25-15)*0.3</f>
        <v>-4.5</v>
      </c>
    </row>
    <row r="27" spans="4:17">
      <c r="J27" s="20">
        <v>45017</v>
      </c>
      <c r="K27" s="16">
        <v>2041</v>
      </c>
      <c r="L27" s="16">
        <f>(K27-K23-15*4)*0.3</f>
        <v>86.399999999999991</v>
      </c>
      <c r="M27" s="21">
        <f>(J27-M3)/7*5</f>
        <v>251.42857142857142</v>
      </c>
      <c r="N27" s="18">
        <v>371</v>
      </c>
      <c r="O27" s="18">
        <f t="shared" si="6"/>
        <v>-4.5</v>
      </c>
      <c r="P27" s="16">
        <v>764</v>
      </c>
      <c r="Q27" s="16">
        <f>(P27-P26-15)*0.3</f>
        <v>-3.3</v>
      </c>
    </row>
    <row r="28" spans="4:17">
      <c r="J28" s="20">
        <v>45047</v>
      </c>
      <c r="M28" s="21"/>
      <c r="P28" s="16">
        <v>779</v>
      </c>
      <c r="Q28" s="16">
        <f t="shared" ref="Q28:Q31" si="8">(P28-P27-15)*0.3</f>
        <v>0</v>
      </c>
    </row>
    <row r="29" spans="4:17">
      <c r="J29" s="20">
        <v>45078</v>
      </c>
      <c r="M29" s="21"/>
      <c r="P29" s="16">
        <v>794</v>
      </c>
      <c r="Q29" s="16">
        <f t="shared" si="8"/>
        <v>0</v>
      </c>
    </row>
    <row r="30" spans="4:17">
      <c r="J30" s="20">
        <v>45108</v>
      </c>
      <c r="M30" s="21"/>
      <c r="N30" s="18">
        <v>395</v>
      </c>
      <c r="O30" s="18">
        <f>(N30-N27-15)*0.3</f>
        <v>2.6999999999999997</v>
      </c>
      <c r="P30" s="16">
        <v>809</v>
      </c>
      <c r="Q30" s="16">
        <f t="shared" si="8"/>
        <v>0</v>
      </c>
    </row>
    <row r="31" spans="4:17">
      <c r="J31" s="20">
        <v>45146</v>
      </c>
      <c r="K31" s="16">
        <v>2724</v>
      </c>
      <c r="L31" s="16">
        <f>(K31-K27-15*4)*0.3</f>
        <v>186.9</v>
      </c>
      <c r="M31" s="21">
        <f>(J31-M3)/7*5</f>
        <v>343.57142857142856</v>
      </c>
      <c r="N31" s="18">
        <v>433</v>
      </c>
      <c r="O31" s="18">
        <f>(N31-N30-15)*0.3</f>
        <v>6.8999999999999995</v>
      </c>
      <c r="P31" s="16">
        <v>982</v>
      </c>
      <c r="Q31" s="16">
        <f t="shared" si="8"/>
        <v>47.4</v>
      </c>
    </row>
    <row r="32" spans="4:17">
      <c r="M32" s="21"/>
    </row>
    <row r="33" spans="11:13">
      <c r="M33" s="21"/>
    </row>
    <row r="34" spans="11:13">
      <c r="M34" s="21"/>
    </row>
    <row r="35" spans="11:13">
      <c r="K35" s="16" t="s">
        <v>14</v>
      </c>
      <c r="L35" s="16">
        <f>SUM(L12:L31)</f>
        <v>572.1</v>
      </c>
    </row>
    <row r="36" spans="11:13">
      <c r="L36" s="21"/>
    </row>
    <row r="37" spans="11:13">
      <c r="K37" s="16" t="s">
        <v>40</v>
      </c>
      <c r="L37" s="16">
        <v>158.80000000000001</v>
      </c>
    </row>
    <row r="38" spans="11:13">
      <c r="K38" s="16" t="s">
        <v>41</v>
      </c>
      <c r="L38" s="21">
        <f>L35-M31-L37</f>
        <v>69.728571428571456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5A31-02B1-4875-8854-70CA4235B45A}">
  <dimension ref="A2:H25"/>
  <sheetViews>
    <sheetView topLeftCell="A4" workbookViewId="0">
      <selection activeCell="F24" sqref="F24"/>
    </sheetView>
  </sheetViews>
  <sheetFormatPr defaultRowHeight="13.8"/>
  <cols>
    <col min="1" max="1" width="19.59765625" bestFit="1" customWidth="1"/>
    <col min="2" max="2" width="10.69921875" bestFit="1" customWidth="1"/>
    <col min="7" max="7" width="19.59765625" bestFit="1" customWidth="1"/>
  </cols>
  <sheetData>
    <row r="2" spans="1:8">
      <c r="A2" t="s">
        <v>8</v>
      </c>
    </row>
    <row r="4" spans="1:8">
      <c r="A4" t="s">
        <v>12</v>
      </c>
      <c r="B4" t="s">
        <v>9</v>
      </c>
      <c r="C4" t="s">
        <v>7</v>
      </c>
      <c r="D4" t="s">
        <v>11</v>
      </c>
      <c r="E4" t="s">
        <v>15</v>
      </c>
      <c r="F4" t="s">
        <v>14</v>
      </c>
      <c r="G4" t="s">
        <v>16</v>
      </c>
    </row>
    <row r="5" spans="1:8">
      <c r="A5" t="s">
        <v>22</v>
      </c>
      <c r="B5">
        <v>33.299999999999997</v>
      </c>
      <c r="C5">
        <v>35.200000000000003</v>
      </c>
      <c r="D5">
        <v>15</v>
      </c>
      <c r="E5">
        <v>0.13</v>
      </c>
      <c r="G5" s="6">
        <v>0.02</v>
      </c>
    </row>
    <row r="6" spans="1:8">
      <c r="A6" t="s">
        <v>4</v>
      </c>
      <c r="B6">
        <v>31</v>
      </c>
      <c r="C6" s="2">
        <v>264</v>
      </c>
      <c r="D6">
        <v>466</v>
      </c>
    </row>
    <row r="7" spans="1:8">
      <c r="A7" t="s">
        <v>17</v>
      </c>
      <c r="C7">
        <f>C5*C6</f>
        <v>9292.8000000000011</v>
      </c>
      <c r="D7">
        <f>D5*D6</f>
        <v>6990</v>
      </c>
      <c r="E7" s="2">
        <f>(C6+D6)*E5</f>
        <v>94.9</v>
      </c>
      <c r="F7">
        <f>SUM(C7:E7)</f>
        <v>16377.7</v>
      </c>
      <c r="G7">
        <f>F7*98%</f>
        <v>16050.146000000001</v>
      </c>
    </row>
    <row r="8" spans="1:8">
      <c r="B8">
        <f>B5*B6</f>
        <v>1032.3</v>
      </c>
      <c r="E8" s="2"/>
    </row>
    <row r="9" spans="1:8">
      <c r="A9" t="s">
        <v>18</v>
      </c>
      <c r="E9" s="2"/>
      <c r="H9">
        <f>(G7+B8)*1.15</f>
        <v>19644.812899999997</v>
      </c>
    </row>
    <row r="10" spans="1:8">
      <c r="A10" t="s">
        <v>19</v>
      </c>
      <c r="E10" s="2"/>
      <c r="H10" s="7">
        <f>H9*(1-18%)/100</f>
        <v>161.08746577999997</v>
      </c>
    </row>
    <row r="11" spans="1:8">
      <c r="E11" s="2"/>
    </row>
    <row r="12" spans="1:8">
      <c r="A12" t="s">
        <v>21</v>
      </c>
      <c r="C12" s="2">
        <f>C5*(1-18%)</f>
        <v>28.864000000000004</v>
      </c>
      <c r="D12" s="2">
        <f>D5*(1-18%)</f>
        <v>12.3</v>
      </c>
    </row>
    <row r="13" spans="1:8">
      <c r="C13" s="2"/>
    </row>
    <row r="14" spans="1:8">
      <c r="A14" t="s">
        <v>10</v>
      </c>
      <c r="C14" s="2"/>
    </row>
    <row r="15" spans="1:8">
      <c r="A15" t="s">
        <v>22</v>
      </c>
      <c r="B15">
        <v>30</v>
      </c>
      <c r="C15" s="2">
        <v>26.7</v>
      </c>
      <c r="D15">
        <v>12.5</v>
      </c>
      <c r="E15">
        <v>0.13</v>
      </c>
    </row>
    <row r="16" spans="1:8">
      <c r="A16" t="s">
        <v>4</v>
      </c>
      <c r="B16">
        <v>30</v>
      </c>
      <c r="C16" s="2">
        <v>264</v>
      </c>
      <c r="D16">
        <v>466</v>
      </c>
    </row>
    <row r="17" spans="1:6">
      <c r="A17" t="s">
        <v>13</v>
      </c>
      <c r="B17">
        <f>B15*B16</f>
        <v>900</v>
      </c>
      <c r="C17">
        <f>C15*C16</f>
        <v>7048.8</v>
      </c>
      <c r="D17">
        <f>D15*D16</f>
        <v>5825</v>
      </c>
      <c r="E17" s="2">
        <f>(C16+D16)*E15</f>
        <v>94.9</v>
      </c>
      <c r="F17">
        <f>SUM(B17:E17)</f>
        <v>13868.699999999999</v>
      </c>
    </row>
    <row r="18" spans="1:6">
      <c r="A18" t="s">
        <v>20</v>
      </c>
      <c r="F18" s="7">
        <f>F17*1.15/100</f>
        <v>159.49004999999997</v>
      </c>
    </row>
    <row r="20" spans="1:6">
      <c r="A20" t="s">
        <v>23</v>
      </c>
    </row>
    <row r="21" spans="1:6">
      <c r="A21" t="s">
        <v>10</v>
      </c>
      <c r="C21" s="2"/>
    </row>
    <row r="22" spans="1:6">
      <c r="A22" t="s">
        <v>22</v>
      </c>
      <c r="B22">
        <v>30</v>
      </c>
      <c r="C22" s="2">
        <v>20.8</v>
      </c>
      <c r="D22">
        <v>20.8</v>
      </c>
      <c r="E22">
        <v>0.13</v>
      </c>
    </row>
    <row r="23" spans="1:6">
      <c r="A23" t="s">
        <v>4</v>
      </c>
      <c r="B23">
        <v>30</v>
      </c>
      <c r="C23" s="2">
        <v>264</v>
      </c>
      <c r="D23">
        <v>466</v>
      </c>
    </row>
    <row r="24" spans="1:6">
      <c r="A24" t="s">
        <v>13</v>
      </c>
      <c r="B24">
        <f>B22*B23</f>
        <v>900</v>
      </c>
      <c r="C24">
        <f>C22*C23</f>
        <v>5491.2</v>
      </c>
      <c r="D24">
        <f>D22*D23</f>
        <v>9692.8000000000011</v>
      </c>
      <c r="E24" s="2">
        <f>(C23+D23)*E22</f>
        <v>94.9</v>
      </c>
      <c r="F24">
        <f>SUM(B24:E24)</f>
        <v>16178.9</v>
      </c>
    </row>
    <row r="25" spans="1:6">
      <c r="A25" t="s">
        <v>20</v>
      </c>
      <c r="F25" s="7">
        <f>F24*1.15/100</f>
        <v>186.05734999999996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0E43-5026-43D1-888A-74A80FE8B609}">
  <dimension ref="A1:G20"/>
  <sheetViews>
    <sheetView workbookViewId="0">
      <selection activeCell="G12" sqref="G12"/>
    </sheetView>
  </sheetViews>
  <sheetFormatPr defaultRowHeight="13.8"/>
  <sheetData>
    <row r="1" spans="1:7">
      <c r="A1" t="s">
        <v>29</v>
      </c>
    </row>
    <row r="2" spans="1:7">
      <c r="A2" t="s">
        <v>26</v>
      </c>
      <c r="B2" t="s">
        <v>27</v>
      </c>
      <c r="C2" t="s">
        <v>28</v>
      </c>
    </row>
    <row r="3" spans="1:7">
      <c r="A3">
        <v>1.5</v>
      </c>
      <c r="B3">
        <v>2.5</v>
      </c>
      <c r="C3">
        <v>3</v>
      </c>
      <c r="D3">
        <f>(A3+B3)*2*C3*3</f>
        <v>72</v>
      </c>
    </row>
    <row r="5" spans="1:7">
      <c r="A5" t="s">
        <v>30</v>
      </c>
      <c r="D5" t="s">
        <v>32</v>
      </c>
      <c r="F5" t="s">
        <v>31</v>
      </c>
    </row>
    <row r="6" spans="1:7">
      <c r="A6" t="s">
        <v>26</v>
      </c>
      <c r="B6" t="s">
        <v>27</v>
      </c>
      <c r="C6" t="s">
        <v>28</v>
      </c>
    </row>
    <row r="7" spans="1:7">
      <c r="A7">
        <v>1.6</v>
      </c>
      <c r="B7">
        <v>0.3</v>
      </c>
      <c r="C7">
        <v>0.4</v>
      </c>
      <c r="D7">
        <f>(A7+B7)*2*C7*10*5</f>
        <v>76.000000000000014</v>
      </c>
      <c r="F7">
        <f>(A7+B7)*2*C7*10*5+B7*10*A7*5</f>
        <v>100.00000000000001</v>
      </c>
    </row>
    <row r="8" spans="1:7">
      <c r="A8">
        <v>1.1000000000000001</v>
      </c>
      <c r="B8">
        <v>0.3</v>
      </c>
      <c r="C8">
        <v>0.4</v>
      </c>
      <c r="D8">
        <f t="shared" ref="D8:D20" si="0">(A8+B8)*2*C8*10*5</f>
        <v>56.000000000000007</v>
      </c>
      <c r="F8">
        <f t="shared" ref="F8:F20" si="1">(A8+B8)*2*C8*10*5+B8*10*A8*5</f>
        <v>72.5</v>
      </c>
    </row>
    <row r="9" spans="1:7">
      <c r="A9">
        <v>1.3</v>
      </c>
      <c r="B9">
        <v>0.5</v>
      </c>
      <c r="C9">
        <v>0.4</v>
      </c>
      <c r="D9">
        <f t="shared" si="0"/>
        <v>72.000000000000014</v>
      </c>
      <c r="F9">
        <f t="shared" si="1"/>
        <v>104.50000000000001</v>
      </c>
    </row>
    <row r="10" spans="1:7">
      <c r="A10">
        <v>1.3</v>
      </c>
      <c r="B10">
        <v>0.5</v>
      </c>
      <c r="C10">
        <v>0.4</v>
      </c>
      <c r="D10">
        <f t="shared" si="0"/>
        <v>72.000000000000014</v>
      </c>
      <c r="F10">
        <f t="shared" si="1"/>
        <v>104.50000000000001</v>
      </c>
    </row>
    <row r="11" spans="1:7">
      <c r="A11">
        <v>1.3</v>
      </c>
      <c r="B11">
        <v>0.5</v>
      </c>
      <c r="C11">
        <v>0.4</v>
      </c>
      <c r="D11">
        <f t="shared" si="0"/>
        <v>72.000000000000014</v>
      </c>
      <c r="F11">
        <f t="shared" si="1"/>
        <v>104.50000000000001</v>
      </c>
      <c r="G11">
        <f>SUM(F7:F11)</f>
        <v>486</v>
      </c>
    </row>
    <row r="12" spans="1:7">
      <c r="A12">
        <v>2.2999999999999998</v>
      </c>
      <c r="B12">
        <v>0.7</v>
      </c>
      <c r="C12">
        <v>0.3</v>
      </c>
      <c r="D12">
        <f t="shared" si="0"/>
        <v>90</v>
      </c>
      <c r="F12">
        <f t="shared" si="1"/>
        <v>170.5</v>
      </c>
    </row>
    <row r="13" spans="1:7">
      <c r="A13">
        <v>1.2</v>
      </c>
      <c r="B13">
        <v>0.4</v>
      </c>
      <c r="C13">
        <v>0.4</v>
      </c>
      <c r="D13">
        <f t="shared" si="0"/>
        <v>64.000000000000014</v>
      </c>
      <c r="F13">
        <f t="shared" si="1"/>
        <v>88.000000000000014</v>
      </c>
    </row>
    <row r="14" spans="1:7">
      <c r="D14">
        <f t="shared" si="0"/>
        <v>0</v>
      </c>
      <c r="F14">
        <f t="shared" si="1"/>
        <v>0</v>
      </c>
    </row>
    <row r="15" spans="1:7">
      <c r="D15">
        <f t="shared" si="0"/>
        <v>0</v>
      </c>
      <c r="F15">
        <f t="shared" si="1"/>
        <v>0</v>
      </c>
    </row>
    <row r="16" spans="1:7">
      <c r="D16">
        <f t="shared" si="0"/>
        <v>0</v>
      </c>
      <c r="F16">
        <f t="shared" si="1"/>
        <v>0</v>
      </c>
    </row>
    <row r="17" spans="4:6">
      <c r="D17">
        <f t="shared" si="0"/>
        <v>0</v>
      </c>
      <c r="F17">
        <f t="shared" si="1"/>
        <v>0</v>
      </c>
    </row>
    <row r="18" spans="4:6">
      <c r="D18">
        <f t="shared" si="0"/>
        <v>0</v>
      </c>
      <c r="F18">
        <f t="shared" si="1"/>
        <v>0</v>
      </c>
    </row>
    <row r="19" spans="4:6">
      <c r="D19">
        <f t="shared" si="0"/>
        <v>0</v>
      </c>
      <c r="F19">
        <f t="shared" si="1"/>
        <v>0</v>
      </c>
    </row>
    <row r="20" spans="4:6">
      <c r="D20">
        <f t="shared" si="0"/>
        <v>0</v>
      </c>
      <c r="F20">
        <f t="shared" si="1"/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Matipo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Daniel</dc:creator>
  <cp:lastModifiedBy>Zhao, Daniel</cp:lastModifiedBy>
  <dcterms:created xsi:type="dcterms:W3CDTF">2015-06-05T18:17:20Z</dcterms:created>
  <dcterms:modified xsi:type="dcterms:W3CDTF">2023-08-12T02:38:44Z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2023-04-04T22:53:25Z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007a6458-f6c6-4e22-8a91-1ca3f726df52</vt:lpwstr>
  </property>
  <property fmtid="{D5CDD505-2E9C-101B-9397-08002B2CF9AE}" pid="8" name="MSIP_Label_9e1e58c1-766d-4ff4-9619-b604fc37898b_ContentBits">
    <vt:lpwstr>0</vt:lpwstr>
  </property>
</Properties>
</file>