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4ca3c137fc4ff4/Desktop/module_challenges/module_1/module_one_excel_challenge/"/>
    </mc:Choice>
  </mc:AlternateContent>
  <xr:revisionPtr revIDLastSave="212" documentId="8_{5C076F92-EAF9-48C1-BDA7-E823B4A0E772}" xr6:coauthVersionLast="47" xr6:coauthVersionMax="47" xr10:uidLastSave="{56AE1FC8-8708-46C7-8D5E-FA9B51687BD4}"/>
  <bookViews>
    <workbookView xWindow="-120" yWindow="-120" windowWidth="29040" windowHeight="15720" tabRatio="768" xr2:uid="{00000000-000D-0000-FFFF-FFFF00000000}"/>
  </bookViews>
  <sheets>
    <sheet name="crowdfunding" sheetId="1" r:id="rId1"/>
    <sheet name="outcome_category" sheetId="4" r:id="rId2"/>
    <sheet name="outcome_sub-category" sheetId="5" r:id="rId3"/>
    <sheet name="outcome_month" sheetId="12" r:id="rId4"/>
    <sheet name="outcome_based_on_goal" sheetId="13" r:id="rId5"/>
    <sheet name="mean_median" sheetId="14" r:id="rId6"/>
  </sheets>
  <definedNames>
    <definedName name="_xlnm._FilterDatabase" localSheetId="0" hidden="1">crowdfunding!$A$1:$T$1001</definedName>
    <definedName name="_xlnm._FilterDatabase" localSheetId="5" hidden="1">mean_median!$E$1:$E$567</definedName>
    <definedName name="GOAL">crowdfunding!$D:$D</definedName>
    <definedName name="Outcome">crowdfunding!$G:$G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4" l="1"/>
  <c r="H7" i="14"/>
  <c r="K6" i="14"/>
  <c r="H6" i="14"/>
  <c r="K2" i="14" l="1"/>
  <c r="H2" i="14"/>
  <c r="K5" i="14"/>
  <c r="K4" i="14"/>
  <c r="H5" i="14"/>
  <c r="H4" i="14"/>
  <c r="K3" i="14"/>
  <c r="H3" i="14"/>
  <c r="I8" i="1" l="1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7" i="13"/>
  <c r="B8" i="13"/>
  <c r="B6" i="13"/>
  <c r="B5" i="13"/>
  <c r="B4" i="13"/>
  <c r="B3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3" l="1"/>
  <c r="H2" i="13" s="1"/>
  <c r="E12" i="13"/>
  <c r="G12" i="13" s="1"/>
  <c r="E9" i="13"/>
  <c r="G9" i="13" s="1"/>
  <c r="E8" i="13"/>
  <c r="H8" i="13" s="1"/>
  <c r="E10" i="13"/>
  <c r="F10" i="13" s="1"/>
  <c r="E11" i="13"/>
  <c r="H11" i="13" s="1"/>
  <c r="E13" i="13"/>
  <c r="G13" i="13" s="1"/>
  <c r="H9" i="13"/>
  <c r="F9" i="13"/>
  <c r="G8" i="13"/>
  <c r="E7" i="13"/>
  <c r="H7" i="13" s="1"/>
  <c r="F4" i="13"/>
  <c r="F3" i="13"/>
  <c r="F5" i="13"/>
  <c r="F11" i="13"/>
  <c r="H10" i="13"/>
  <c r="H12" i="13"/>
  <c r="E6" i="13"/>
  <c r="H6" i="13" s="1"/>
  <c r="E5" i="13"/>
  <c r="H5" i="13" s="1"/>
  <c r="E4" i="13"/>
  <c r="H4" i="13" s="1"/>
  <c r="E3" i="13"/>
  <c r="H3" i="13" s="1"/>
  <c r="F12" i="13"/>
  <c r="F8" i="13"/>
  <c r="F2" i="13" l="1"/>
  <c r="G2" i="13"/>
  <c r="F6" i="13"/>
  <c r="F13" i="13"/>
  <c r="G10" i="13"/>
  <c r="G7" i="13"/>
  <c r="F7" i="13"/>
  <c r="G11" i="13"/>
  <c r="H13" i="13"/>
  <c r="G6" i="13"/>
  <c r="G3" i="13"/>
  <c r="G5" i="13"/>
  <c r="G4" i="13"/>
</calcChain>
</file>

<file path=xl/sharedStrings.xml><?xml version="1.0" encoding="utf-8"?>
<sst xmlns="http://schemas.openxmlformats.org/spreadsheetml/2006/main" count="7072" uniqueCount="2117">
  <si>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</si>
  <si>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</si>
  <si>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</si>
  <si>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</si>
  <si>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</si>
  <si>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</si>
  <si>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</si>
  <si>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</si>
  <si>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</si>
  <si>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</si>
  <si>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</si>
  <si>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</si>
  <si>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</si>
  <si>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</si>
  <si>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</si>
  <si>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</si>
  <si>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</si>
  <si>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</si>
  <si>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</si>
  <si>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</si>
  <si>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</si>
  <si>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</si>
  <si>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</si>
  <si>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</si>
  <si>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</si>
  <si>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</si>
  <si>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</si>
  <si>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</si>
  <si>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</si>
  <si>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</si>
  <si>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</si>
  <si>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</si>
  <si>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</si>
  <si>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</si>
  <si>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</si>
  <si>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</si>
  <si>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</si>
  <si>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</si>
  <si>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</si>
  <si>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</si>
  <si>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</si>
  <si>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</si>
  <si>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</si>
  <si>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</si>
  <si>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</si>
  <si>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</si>
  <si>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</si>
  <si>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</si>
  <si>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</si>
  <si>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</si>
  <si>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</si>
  <si>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</si>
  <si>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</si>
  <si>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</si>
  <si>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</si>
  <si>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</si>
  <si>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</si>
  <si>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</si>
  <si>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</si>
  <si>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</si>
  <si>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</si>
  <si>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</si>
  <si>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</si>
  <si>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</si>
  <si>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</si>
  <si>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</si>
  <si>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</si>
  <si>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</si>
  <si>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</si>
  <si>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</si>
  <si>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</si>
  <si>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</si>
  <si>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</si>
  <si>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</si>
  <si>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</si>
  <si>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</si>
  <si>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</si>
  <si>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</si>
  <si>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</si>
  <si>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</si>
  <si>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</si>
  <si>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</si>
  <si>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</si>
  <si>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</si>
  <si>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</si>
  <si>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</si>
  <si>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</si>
  <si>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</si>
  <si>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</si>
  <si>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</si>
  <si>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</si>
  <si>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</si>
  <si>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</si>
  <si>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</si>
  <si>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</si>
  <si>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</si>
  <si>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</si>
  <si>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</si>
  <si>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</si>
  <si>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</si>
  <si>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</si>
  <si>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</si>
  <si>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</si>
  <si>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</si>
  <si>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</si>
  <si>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</si>
  <si>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</si>
  <si>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</si>
  <si>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</si>
  <si>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</si>
  <si>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</si>
  <si>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</si>
  <si>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</si>
  <si>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</si>
  <si>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</si>
  <si>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</si>
  <si>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</si>
  <si>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</si>
  <si>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</si>
  <si>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</si>
  <si>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</si>
  <si>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</si>
  <si>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</si>
  <si>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</si>
  <si>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</si>
  <si>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</si>
  <si>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</si>
  <si>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</si>
  <si>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</si>
  <si>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</si>
  <si>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</si>
  <si>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</si>
  <si>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</si>
  <si>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</si>
  <si>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</si>
  <si>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</si>
  <si>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</si>
  <si>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</si>
  <si>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</si>
  <si>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</si>
  <si>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</si>
  <si>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</si>
  <si>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</si>
  <si>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</si>
  <si>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</si>
  <si>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</si>
  <si>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</si>
  <si>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</si>
  <si>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</si>
  <si>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</si>
  <si>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</si>
  <si>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</si>
  <si>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</si>
  <si>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</si>
  <si>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</si>
  <si>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</si>
  <si>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</si>
  <si>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</si>
  <si>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</si>
  <si>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</si>
  <si>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</si>
  <si>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</si>
  <si>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</si>
  <si>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</si>
  <si>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</si>
  <si>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</si>
  <si>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</si>
  <si>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</si>
  <si>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</si>
  <si>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</si>
  <si>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</si>
  <si>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</si>
  <si>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</si>
  <si>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</si>
  <si>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</si>
  <si>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</si>
  <si>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</si>
  <si>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</si>
  <si>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</si>
  <si>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</si>
  <si>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</si>
  <si>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</si>
  <si>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</si>
  <si>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</si>
  <si>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</si>
  <si>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</si>
  <si>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</si>
  <si>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</si>
  <si>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</si>
  <si>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</si>
  <si>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</si>
  <si>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</si>
  <si>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</si>
  <si>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</si>
  <si>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</si>
  <si>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</si>
  <si>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</si>
  <si>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</si>
  <si>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</si>
  <si>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</si>
  <si>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</si>
  <si>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</si>
  <si>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</si>
  <si>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</si>
  <si>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</si>
  <si>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</si>
  <si>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</si>
  <si>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</si>
  <si>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</si>
  <si>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</si>
  <si>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</si>
  <si>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</si>
  <si>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</si>
  <si>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</si>
  <si>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</si>
  <si>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</si>
  <si>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</si>
  <si>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</si>
  <si>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</si>
  <si>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</si>
  <si>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</si>
  <si>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</si>
  <si>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</si>
  <si>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</si>
  <si>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</si>
  <si>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</si>
  <si>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</si>
  <si>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</si>
  <si>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</si>
  <si>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</si>
  <si>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</si>
  <si>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</si>
  <si>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</si>
  <si>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</si>
  <si>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</si>
  <si>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</si>
  <si>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</si>
  <si>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</si>
  <si>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</si>
  <si>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</si>
  <si>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</si>
  <si>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</si>
  <si>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</si>
  <si>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</si>
  <si>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</si>
  <si>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</si>
  <si>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</si>
  <si>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</si>
  <si>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</si>
  <si>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</si>
  <si>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</si>
  <si>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</si>
  <si>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</si>
  <si>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</si>
  <si>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</si>
  <si>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</si>
  <si>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</si>
  <si>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</si>
  <si>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</si>
  <si>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</si>
  <si>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</si>
  <si>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</si>
  <si>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</si>
  <si>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</si>
  <si>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</si>
  <si>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</si>
  <si>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</si>
  <si>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</si>
  <si>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</si>
  <si>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</si>
  <si>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</si>
  <si>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</si>
  <si>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</si>
  <si>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</si>
  <si>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</si>
  <si>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</si>
  <si>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</si>
  <si>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</si>
  <si>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</si>
  <si>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</si>
  <si>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</si>
  <si>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</si>
  <si>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</si>
  <si>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</si>
  <si>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</si>
  <si>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</si>
  <si>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</si>
  <si>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</si>
  <si>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</si>
  <si>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</si>
  <si>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</si>
  <si>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</si>
  <si>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</si>
  <si>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</si>
  <si>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</si>
  <si>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</si>
  <si>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</si>
  <si>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</si>
  <si>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</si>
  <si>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</si>
  <si>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</si>
  <si>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</si>
  <si>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</si>
  <si>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</si>
  <si>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</si>
  <si>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</si>
  <si>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</si>
  <si>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</si>
  <si>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</si>
  <si>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</si>
  <si>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</si>
  <si>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</si>
  <si>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</si>
  <si>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</si>
  <si>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</si>
  <si>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</si>
  <si>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</si>
  <si>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</si>
  <si>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</si>
  <si>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</si>
  <si>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</si>
  <si>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</si>
  <si>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</si>
  <si>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</si>
  <si>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</si>
  <si>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</si>
  <si>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</si>
  <si>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</si>
  <si>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</si>
  <si>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</si>
  <si>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</si>
  <si>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</si>
  <si>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</si>
  <si>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</si>
  <si>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</si>
  <si>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</si>
  <si>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</si>
  <si>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</si>
  <si>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</si>
  <si>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</si>
  <si>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</si>
  <si>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</si>
  <si>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</si>
  <si>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</si>
  <si>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</si>
  <si>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</si>
  <si>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</si>
  <si>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</si>
  <si>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</si>
  <si>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</si>
  <si>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</si>
  <si>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</si>
  <si>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</si>
  <si>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</si>
  <si>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</si>
  <si>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</si>
  <si>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</si>
  <si>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</si>
  <si>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</si>
  <si>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</si>
  <si>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</si>
  <si>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</si>
  <si>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</si>
  <si>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</si>
  <si>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</si>
  <si>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</si>
  <si>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</si>
  <si>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</si>
  <si>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</si>
  <si>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</si>
  <si>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</si>
  <si>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</si>
  <si>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</si>
  <si>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</si>
  <si>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</si>
  <si>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</si>
  <si>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</si>
  <si>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</si>
  <si>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</si>
  <si>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</si>
  <si>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</si>
  <si>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</si>
  <si>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</si>
  <si>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</si>
  <si>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</si>
  <si>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</si>
  <si>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</si>
  <si>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</si>
  <si>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</si>
  <si>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</si>
  <si>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</si>
  <si>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</si>
  <si>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</si>
  <si>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</si>
  <si>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</si>
  <si>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</si>
  <si>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</si>
  <si>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</si>
  <si>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</si>
  <si>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</si>
  <si>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</si>
  <si>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</si>
  <si>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</si>
  <si>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</si>
  <si>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</si>
  <si>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</si>
  <si>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</si>
  <si>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</si>
  <si>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</si>
  <si>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</si>
  <si>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</si>
  <si>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</si>
  <si>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</si>
  <si>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</si>
  <si>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</si>
  <si>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</si>
  <si>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</si>
  <si>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</si>
  <si>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</si>
  <si>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</si>
  <si>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</si>
  <si>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</si>
  <si>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</si>
  <si>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</si>
  <si>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</si>
  <si>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</si>
  <si>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</si>
  <si>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</si>
  <si>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</si>
  <si>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</si>
  <si>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</si>
  <si>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</si>
  <si>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</si>
  <si>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</si>
  <si>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</si>
  <si>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</si>
  <si>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</si>
  <si>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</si>
  <si>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</si>
  <si>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</si>
  <si>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</si>
  <si>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</si>
  <si>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</si>
  <si>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</si>
  <si>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</si>
  <si>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</si>
  <si>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</si>
  <si>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</si>
  <si>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</si>
  <si>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</si>
  <si>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</si>
  <si>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</si>
  <si>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</si>
  <si>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</si>
  <si>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</si>
  <si>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</si>
  <si>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</si>
  <si>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</si>
  <si>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</si>
  <si>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</si>
  <si>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</si>
  <si>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</si>
  <si>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</si>
  <si>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</si>
  <si>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</si>
  <si>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</si>
  <si>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</si>
  <si>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</si>
  <si>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</si>
  <si>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</si>
  <si>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</si>
  <si>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</si>
  <si>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</si>
  <si>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</si>
  <si>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</si>
  <si>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</si>
  <si>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</si>
  <si>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</si>
  <si>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</si>
  <si>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</si>
  <si>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</si>
  <si>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</si>
  <si>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</si>
  <si>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</si>
  <si>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</si>
  <si>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</si>
  <si>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</si>
  <si>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</si>
  <si>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</si>
  <si>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</si>
  <si>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</si>
  <si>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</si>
  <si>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</si>
  <si>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</si>
  <si>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</si>
  <si>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</si>
  <si>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</si>
  <si>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</si>
  <si>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</si>
  <si>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</si>
  <si>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</si>
  <si>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</si>
  <si>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</si>
  <si>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</si>
  <si>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</si>
  <si>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</si>
  <si>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</si>
  <si>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</si>
  <si>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</si>
  <si>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</si>
  <si>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</si>
  <si>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</si>
  <si>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</si>
  <si>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</si>
  <si>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</si>
  <si>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</si>
  <si>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</si>
  <si>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</si>
  <si>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</si>
  <si>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</si>
  <si>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</si>
  <si>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</si>
  <si>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</si>
  <si>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</si>
  <si>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</si>
  <si>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</si>
  <si>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</si>
  <si>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</si>
  <si>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</si>
  <si>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</si>
  <si>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</si>
  <si>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</si>
  <si>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</si>
  <si>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</si>
  <si>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</si>
  <si>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</si>
  <si>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</si>
  <si>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</si>
  <si>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</si>
  <si>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</si>
  <si>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</si>
  <si>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</si>
  <si>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</si>
  <si>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</si>
  <si>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</si>
  <si>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</si>
  <si>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</si>
  <si>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</si>
  <si>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</si>
  <si>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</si>
  <si>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</si>
  <si>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</si>
  <si>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</si>
  <si>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</si>
  <si>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</si>
  <si>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</si>
  <si>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</si>
  <si>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</si>
  <si>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</si>
  <si>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</si>
  <si>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</si>
  <si>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</si>
  <si>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</si>
  <si>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</si>
  <si>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</si>
  <si>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</si>
  <si>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</si>
  <si>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</si>
  <si>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</si>
  <si>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</si>
  <si>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</si>
  <si>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</si>
  <si>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</si>
  <si>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</si>
  <si>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</si>
  <si>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</si>
  <si>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</si>
  <si>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</si>
  <si>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</si>
  <si>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</si>
  <si>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</si>
  <si>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</si>
  <si>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</si>
  <si>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</si>
  <si>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</si>
  <si>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</si>
  <si>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</si>
  <si>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</si>
  <si>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</si>
  <si>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</si>
  <si>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</si>
  <si>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</si>
  <si>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</si>
  <si>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</si>
  <si>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</si>
  <si>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</si>
  <si>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</si>
  <si>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</si>
  <si>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</si>
  <si>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</si>
  <si>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</si>
  <si>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</si>
  <si>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</si>
  <si>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</si>
  <si>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</si>
  <si>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</si>
  <si>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</si>
  <si>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</si>
  <si>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</si>
  <si>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</si>
  <si>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</si>
  <si>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</si>
  <si>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</si>
  <si>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</si>
  <si>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</si>
  <si>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</si>
  <si>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</si>
  <si>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</si>
  <si>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</si>
  <si>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</si>
  <si>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</si>
  <si>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</si>
  <si>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</si>
  <si>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</si>
  <si>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</si>
  <si>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</si>
  <si>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</si>
  <si>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</si>
  <si>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</si>
  <si>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</si>
  <si>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</si>
  <si>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</si>
  <si>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</si>
  <si>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</si>
  <si>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</si>
  <si>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</si>
  <si>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</si>
  <si>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</si>
  <si>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</si>
  <si>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</si>
  <si>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</si>
  <si>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</si>
  <si>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</si>
  <si>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</si>
  <si>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</si>
  <si>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</si>
  <si>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</si>
  <si>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</si>
  <si>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</si>
  <si>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</si>
  <si>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</si>
  <si>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</si>
  <si>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</si>
  <si>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</si>
  <si>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</si>
  <si>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</si>
  <si>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</si>
  <si>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</si>
  <si>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</si>
  <si>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</si>
  <si>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</si>
  <si>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</si>
  <si>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</si>
  <si>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</si>
  <si>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</si>
  <si>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</si>
  <si>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</si>
  <si>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</si>
  <si>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</si>
  <si>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</si>
  <si>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</si>
  <si>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</si>
  <si>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</si>
  <si>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</si>
  <si>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</si>
  <si>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</si>
  <si>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</si>
  <si>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</si>
  <si>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</si>
  <si>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</si>
  <si>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</si>
  <si>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</si>
  <si>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</si>
  <si>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</si>
  <si>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</si>
  <si>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</si>
  <si>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</si>
  <si>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</si>
  <si>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</si>
  <si>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</si>
  <si>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</si>
  <si>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</si>
  <si>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</si>
  <si>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</si>
  <si>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</si>
  <si>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</si>
  <si>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</si>
  <si>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</si>
  <si>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</si>
  <si>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</si>
  <si>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</si>
  <si>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</si>
  <si>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</si>
  <si>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</si>
  <si>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</si>
  <si>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</si>
  <si>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</si>
  <si>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</si>
  <si>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</si>
  <si>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</si>
  <si>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</si>
  <si>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</si>
  <si>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</si>
  <si>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</si>
  <si>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</si>
  <si>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</si>
  <si>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</si>
  <si>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</si>
  <si>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</si>
  <si>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</si>
  <si>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</si>
  <si>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</si>
  <si>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</si>
  <si>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</si>
  <si>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</si>
  <si>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</si>
  <si>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</si>
  <si>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</si>
  <si>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</si>
  <si>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</si>
  <si>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</si>
  <si>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</si>
  <si>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</si>
  <si>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</si>
  <si>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</si>
  <si>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</si>
  <si>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</si>
  <si>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</si>
  <si>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</si>
  <si>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</si>
  <si>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</si>
  <si>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</si>
  <si>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</si>
  <si>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</si>
  <si>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</si>
  <si>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</si>
  <si>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</si>
  <si>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</si>
  <si>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</si>
  <si>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</si>
  <si>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</si>
  <si>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</si>
  <si>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</si>
  <si>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</si>
  <si>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</si>
  <si>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</si>
  <si>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</si>
  <si>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</si>
  <si>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</si>
  <si>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</si>
  <si>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</si>
  <si>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</si>
  <si>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</si>
  <si>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</si>
  <si>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</si>
  <si>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</si>
  <si>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</si>
  <si>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</si>
  <si>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</si>
  <si>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</si>
  <si>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</si>
  <si>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</si>
  <si>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</si>
  <si>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</si>
  <si>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</si>
  <si>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</si>
  <si>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</si>
  <si>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</si>
  <si>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</si>
  <si>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</si>
  <si>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</si>
  <si>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</si>
  <si>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</si>
  <si>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</si>
  <si>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</si>
  <si>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</si>
  <si>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</si>
  <si>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</si>
  <si>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</si>
  <si>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</si>
  <si>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</si>
  <si>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</si>
  <si>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</si>
  <si>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</si>
  <si>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</si>
  <si>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</si>
  <si>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</si>
  <si>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</si>
  <si>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</si>
  <si>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</si>
  <si>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</si>
  <si>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</si>
  <si>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</si>
  <si>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</si>
  <si>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</si>
  <si>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</si>
  <si>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</si>
  <si>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</si>
  <si>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</si>
  <si>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</si>
  <si>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</si>
  <si>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</si>
  <si>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</si>
  <si>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</si>
  <si>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</si>
  <si>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</si>
  <si>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</si>
  <si>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</si>
  <si>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</si>
  <si>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</si>
  <si>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</si>
  <si>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</si>
  <si>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</si>
  <si>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</si>
  <si>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</si>
  <si>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</si>
  <si>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</si>
  <si>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</si>
  <si>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</si>
  <si>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</si>
  <si>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</si>
  <si>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</si>
  <si>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</si>
  <si>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</si>
  <si>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</si>
  <si>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</si>
  <si>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</si>
  <si>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</si>
  <si>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</si>
  <si>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</si>
  <si>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</si>
  <si>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</si>
  <si>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</si>
  <si>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</si>
  <si>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</si>
  <si>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</si>
  <si>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</si>
  <si>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</si>
  <si>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</si>
  <si>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</si>
  <si>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</si>
  <si>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</si>
  <si>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</si>
  <si>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</si>
  <si>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</si>
  <si>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</si>
  <si>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</si>
  <si>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</si>
  <si>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</si>
  <si>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</si>
  <si>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</si>
  <si>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</si>
  <si>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</si>
  <si>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</si>
  <si>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</si>
  <si>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</si>
  <si>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</si>
  <si>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</si>
  <si>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</si>
  <si>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</si>
  <si>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</si>
  <si>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</si>
  <si>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</si>
  <si>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</si>
  <si>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</si>
  <si>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</si>
  <si>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</si>
  <si>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</si>
  <si>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</si>
  <si>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</si>
  <si>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</si>
  <si>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</si>
  <si>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</si>
  <si>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</si>
  <si>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</si>
  <si>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</si>
  <si>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</si>
  <si>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</si>
  <si>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</si>
  <si>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</si>
  <si>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</si>
  <si>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</si>
  <si>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</si>
  <si>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</si>
  <si>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</si>
  <si>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</si>
  <si>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</si>
  <si>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</si>
  <si>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</si>
  <si>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</si>
  <si>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</si>
  <si>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</si>
  <si>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</si>
  <si>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</si>
  <si>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</si>
  <si>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</si>
  <si>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</si>
  <si>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</si>
  <si>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</si>
  <si>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</si>
  <si>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</si>
  <si>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</si>
  <si>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</si>
  <si>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</si>
  <si>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</si>
  <si>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</si>
  <si>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</si>
  <si>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</si>
  <si>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</si>
  <si>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</si>
  <si>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</si>
  <si>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</si>
  <si>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</si>
  <si>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</si>
  <si>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</si>
  <si>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</si>
  <si>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</si>
  <si>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</si>
  <si>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</si>
  <si>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</si>
  <si>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</si>
  <si>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</si>
  <si>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</si>
  <si>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</si>
  <si>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</si>
  <si>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</si>
  <si>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</si>
  <si>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</si>
  <si>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</si>
  <si>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</si>
  <si>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</si>
  <si>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</si>
  <si>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</si>
  <si>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</si>
  <si>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</si>
  <si>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</si>
  <si>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</si>
  <si>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</si>
  <si>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</si>
  <si>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</si>
  <si>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</si>
  <si>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</si>
  <si>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</si>
  <si>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</si>
  <si>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</si>
  <si>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</si>
  <si>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</si>
  <si>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</si>
  <si>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</si>
  <si>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</si>
  <si>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</si>
  <si>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</si>
  <si>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</si>
  <si>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</si>
  <si>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</si>
  <si>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</si>
  <si>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</si>
  <si>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</si>
  <si>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</si>
  <si>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</si>
  <si>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</si>
  <si>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</si>
  <si>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</si>
  <si>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</si>
  <si>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</si>
  <si>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</si>
  <si>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</si>
  <si>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</si>
  <si>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</si>
  <si>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</si>
  <si>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</si>
  <si>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</si>
  <si>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</si>
  <si>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</si>
  <si>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</si>
  <si>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</si>
  <si>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</si>
  <si>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</si>
  <si>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</si>
  <si>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</si>
  <si>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</si>
  <si>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</si>
  <si>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</si>
  <si>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</si>
  <si>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</si>
  <si>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</si>
  <si>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</si>
  <si>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</si>
  <si>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</si>
  <si>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</si>
  <si>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</si>
  <si>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</si>
  <si>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</si>
  <si>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</si>
  <si>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</si>
  <si>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</si>
  <si>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</si>
  <si>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</si>
  <si>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</si>
  <si>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</si>
  <si>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</si>
  <si>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</si>
  <si>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</si>
  <si>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</si>
  <si>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</si>
  <si>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</si>
  <si>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</si>
  <si>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</si>
  <si>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</si>
  <si>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</si>
  <si>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</si>
  <si>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</si>
  <si>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</si>
  <si>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</si>
  <si>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</si>
  <si>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</si>
  <si>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</si>
  <si>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</si>
  <si>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</si>
  <si>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</si>
  <si>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</si>
  <si>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</si>
  <si>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</si>
  <si>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</si>
  <si>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</si>
  <si>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</si>
  <si>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</si>
  <si>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</si>
  <si>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</si>
  <si>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</si>
  <si>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</si>
  <si>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</si>
  <si>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</si>
  <si>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</si>
  <si>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</si>
  <si>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</si>
  <si>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</si>
  <si>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</si>
  <si>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</si>
  <si>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</si>
  <si>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</si>
  <si>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</si>
  <si>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</si>
  <si>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</si>
  <si>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</si>
  <si>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</si>
  <si>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</si>
  <si>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</si>
  <si>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</si>
  <si>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</si>
  <si>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</si>
  <si>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</si>
  <si>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</si>
  <si>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</si>
  <si>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</si>
  <si>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</si>
  <si>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</si>
  <si>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</si>
  <si>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</si>
  <si>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</si>
  <si>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</si>
  <si>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</si>
  <si>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</si>
  <si>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</si>
  <si>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</si>
  <si>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</si>
  <si>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</si>
  <si>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</si>
  <si>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</si>
  <si>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</si>
  <si>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</si>
  <si>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</si>
  <si>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</si>
  <si>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</si>
  <si>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</si>
  <si>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</si>
  <si>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</si>
  <si>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</si>
  <si>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</si>
  <si>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</si>
  <si>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</si>
  <si>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</si>
  <si>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</si>
  <si>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</si>
  <si>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</si>
  <si>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</si>
  <si>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</si>
  <si>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</si>
  <si>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</si>
  <si>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</si>
  <si>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</si>
  <si>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</si>
  <si>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</si>
  <si>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</si>
  <si>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</si>
  <si>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</si>
  <si>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</si>
  <si>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</si>
  <si>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</si>
  <si>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</si>
  <si>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</si>
  <si>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</si>
  <si>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</si>
  <si>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</si>
  <si>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</si>
  <si>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</si>
  <si>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</si>
  <si>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</si>
  <si>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</si>
  <si>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</si>
  <si>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</si>
  <si>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</si>
  <si>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</si>
  <si>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</si>
  <si>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</si>
  <si>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</si>
  <si>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</si>
  <si>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</si>
  <si>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</si>
  <si>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</si>
  <si>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</si>
  <si>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</si>
  <si>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</si>
  <si>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</si>
  <si>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</si>
  <si>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</si>
  <si>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</si>
  <si>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</si>
  <si>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</si>
  <si>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</si>
  <si>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</si>
  <si>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</si>
  <si>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</si>
  <si>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</si>
  <si>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</si>
  <si>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</si>
  <si>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</si>
  <si>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</si>
  <si>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</si>
  <si>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</si>
  <si>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</si>
  <si>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</si>
  <si>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</si>
  <si>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</si>
  <si>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</si>
  <si>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</si>
  <si>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</si>
  <si>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</si>
  <si>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</si>
  <si>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</si>
  <si>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</si>
  <si>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</si>
  <si>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</si>
  <si>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</si>
  <si>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</si>
  <si>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</si>
  <si>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</si>
  <si>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</si>
  <si>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</si>
  <si>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</si>
  <si>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</si>
  <si>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</si>
  <si>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</si>
  <si>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</si>
  <si>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</si>
  <si>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</si>
  <si>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</si>
  <si>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</si>
  <si>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</si>
  <si>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</si>
  <si>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</si>
  <si>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</si>
  <si>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</si>
  <si>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</si>
  <si>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</si>
  <si>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</si>
  <si>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</si>
  <si>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</si>
  <si>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</si>
  <si>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</si>
  <si>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</si>
  <si>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</si>
  <si>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</si>
  <si>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</si>
  <si>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</si>
  <si>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</si>
  <si>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</si>
  <si>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</si>
  <si>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</si>
  <si>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</si>
  <si>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</si>
  <si>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</si>
  <si>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</si>
  <si>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</si>
  <si>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</si>
  <si>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</si>
  <si>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</si>
  <si>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</si>
  <si>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</si>
  <si>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</si>
  <si>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</si>
  <si>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</si>
  <si>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</si>
  <si>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</si>
  <si>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</si>
  <si>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</si>
  <si>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</si>
  <si>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</si>
  <si>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</si>
  <si>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</si>
  <si>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</si>
  <si>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</si>
  <si>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</si>
  <si>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</si>
  <si>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</si>
  <si>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</si>
  <si>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</si>
  <si>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</si>
  <si>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</si>
  <si>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</si>
  <si>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</si>
  <si>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</si>
  <si>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</si>
  <si>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</si>
  <si>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</si>
  <si>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</si>
  <si>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</si>
  <si>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</si>
  <si>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</si>
  <si>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</si>
  <si>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</si>
  <si>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</si>
  <si>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</si>
  <si>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</si>
  <si>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</si>
  <si>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</si>
  <si>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</si>
  <si>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</si>
  <si>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</si>
  <si>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</si>
  <si>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</si>
  <si>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</si>
  <si>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</si>
  <si>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</si>
  <si>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</si>
  <si>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</si>
  <si>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</si>
  <si>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</si>
  <si>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</si>
  <si>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</si>
  <si>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</si>
  <si>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</si>
  <si>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</si>
  <si>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</si>
  <si>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</si>
  <si>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</si>
  <si>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</si>
  <si>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</si>
  <si>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</si>
  <si>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</si>
  <si>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</si>
  <si>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</si>
  <si>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</si>
  <si>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</si>
  <si>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</si>
  <si>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</si>
  <si>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</si>
  <si>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</si>
  <si>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</si>
  <si>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</si>
  <si>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</si>
  <si>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</si>
  <si>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</si>
  <si>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</si>
  <si>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</si>
  <si>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</si>
  <si>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</si>
  <si>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</si>
  <si>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</si>
  <si>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</si>
  <si>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</si>
  <si>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</si>
  <si>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</si>
  <si>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</si>
  <si>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</si>
  <si>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</si>
  <si>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</si>
  <si>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</si>
  <si>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</si>
  <si>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</si>
  <si>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</si>
  <si>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</si>
  <si>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</si>
  <si>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</si>
  <si>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</si>
  <si>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</si>
  <si>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</si>
  <si>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</si>
  <si>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</si>
  <si>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</si>
  <si>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</si>
  <si>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</si>
  <si>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</si>
  <si>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</si>
  <si>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</si>
  <si>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</si>
  <si>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</si>
  <si>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</si>
  <si>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</si>
  <si>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</si>
  <si>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</si>
  <si>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</si>
  <si>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</si>
  <si>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</si>
  <si>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</si>
  <si>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</si>
  <si>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</si>
  <si>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</si>
  <si>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</si>
  <si>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</si>
  <si>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</si>
  <si>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</si>
  <si>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</si>
  <si>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</si>
  <si>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</si>
  <si>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</si>
  <si>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</si>
  <si>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</si>
  <si>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</si>
  <si>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</si>
  <si>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</si>
  <si>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</si>
  <si>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</si>
  <si>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</si>
  <si>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</si>
  <si>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</si>
  <si>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</si>
  <si>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</si>
  <si>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</si>
  <si>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</si>
  <si>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</si>
  <si>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</si>
  <si>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</si>
  <si>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</si>
  <si>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</si>
  <si>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</si>
  <si>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</si>
  <si>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</si>
  <si>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</si>
  <si>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</si>
  <si>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</si>
  <si>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</si>
  <si>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</si>
  <si>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</si>
  <si>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</si>
  <si>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</si>
  <si>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</si>
  <si>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</si>
  <si>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</si>
  <si>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</si>
  <si>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</si>
  <si>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</si>
  <si>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</si>
  <si>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</si>
  <si>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</si>
  <si>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</si>
  <si>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</si>
  <si>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</si>
  <si>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</si>
  <si>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</si>
  <si>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</si>
  <si>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</si>
  <si>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</si>
  <si>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</si>
  <si>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</si>
  <si>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</si>
  <si>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</si>
  <si>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</si>
  <si>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</si>
  <si>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</si>
  <si>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</si>
  <si>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</si>
  <si>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</si>
  <si>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</si>
  <si>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</si>
  <si>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</si>
  <si>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</si>
  <si>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</si>
  <si>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</si>
  <si>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</si>
  <si>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</si>
  <si>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</si>
  <si>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</si>
  <si>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</si>
  <si>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</si>
  <si>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</si>
  <si>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</si>
  <si>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</si>
  <si>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</si>
  <si>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</si>
  <si>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</si>
  <si>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</si>
  <si>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</si>
  <si>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</si>
  <si>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</si>
  <si>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</si>
  <si>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</si>
  <si>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</si>
  <si>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</si>
  <si>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</si>
  <si>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</si>
  <si>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</si>
  <si>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</si>
  <si>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</si>
  <si>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</si>
  <si>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</si>
  <si>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</si>
  <si>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</si>
  <si>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</si>
  <si>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</si>
  <si>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</si>
  <si>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</si>
  <si>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</si>
  <si>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</si>
  <si>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</si>
  <si>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</si>
  <si>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</si>
  <si>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</si>
  <si>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</si>
  <si>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</si>
  <si>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</si>
  <si>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</si>
  <si>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</si>
  <si>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</si>
  <si>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</si>
  <si>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</si>
  <si>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</si>
  <si>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</si>
  <si>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</si>
  <si>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</si>
  <si>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</si>
  <si>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</si>
  <si>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</si>
  <si>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</si>
  <si>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</si>
  <si>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</si>
  <si>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</si>
  <si>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</si>
  <si>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</si>
  <si>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</si>
  <si>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</si>
  <si>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</si>
  <si>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</si>
  <si>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</si>
  <si>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</si>
  <si>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</si>
  <si>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</si>
  <si>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</si>
  <si>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</si>
  <si>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</si>
  <si>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</si>
  <si>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</si>
  <si>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</si>
  <si>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</si>
  <si>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</si>
  <si>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</si>
  <si>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</si>
  <si>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</si>
  <si>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</si>
  <si>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</si>
  <si>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</si>
  <si>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</si>
  <si>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</si>
  <si>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</si>
  <si>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</si>
  <si>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</si>
  <si>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</si>
  <si>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</si>
  <si>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</si>
  <si>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</si>
  <si>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</si>
  <si>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</si>
  <si>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</si>
  <si>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</si>
  <si>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</si>
  <si>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</si>
  <si>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</si>
  <si>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</si>
  <si>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</si>
  <si>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</si>
  <si>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</si>
  <si>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</si>
  <si>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</si>
  <si>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</si>
  <si>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</si>
  <si>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</si>
  <si>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</si>
  <si>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</si>
  <si>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</si>
  <si>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</si>
  <si>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</si>
  <si>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</si>
  <si>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</si>
  <si>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</si>
  <si>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</si>
  <si>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</si>
  <si>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</si>
  <si>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</si>
  <si>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</si>
  <si>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</si>
  <si>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</si>
  <si>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</si>
  <si>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</si>
  <si>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</si>
  <si>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</si>
  <si>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</si>
  <si>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</si>
  <si>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</si>
  <si>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</si>
  <si>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</si>
  <si>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</si>
  <si>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</si>
  <si>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</si>
  <si>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</si>
  <si>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</si>
  <si>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</si>
  <si>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</si>
  <si>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</si>
  <si>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</si>
  <si>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</si>
  <si>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</si>
  <si>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</si>
  <si>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</si>
  <si>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</si>
  <si>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</si>
  <si>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</si>
  <si>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</si>
  <si>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</si>
  <si>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</si>
  <si>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</si>
  <si>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</si>
  <si>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</si>
  <si>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</si>
  <si>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</si>
  <si>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</si>
  <si>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</si>
  <si>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</si>
  <si>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</si>
  <si>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</si>
  <si>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</si>
  <si>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</si>
  <si>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</si>
  <si>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</si>
  <si>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</si>
  <si>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</si>
  <si>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</si>
  <si>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</si>
  <si>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</si>
  <si>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</si>
  <si>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</si>
  <si>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</si>
  <si>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</si>
  <si>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</si>
  <si>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</si>
  <si>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</si>
  <si>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</si>
  <si>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</si>
  <si>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</si>
  <si>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</si>
  <si>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</si>
  <si>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</si>
  <si>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</si>
  <si>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</si>
  <si>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</si>
  <si>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</si>
  <si>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</si>
  <si>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</si>
  <si>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</si>
  <si>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</si>
  <si>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</si>
  <si>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</si>
  <si>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</si>
  <si>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</si>
  <si>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</si>
  <si>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</si>
  <si>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</si>
  <si>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</si>
  <si>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</si>
  <si>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</si>
  <si>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</si>
  <si>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</si>
  <si>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</si>
  <si>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</si>
  <si>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</si>
  <si>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</si>
  <si>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</si>
  <si>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</si>
  <si>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</si>
  <si>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</si>
  <si>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</si>
  <si>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</si>
  <si>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</si>
  <si>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</si>
  <si>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</si>
  <si>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</si>
  <si>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</si>
  <si>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</si>
  <si>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</si>
  <si>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</si>
  <si>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</si>
  <si>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</si>
  <si>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</si>
  <si>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</si>
  <si>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</si>
  <si>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</si>
  <si>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</si>
  <si>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</si>
  <si>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</si>
  <si>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</si>
  <si>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</si>
  <si>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</si>
  <si>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</si>
  <si>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</si>
  <si>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</si>
  <si>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</si>
  <si>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</si>
  <si>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</si>
  <si>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</si>
  <si>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</si>
  <si>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</si>
  <si>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</si>
  <si>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</si>
  <si>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</si>
  <si>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</si>
  <si>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</si>
  <si>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</si>
  <si>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</si>
  <si>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</si>
  <si>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</si>
  <si>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</si>
  <si>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</si>
  <si>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</si>
  <si>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</si>
  <si>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</si>
  <si>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</si>
  <si>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</si>
  <si>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</si>
  <si>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</si>
  <si>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</si>
  <si>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</si>
  <si>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</si>
  <si>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</si>
  <si>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</si>
  <si>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</si>
  <si>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</si>
  <si>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</si>
  <si>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</si>
  <si>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</si>
  <si>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</si>
  <si>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</si>
  <si>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</si>
  <si>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</si>
  <si>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</si>
  <si>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</si>
  <si>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</si>
  <si>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</si>
  <si>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</si>
  <si>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</si>
  <si>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</si>
  <si>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</si>
  <si>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</si>
  <si>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</si>
  <si>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</si>
  <si>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</si>
  <si>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</si>
  <si>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</si>
  <si>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</si>
  <si>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</si>
  <si>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</si>
  <si>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</si>
  <si>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</si>
  <si>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</si>
  <si>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</si>
  <si>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</si>
  <si>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</si>
  <si>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</si>
  <si>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</si>
  <si>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</si>
  <si>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</si>
  <si>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</si>
  <si>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</si>
  <si>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</si>
  <si>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</si>
  <si>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</si>
  <si>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</si>
  <si>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</si>
  <si>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</si>
  <si>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</si>
  <si>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</si>
  <si>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</si>
  <si>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</si>
  <si>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</si>
  <si>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</si>
  <si>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</si>
  <si>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</si>
  <si>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</si>
  <si>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</si>
  <si>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</si>
  <si>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</si>
  <si>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</si>
  <si>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</si>
  <si>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</si>
  <si>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</si>
  <si>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</si>
  <si>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</si>
  <si>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</si>
  <si>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</si>
  <si>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</si>
  <si>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</si>
  <si>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</si>
  <si>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</si>
  <si>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</si>
  <si>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</si>
  <si>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</si>
  <si>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</si>
  <si>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</si>
  <si>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</si>
  <si>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</si>
  <si>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</si>
  <si>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</si>
  <si>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</si>
  <si>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</si>
  <si>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</si>
  <si>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</si>
  <si>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</si>
  <si>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</si>
  <si>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</si>
  <si>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</si>
  <si>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</si>
  <si>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</si>
  <si>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</si>
  <si>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</si>
  <si>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</si>
  <si>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</si>
  <si>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</si>
  <si>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</si>
  <si>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</si>
  <si>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</si>
  <si>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</si>
  <si>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</si>
  <si>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</si>
  <si>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</si>
  <si>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</si>
  <si>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</si>
  <si>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</si>
  <si>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</si>
  <si>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</si>
  <si>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</si>
  <si>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</si>
  <si>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</si>
  <si>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</si>
  <si>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</si>
  <si>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</si>
  <si>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</si>
  <si>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</si>
  <si>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</si>
  <si>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</si>
  <si>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</si>
  <si>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</si>
  <si>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</si>
  <si>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</si>
  <si>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</si>
  <si>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</si>
  <si>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</si>
  <si>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</si>
  <si>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</si>
  <si>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</si>
  <si>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</si>
  <si>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</si>
  <si>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</si>
  <si>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</si>
  <si>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</si>
  <si>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</si>
  <si>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</si>
  <si>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</si>
  <si>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</si>
  <si>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</si>
  <si>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</si>
  <si>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</si>
  <si>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</si>
  <si>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</si>
  <si>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</si>
  <si>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</si>
  <si>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</si>
  <si>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</si>
  <si>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</si>
  <si>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</si>
  <si>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</si>
  <si>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</si>
  <si>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</si>
  <si>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</si>
  <si>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</si>
  <si>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</si>
  <si>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</si>
  <si>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</si>
  <si>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</si>
  <si>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</si>
  <si>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</si>
  <si>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</si>
  <si>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</si>
  <si>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</si>
  <si>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</si>
  <si>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</si>
  <si>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</si>
  <si>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</si>
  <si>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</si>
  <si>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</si>
  <si>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</si>
  <si>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</si>
  <si>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</si>
  <si>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</si>
  <si>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</si>
  <si>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</si>
  <si>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</si>
  <si>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</si>
  <si>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</si>
  <si>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</si>
  <si>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</si>
  <si>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</si>
  <si>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</si>
  <si>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</si>
  <si>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</si>
  <si>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</si>
  <si>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</si>
  <si>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</si>
  <si>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</si>
  <si>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</si>
  <si>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</si>
  <si>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</si>
  <si>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</si>
  <si>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</si>
  <si>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</si>
  <si>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</si>
  <si>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</si>
  <si>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</si>
  <si>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</si>
  <si>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</si>
  <si>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</si>
  <si>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</si>
  <si>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</si>
  <si>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</si>
  <si>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</si>
  <si>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</si>
  <si>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</si>
  <si>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</si>
  <si>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</si>
  <si>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</si>
  <si>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</si>
  <si>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</si>
  <si>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</si>
  <si>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</si>
  <si>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</si>
  <si>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</si>
  <si>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</si>
  <si>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</si>
  <si>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</si>
  <si>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</si>
  <si>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</si>
  <si>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</si>
  <si>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</si>
  <si>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</si>
  <si>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</si>
  <si>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</si>
  <si>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</si>
  <si>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</si>
  <si>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</si>
  <si>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</si>
  <si>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</si>
  <si>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</si>
  <si>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</si>
  <si>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</si>
  <si>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</si>
  <si>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</si>
  <si>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</si>
  <si>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</si>
  <si>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</si>
  <si>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</si>
  <si>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</si>
  <si>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</si>
  <si>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</si>
  <si>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</si>
  <si>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</si>
  <si>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</si>
  <si>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</si>
  <si>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</si>
  <si>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</si>
  <si>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</si>
  <si>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</si>
  <si>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</si>
  <si>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</si>
  <si>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</si>
  <si>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</si>
  <si>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</si>
  <si>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</si>
  <si>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</si>
  <si>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</si>
  <si>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</si>
  <si>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</si>
  <si>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</si>
  <si>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</si>
  <si>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</si>
  <si>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</si>
  <si>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</si>
  <si>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</si>
  <si>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</si>
  <si>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</si>
  <si>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</si>
  <si>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</si>
  <si>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</si>
  <si>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</si>
  <si>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</si>
  <si>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</si>
  <si>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</si>
  <si>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</si>
  <si>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</si>
  <si>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</si>
  <si>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</si>
  <si>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</si>
  <si>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</si>
  <si>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</si>
  <si>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</si>
  <si>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</si>
  <si>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</si>
  <si>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</si>
  <si>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</si>
  <si>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</si>
  <si>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</si>
  <si>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</si>
  <si>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</si>
  <si>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</si>
  <si>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</si>
  <si>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</si>
  <si>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</si>
  <si>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</si>
  <si>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</si>
  <si>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</si>
  <si>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</si>
  <si>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</si>
  <si>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</si>
  <si>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</si>
  <si>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</si>
  <si>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</si>
  <si>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</si>
  <si>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</si>
  <si>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</si>
  <si>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</si>
  <si>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</si>
  <si>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</si>
  <si>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</si>
  <si>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</si>
  <si>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</si>
  <si>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</si>
  <si>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</si>
  <si>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</si>
  <si>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</si>
  <si>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</si>
  <si>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</si>
  <si>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</si>
  <si>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</si>
  <si>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</si>
  <si>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</si>
  <si>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</si>
  <si>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</si>
  <si>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</si>
  <si>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</si>
  <si>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</si>
  <si>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</si>
  <si>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</si>
  <si>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</si>
  <si>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</si>
  <si>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</si>
  <si>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</si>
  <si>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</si>
  <si>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</si>
  <si>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</si>
  <si>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</si>
  <si>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</si>
  <si>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</si>
  <si>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</si>
  <si>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</si>
  <si>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</si>
  <si>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</si>
  <si>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</si>
  <si>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</si>
  <si>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</si>
  <si>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</si>
  <si>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</si>
  <si>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</si>
  <si>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</si>
  <si>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</si>
  <si>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</si>
  <si>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</si>
  <si>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</si>
  <si>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</si>
  <si>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</si>
  <si>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</si>
  <si>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</si>
  <si>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</si>
  <si>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</si>
  <si>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</si>
  <si>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</si>
  <si>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</si>
  <si>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</si>
  <si>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</si>
  <si>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</si>
  <si>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</si>
  <si>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</si>
  <si>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</si>
  <si>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</si>
  <si>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</si>
  <si>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</si>
  <si>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</si>
  <si>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</si>
  <si>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</si>
  <si>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</si>
  <si>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</si>
  <si>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</si>
  <si>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</si>
  <si>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</si>
  <si>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</si>
  <si>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</si>
  <si>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</si>
  <si>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</si>
  <si>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</si>
  <si>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</si>
  <si>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</si>
  <si>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</si>
  <si>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</si>
  <si>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</si>
  <si>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</si>
  <si>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</si>
  <si>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</si>
  <si>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</si>
  <si>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</si>
  <si>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</si>
  <si>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</si>
  <si>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</si>
  <si>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</si>
  <si>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</si>
  <si>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</si>
  <si>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</si>
  <si>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</si>
  <si>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</si>
  <si>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</si>
  <si>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</si>
  <si>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</si>
  <si>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</si>
  <si>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</si>
  <si>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</si>
  <si>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</si>
  <si>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</si>
  <si>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</si>
  <si>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</si>
  <si>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</si>
  <si>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</si>
  <si>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</si>
  <si>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</si>
  <si>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</si>
  <si>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</si>
  <si>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</si>
  <si>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</si>
  <si>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</si>
  <si>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</si>
  <si>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</si>
  <si>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</si>
  <si>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</si>
  <si>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</si>
  <si>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</si>
  <si>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</si>
  <si>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</si>
  <si>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</si>
  <si>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</si>
  <si>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</si>
  <si>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</si>
  <si>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</si>
  <si>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</si>
  <si>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</si>
  <si>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</si>
  <si>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</si>
  <si>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</si>
  <si>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</si>
  <si>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</si>
  <si>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</si>
  <si>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</si>
  <si>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</si>
  <si>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</si>
  <si>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Statistic</t>
  </si>
  <si>
    <t>Successful</t>
  </si>
  <si>
    <t>Failed</t>
  </si>
  <si>
    <t>Mean</t>
  </si>
  <si>
    <t>Median</t>
  </si>
  <si>
    <t>Min</t>
  </si>
  <si>
    <t>Max</t>
  </si>
  <si>
    <t>Variance</t>
  </si>
  <si>
    <t>Standard Dev</t>
  </si>
  <si>
    <t>I would say that the mean better summarizes the data, since there aren’t any extreme outliers and there is a large amount of data values.</t>
  </si>
  <si>
    <t>There is more variability with the Successful campaigns. The variance is larger. There are also more data points with the successful campaigns, so the number being higher does make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</si>
</sst>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E8D8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E8D8A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FE8D8A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FE8D8A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E8D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[CrowdfundingBook_completed.xlsx]outcome_category!PivotTable3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1AE-A751-A0252A719D45}"/>
            </c:ext>
          </c:extLst>
        </c:ser>
        <c:ser>
          <c:idx val="1"/>
          <c:order val="1"/>
          <c:tx>
            <c:strRef>
              <c:f>outcome_category!$C$3:$C$4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6-41AE-A751-A0252A719D45}"/>
            </c:ext>
          </c:extLst>
        </c:ser>
        <c:ser>
          <c:idx val="2"/>
          <c:order val="2"/>
          <c:tx>
            <c:strRef>
              <c:f>outcome_category!$D$3:$D$4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6-41AE-A751-A0252A719D45}"/>
            </c:ext>
          </c:extLst>
        </c:ser>
        <c:ser>
          <c:idx val="3"/>
          <c:order val="3"/>
          <c:tx>
            <c:strRef>
              <c:f>outcome_category!$E$3:$E$4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6-41AE-A751-A0252A71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6864544"/>
        <c:axId val="1056870304"/>
      </c:barChart>
      <c:catAx>
        <c:axId val="10568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70304"/>
        <c:crosses val="autoZero"/>
        <c:auto val="1"/>
        <c:lblAlgn val="ctr"/>
        <c:lblOffset val="100"/>
        <c:noMultiLvlLbl val="0"/>
      </c:catAx>
      <c:valAx>
        <c:axId val="10568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[CrowdfundingBook_completed.xlsx]outcome_sub-category!PivotTable4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B-4129-ACBE-E37C61A5FAD0}"/>
            </c:ext>
          </c:extLst>
        </c:ser>
        <c:ser>
          <c:idx val="1"/>
          <c:order val="1"/>
          <c:tx>
            <c:strRef>
              <c:f>'outcome_sub-category'!$C$4:$C$5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B-4129-ACBE-E37C61A5FAD0}"/>
            </c:ext>
          </c:extLst>
        </c:ser>
        <c:ser>
          <c:idx val="2"/>
          <c:order val="2"/>
          <c:tx>
            <c:strRef>
              <c:f>'outcome_sub-category'!$D$4:$D$5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B-4129-ACBE-E37C61A5FAD0}"/>
            </c:ext>
          </c:extLst>
        </c:ser>
        <c:ser>
          <c:idx val="3"/>
          <c:order val="3"/>
          <c:tx>
            <c:strRef>
              <c:f>'outcome_sub-category'!$E$4:$E$5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4B-4129-ACBE-E37C61A5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27081344"/>
        <c:axId val="1327080384"/>
      </c:barChart>
      <c:catAx>
        <c:axId val="13270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0384"/>
        <c:crosses val="autoZero"/>
        <c:auto val="1"/>
        <c:lblAlgn val="ctr"/>
        <c:lblOffset val="100"/>
        <c:noMultiLvlLbl val="0"/>
      </c:catAx>
      <c:valAx>
        <c:axId val="13270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[CrowdfundingBook_completed.xlsx]outcome_month!PivotTable11</c:name>
    <c:fmtId val="0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F-4B14-A0D4-3469E2CEC7AC}"/>
            </c:ext>
          </c:extLst>
        </c:ser>
        <c:ser>
          <c:idx val="1"/>
          <c:order val="1"/>
          <c:tx>
            <c:strRef>
              <c:f>outcome_month!$C$4:$C$5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F-4B14-A0D4-3469E2CEC7AC}"/>
            </c:ext>
          </c:extLst>
        </c:ser>
        <c:ser>
          <c:idx val="2"/>
          <c:order val="2"/>
          <c:tx>
            <c:strRef>
              <c:f>outcome_month!$D$4:$D$5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outcome_month!$D$6:$D$18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F-4B14-A0D4-3469E2CE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079904"/>
        <c:axId val="1327068384"/>
      </c:lineChart>
      <c:catAx>
        <c:axId val="13270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68384"/>
        <c:crosses val="autoZero"/>
        <c:auto val="1"/>
        <c:lblAlgn val="ctr"/>
        <c:lblOffset val="100"/>
        <c:noMultiLvlLbl val="0"/>
      </c:catAx>
      <c:valAx>
        <c:axId val="13270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outcome_based_on_goal!$F$1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86-4427-A71B-380271C23734}"/>
            </c:ext>
          </c:extLst>
        </c:ser>
        <c:ser>
          <c:idx val="5"/>
          <c:order val="5"/>
          <c:tx>
            <c:strRef>
              <c:f>outcome_based_on_goal!$G$1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86-4427-A71B-380271C23734}"/>
            </c:ext>
          </c:extLst>
        </c:ser>
        <c:ser>
          <c:idx val="6"/>
          <c:order val="6"/>
          <c:tx>
            <c:strRef>
              <c:f>outcome_based_on_goal!$H$1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86-4427-A71B-380271C23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79424"/>
        <c:axId val="1327053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outcome_based_on_goal!$B$1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outcome_based_on_goal!$A$2:$A$13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outcome_based_on_goal!$B$2:$B$13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86-4427-A71B-380271C237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outcome_based_on_goal!$C$1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outcome_based_on_goal!$A$2:$A$13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outcome_based_on_goal!$C$2:$C$13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86-4427-A71B-380271C237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outcome_based_on_goal!$D$1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outcome_based_on_goal!$A$2:$A$13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outcome_based_on_goal!$D$2:$D$13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86-4427-A71B-380271C237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outcome_based_on_goal!$E$1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outcome_based_on_goal!$A$2:$A$13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outcome_based_on_goal!$E$2:$E$13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86-4427-A71B-380271C23734}"/>
                  </c:ext>
                </c:extLst>
              </c15:ser>
            </c15:filteredLineSeries>
          </c:ext>
        </c:extLst>
      </c:lineChart>
      <c:catAx>
        <c:axId val="13270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3984"/>
        <c:crosses val="autoZero"/>
        <c:auto val="1"/>
        <c:lblAlgn val="ctr"/>
        <c:lblOffset val="100"/>
        <c:noMultiLvlLbl val="0"/>
      </c:catAx>
      <c:valAx>
        <c:axId val="13270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2</xdr:row>
      <xdr:rowOff>0</xdr:rowOff>
    </xdr:from>
    <xdr:to>
      <xdr:col>14</xdr:col>
      <xdr:colOff>409574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C8A91-E8FB-D611-98C3-694D97B8C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3</xdr:row>
      <xdr:rowOff>0</xdr:rowOff>
    </xdr:from>
    <xdr:to>
      <xdr:col>17</xdr:col>
      <xdr:colOff>9525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0BD72-40BB-5F30-016A-B236C853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0</xdr:rowOff>
    </xdr:from>
    <xdr:to>
      <xdr:col>13</xdr:col>
      <xdr:colOff>495300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8F238-4956-421E-D3E7-817CB598C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0</xdr:rowOff>
    </xdr:from>
    <xdr:to>
      <xdr:col>7</xdr:col>
      <xdr:colOff>1177017</xdr:colOff>
      <xdr:row>31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AF0E8-B730-9F88-1BD9-838864CF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k Lafrance" refreshedDate="45131.429968865741" createdVersion="8" refreshedVersion="8" minRefreshableVersion="3" recordCount="1000" xr:uid="{B31DE0CA-F6D2-457D-B973-AFB6387A5FD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k Lafrance" refreshedDate="45131.453318402775" createdVersion="8" refreshedVersion="8" minRefreshableVersion="3" recordCount="1001" xr:uid="{83EB26BB-701F-414E-908D-DBE69609C1C2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3E00F-CD89-4C5B-9CD6-86A7A3A3BCA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1547F-1BD7-4BE5-9329-32724BE6E12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6DA4A-8398-4799-843E-0DDCD76AAA6C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0" zoomScaleNormal="70" workbookViewId="0">
      <selection activeCell="G2" sqref="G2"/>
    </sheetView>
  </sheetViews>
  <sheetFormatPr defaultColWidth="11" defaultRowHeight="15.75" x14ac:dyDescent="0.25"/>
  <cols>
    <col min="1" max="1" width="4.125" bestFit="1" customWidth="1"/>
    <col min="2" max="2" width="32.125" bestFit="1" customWidth="1"/>
    <col min="3" max="3" width="52.25" style="3" bestFit="1" customWidth="1"/>
    <col min="4" max="4" width="7.625" bestFit="1" customWidth="1"/>
    <col min="5" max="5" width="8" bestFit="1" customWidth="1"/>
    <col min="6" max="6" width="14.25" bestFit="1" customWidth="1"/>
    <col min="7" max="7" width="10" bestFit="1" customWidth="1"/>
    <col min="8" max="8" width="13.5" bestFit="1" customWidth="1"/>
    <col min="9" max="9" width="16.125" style="5" bestFit="1" customWidth="1"/>
    <col min="10" max="10" width="7.625" bestFit="1" customWidth="1"/>
    <col min="11" max="11" width="8.5" bestFit="1" customWidth="1"/>
    <col min="12" max="13" width="11.875" customWidth="1"/>
    <col min="14" max="14" width="23" bestFit="1" customWidth="1"/>
    <col min="15" max="15" width="21.875" bestFit="1" customWidth="1"/>
    <col min="16" max="16" width="9.125" bestFit="1" customWidth="1"/>
    <col min="17" max="17" width="8.5" bestFit="1" customWidth="1"/>
    <col min="18" max="18" width="29.375" bestFit="1" customWidth="1"/>
    <col min="19" max="19" width="14.75" customWidth="1"/>
    <col min="20" max="20" width="17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2084</v>
      </c>
      <c r="O1" s="1" t="s">
        <v>2085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 s="5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 t="shared" ref="N2:N65" si="2">(((L2/60)/60)/24)+DATE(1970,1,1)</f>
        <v>42336.25</v>
      </c>
      <c r="O2" s="9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LEFT(R2,SEARCH("/",R2)-1)</f>
        <v>food</v>
      </c>
      <c r="T2" t="str">
        <f t="shared" ref="T2:T65" si="5">RIGHT(R2, 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5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si="2"/>
        <v>41870.208333333336</v>
      </c>
      <c r="O3" s="9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6">(E66/D66)*100</f>
        <v>97.642857142857139</v>
      </c>
      <c r="G66" t="s">
        <v>14</v>
      </c>
      <c r="H66">
        <v>38</v>
      </c>
      <c r="I66" s="5">
        <f t="shared" ref="I66:I129" si="7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ref="N66:N129" si="8">(((L66/60)/60)/24)+DATE(1970,1,1)</f>
        <v>43283.208333333328</v>
      </c>
      <c r="O66" s="9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LEFT(R66,SEARCH("/",R66)-1)</f>
        <v>technology</v>
      </c>
      <c r="T66" t="str">
        <f t="shared" ref="T66:T129" si="11">RIGHT(R66, LEN(R66)-SEARCH("/",R66))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6"/>
        <v>236.14754098360655</v>
      </c>
      <c r="G67" t="s">
        <v>20</v>
      </c>
      <c r="H67">
        <v>236</v>
      </c>
      <c r="I67" s="5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si="8"/>
        <v>40570.25</v>
      </c>
      <c r="O67" s="9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2">(E130/D130)*100</f>
        <v>60.334277620396605</v>
      </c>
      <c r="G130" t="s">
        <v>74</v>
      </c>
      <c r="H130">
        <v>532</v>
      </c>
      <c r="I130" s="5">
        <f t="shared" ref="I130:I193" si="13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ref="N130:N193" si="14">(((L130/60)/60)/24)+DATE(1970,1,1)</f>
        <v>40417.208333333336</v>
      </c>
      <c r="O130" s="9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LEFT(R130,SEARCH("/",R130)-1)</f>
        <v>music</v>
      </c>
      <c r="T130" t="str">
        <f t="shared" ref="T130:T193" si="17">RIGHT(R130, LEN(R130)-SEARCH("/",R130))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2"/>
        <v>3.202693602693603</v>
      </c>
      <c r="G131" t="s">
        <v>74</v>
      </c>
      <c r="H131">
        <v>55</v>
      </c>
      <c r="I131" s="5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si="14"/>
        <v>42038.25</v>
      </c>
      <c r="O131" s="9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8">(E194/D194)*100</f>
        <v>19.992957746478872</v>
      </c>
      <c r="G194" t="s">
        <v>14</v>
      </c>
      <c r="H194">
        <v>243</v>
      </c>
      <c r="I194" s="5">
        <f t="shared" ref="I194:I257" si="19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ref="N194:N257" si="20">(((L194/60)/60)/24)+DATE(1970,1,1)</f>
        <v>41817.208333333336</v>
      </c>
      <c r="O194" s="9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LEFT(R194,SEARCH("/",R194)-1)</f>
        <v>music</v>
      </c>
      <c r="T194" t="str">
        <f t="shared" ref="T194:T257" si="23">RIGHT(R194, LEN(R194)-SEARCH("/",R194))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8"/>
        <v>45.636363636363633</v>
      </c>
      <c r="G195" t="s">
        <v>14</v>
      </c>
      <c r="H195">
        <v>65</v>
      </c>
      <c r="I195" s="5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si="20"/>
        <v>43198.208333333328</v>
      </c>
      <c r="O195" s="9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4">(E258/D258)*100</f>
        <v>23.390243902439025</v>
      </c>
      <c r="G258" t="s">
        <v>14</v>
      </c>
      <c r="H258">
        <v>15</v>
      </c>
      <c r="I258" s="5">
        <f t="shared" ref="I258:I321" si="25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ref="N258:N321" si="26">(((L258/60)/60)/24)+DATE(1970,1,1)</f>
        <v>42393.25</v>
      </c>
      <c r="O258" s="9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LEFT(R258,SEARCH("/",R258)-1)</f>
        <v>music</v>
      </c>
      <c r="T258" t="str">
        <f t="shared" ref="T258:T321" si="29">RIGHT(R258, LEN(R258)-SEARCH("/",R258))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4"/>
        <v>146</v>
      </c>
      <c r="G259" t="s">
        <v>20</v>
      </c>
      <c r="H259">
        <v>92</v>
      </c>
      <c r="I259" s="5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si="26"/>
        <v>41338.25</v>
      </c>
      <c r="O259" s="9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30">(E322/D322)*100</f>
        <v>9.5876777251184837</v>
      </c>
      <c r="G322" t="s">
        <v>14</v>
      </c>
      <c r="H322">
        <v>80</v>
      </c>
      <c r="I322" s="5">
        <f t="shared" ref="I322:I385" si="3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ref="N322:N385" si="32">(((L322/60)/60)/24)+DATE(1970,1,1)</f>
        <v>40673.208333333336</v>
      </c>
      <c r="O322" s="9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LEFT(R322,SEARCH("/",R322)-1)</f>
        <v>publishing</v>
      </c>
      <c r="T322" t="str">
        <f t="shared" ref="T322:T385" si="35">RIGHT(R322, LEN(R322)-SEARCH("/",R322))</f>
        <v>fiction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0"/>
        <v>94.144366197183089</v>
      </c>
      <c r="G323" t="s">
        <v>14</v>
      </c>
      <c r="H323">
        <v>2468</v>
      </c>
      <c r="I323" s="5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si="32"/>
        <v>40634.208333333336</v>
      </c>
      <c r="O323" s="9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36">(E386/D386)*100</f>
        <v>172.00961538461539</v>
      </c>
      <c r="G386" t="s">
        <v>20</v>
      </c>
      <c r="H386">
        <v>4799</v>
      </c>
      <c r="I386" s="5">
        <f t="shared" ref="I386:I449" si="37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ref="N386:N449" si="38">(((L386/60)/60)/24)+DATE(1970,1,1)</f>
        <v>42776.25</v>
      </c>
      <c r="O386" s="9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LEFT(R386,SEARCH("/",R386)-1)</f>
        <v>film &amp; video</v>
      </c>
      <c r="T386" t="str">
        <f t="shared" ref="T386:T449" si="41">RIGHT(R386, LEN(R386)-SEARCH("/",R386))</f>
        <v>documentary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6"/>
        <v>146.16709511568124</v>
      </c>
      <c r="G387" t="s">
        <v>20</v>
      </c>
      <c r="H387">
        <v>1137</v>
      </c>
      <c r="I387" s="5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si="38"/>
        <v>43553.208333333328</v>
      </c>
      <c r="O387" s="9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42">(E450/D450)*100</f>
        <v>50.482758620689658</v>
      </c>
      <c r="G450" t="s">
        <v>14</v>
      </c>
      <c r="H450">
        <v>605</v>
      </c>
      <c r="I450" s="5">
        <f t="shared" ref="I450:I513" si="43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ref="N450:N513" si="44">(((L450/60)/60)/24)+DATE(1970,1,1)</f>
        <v>41378.208333333336</v>
      </c>
      <c r="O450" s="9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LEFT(R450,SEARCH("/",R450)-1)</f>
        <v>games</v>
      </c>
      <c r="T450" t="str">
        <f t="shared" ref="T450:T513" si="47">RIGHT(R450, LEN(R450)-SEARCH("/",R450))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2"/>
        <v>967</v>
      </c>
      <c r="G451" t="s">
        <v>20</v>
      </c>
      <c r="H451">
        <v>86</v>
      </c>
      <c r="I451" s="5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si="44"/>
        <v>43530.25</v>
      </c>
      <c r="O451" s="9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48">(E514/D514)*100</f>
        <v>139.31868131868131</v>
      </c>
      <c r="G514" t="s">
        <v>20</v>
      </c>
      <c r="H514">
        <v>239</v>
      </c>
      <c r="I514" s="5">
        <f t="shared" ref="I514:I577" si="49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ref="N514:N577" si="50">(((L514/60)/60)/24)+DATE(1970,1,1)</f>
        <v>41825.208333333336</v>
      </c>
      <c r="O514" s="9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LEFT(R514,SEARCH("/",R514)-1)</f>
        <v>games</v>
      </c>
      <c r="T514" t="str">
        <f t="shared" ref="T514:T577" si="53">RIGHT(R514, LEN(R514)-SEARCH("/",R514))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8"/>
        <v>39.277108433734945</v>
      </c>
      <c r="G515" t="s">
        <v>74</v>
      </c>
      <c r="H515">
        <v>35</v>
      </c>
      <c r="I515" s="5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si="50"/>
        <v>40430.208333333336</v>
      </c>
      <c r="O515" s="9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54">(E578/D578)*100</f>
        <v>64.927835051546396</v>
      </c>
      <c r="G578" t="s">
        <v>14</v>
      </c>
      <c r="H578">
        <v>64</v>
      </c>
      <c r="I578" s="5">
        <f t="shared" ref="I578:I641" si="55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ref="N578:N641" si="56">(((L578/60)/60)/24)+DATE(1970,1,1)</f>
        <v>43040.208333333328</v>
      </c>
      <c r="O578" s="9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LEFT(R578,SEARCH("/",R578)-1)</f>
        <v>theater</v>
      </c>
      <c r="T578" t="str">
        <f t="shared" ref="T578:T641" si="59">RIGHT(R578, LEN(R578)-SEARCH("/",R578))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4"/>
        <v>18.853658536585368</v>
      </c>
      <c r="G579" t="s">
        <v>74</v>
      </c>
      <c r="H579">
        <v>37</v>
      </c>
      <c r="I579" s="5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si="56"/>
        <v>40613.25</v>
      </c>
      <c r="O579" s="9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60">(E642/D642)*100</f>
        <v>16.501669449081803</v>
      </c>
      <c r="G642" t="s">
        <v>14</v>
      </c>
      <c r="H642">
        <v>257</v>
      </c>
      <c r="I642" s="5">
        <f t="shared" ref="I642:I705" si="6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ref="N642:N705" si="62">(((L642/60)/60)/24)+DATE(1970,1,1)</f>
        <v>42387.25</v>
      </c>
      <c r="O642" s="9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LEFT(R642,SEARCH("/",R642)-1)</f>
        <v>theater</v>
      </c>
      <c r="T642" t="str">
        <f t="shared" ref="T642:T705" si="65">RIGHT(R642, LEN(R642)-SEARCH("/",R642))</f>
        <v>plays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60"/>
        <v>119.96808510638297</v>
      </c>
      <c r="G643" t="s">
        <v>20</v>
      </c>
      <c r="H643">
        <v>194</v>
      </c>
      <c r="I643" s="5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si="62"/>
        <v>42786.25</v>
      </c>
      <c r="O643" s="9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66">(E706/D706)*100</f>
        <v>122.78160919540231</v>
      </c>
      <c r="G706" t="s">
        <v>20</v>
      </c>
      <c r="H706">
        <v>116</v>
      </c>
      <c r="I706" s="5">
        <f t="shared" ref="I706:I769" si="67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ref="N706:N769" si="68">(((L706/60)/60)/24)+DATE(1970,1,1)</f>
        <v>42555.208333333328</v>
      </c>
      <c r="O706" s="9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LEFT(R706,SEARCH("/",R706)-1)</f>
        <v>film &amp; video</v>
      </c>
      <c r="T706" t="str">
        <f t="shared" ref="T706:T769" si="71">RIGHT(R706, LEN(R706)-SEARCH("/",R706))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6"/>
        <v>99.026517383618156</v>
      </c>
      <c r="G707" t="s">
        <v>14</v>
      </c>
      <c r="H707">
        <v>2025</v>
      </c>
      <c r="I707" s="5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si="68"/>
        <v>41619.25</v>
      </c>
      <c r="O707" s="9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72">(E770/D770)*100</f>
        <v>231</v>
      </c>
      <c r="G770" t="s">
        <v>20</v>
      </c>
      <c r="H770">
        <v>150</v>
      </c>
      <c r="I770" s="5">
        <f t="shared" ref="I770:I833" si="73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ref="N770:N833" si="74">(((L770/60)/60)/24)+DATE(1970,1,1)</f>
        <v>41619.25</v>
      </c>
      <c r="O770" s="9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LEFT(R770,SEARCH("/",R770)-1)</f>
        <v>theater</v>
      </c>
      <c r="T770" t="str">
        <f t="shared" ref="T770:T833" si="77">RIGHT(R770, LEN(R770)-SEARCH("/",R770))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2"/>
        <v>86.867834394904463</v>
      </c>
      <c r="G771" t="s">
        <v>14</v>
      </c>
      <c r="H771">
        <v>3410</v>
      </c>
      <c r="I771" s="5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si="74"/>
        <v>41501.208333333336</v>
      </c>
      <c r="O771" s="9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78">(E834/D834)*100</f>
        <v>315.17592592592592</v>
      </c>
      <c r="G834" t="s">
        <v>20</v>
      </c>
      <c r="H834">
        <v>1297</v>
      </c>
      <c r="I834" s="5">
        <f t="shared" ref="I834:I897" si="79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ref="N834:N897" si="80">(((L834/60)/60)/24)+DATE(1970,1,1)</f>
        <v>42299.208333333328</v>
      </c>
      <c r="O834" s="9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LEFT(R834,SEARCH("/",R834)-1)</f>
        <v>publishing</v>
      </c>
      <c r="T834" t="str">
        <f t="shared" ref="T834:T897" si="83">RIGHT(R834, LEN(R834)-SEARCH("/",R834))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8"/>
        <v>157.69117647058823</v>
      </c>
      <c r="G835" t="s">
        <v>20</v>
      </c>
      <c r="H835">
        <v>165</v>
      </c>
      <c r="I835" s="5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si="80"/>
        <v>40588.25</v>
      </c>
      <c r="O835" s="9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84">(E898/D898)*100</f>
        <v>774.43434343434342</v>
      </c>
      <c r="G898" t="s">
        <v>20</v>
      </c>
      <c r="H898">
        <v>1460</v>
      </c>
      <c r="I898" s="5">
        <f t="shared" ref="I898:I961" si="85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ref="N898:N961" si="86">(((L898/60)/60)/24)+DATE(1970,1,1)</f>
        <v>40738.208333333336</v>
      </c>
      <c r="O898" s="9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LEFT(R898,SEARCH("/",R898)-1)</f>
        <v>food</v>
      </c>
      <c r="T898" t="str">
        <f t="shared" ref="T898:T961" si="89">RIGHT(R898, LEN(R898)-SEARCH("/",R898))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4"/>
        <v>27.693181818181817</v>
      </c>
      <c r="G899" t="s">
        <v>14</v>
      </c>
      <c r="H899">
        <v>27</v>
      </c>
      <c r="I899" s="5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86"/>
        <v>43583.208333333328</v>
      </c>
      <c r="O899" s="9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90">(E962/D962)*100</f>
        <v>85.054545454545448</v>
      </c>
      <c r="G962" t="s">
        <v>14</v>
      </c>
      <c r="H962">
        <v>55</v>
      </c>
      <c r="I962" s="5">
        <f t="shared" ref="I962:I1025" si="9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ref="N962:N1001" si="92">(((L962/60)/60)/24)+DATE(1970,1,1)</f>
        <v>42408.25</v>
      </c>
      <c r="O962" s="9">
        <f t="shared" ref="O962:O1001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25" si="94">LEFT(R962,SEARCH("/",R962)-1)</f>
        <v>technology</v>
      </c>
      <c r="T962" t="str">
        <f t="shared" ref="T962:T1001" si="95">RIGHT(R962, LEN(R962)-SEARCH("/",R962))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90"/>
        <v>119.29824561403508</v>
      </c>
      <c r="G963" t="s">
        <v>20</v>
      </c>
      <c r="H963">
        <v>155</v>
      </c>
      <c r="I963" s="5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92"/>
        <v>40591.25</v>
      </c>
      <c r="O963" s="9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olorScale" priority="5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2:G1001">
    <cfRule type="containsText" dxfId="11" priority="1" operator="containsText" text="live">
      <formula>NOT(ISERROR(SEARCH("live",G2)))</formula>
    </cfRule>
    <cfRule type="containsText" dxfId="10" priority="2" operator="containsText" text="canceled">
      <formula>NOT(ISERROR(SEARCH("canceled",G2)))</formula>
    </cfRule>
    <cfRule type="containsText" dxfId="9" priority="3" operator="containsText" text="successful">
      <formula>NOT(ISERROR(SEARCH("successful",G2)))</formula>
    </cfRule>
    <cfRule type="containsText" dxfId="8" priority="4" operator="containsText" text="failed">
      <formula>NOT(ISERROR(SEARCH("failed",G2)))</formula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BA3D-E8B6-4C50-9EEB-0DDE56A7F270}">
  <dimension ref="A1:F14"/>
  <sheetViews>
    <sheetView zoomScale="70" zoomScaleNormal="70" workbookViewId="0">
      <selection activeCell="O25" sqref="O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2068</v>
      </c>
    </row>
    <row r="3" spans="1:6" x14ac:dyDescent="0.25">
      <c r="A3" s="7" t="s">
        <v>2069</v>
      </c>
      <c r="B3" s="7" t="s">
        <v>2070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2B35-8833-4A42-A078-7B6AAFF1AF57}">
  <dimension ref="A1:F30"/>
  <sheetViews>
    <sheetView zoomScale="70" zoomScaleNormal="70" workbookViewId="0">
      <selection activeCell="R25" sqref="R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2068</v>
      </c>
    </row>
    <row r="2" spans="1:6" x14ac:dyDescent="0.25">
      <c r="A2" s="7" t="s">
        <v>2031</v>
      </c>
      <c r="B2" t="s">
        <v>2068</v>
      </c>
    </row>
    <row r="4" spans="1:6" x14ac:dyDescent="0.25">
      <c r="A4" s="7" t="s">
        <v>2069</v>
      </c>
      <c r="B4" s="7" t="s">
        <v>2070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0506-2F1E-41CC-88AE-F364BCD38D6C}">
  <dimension ref="A1:E18"/>
  <sheetViews>
    <sheetView zoomScale="70" zoomScaleNormal="70" workbookViewId="0">
      <selection activeCell="M31" sqref="M31"/>
    </sheetView>
  </sheetViews>
  <sheetFormatPr defaultRowHeight="15.75" x14ac:dyDescent="0.25"/>
  <cols>
    <col min="1" max="1" width="28.12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2031</v>
      </c>
      <c r="B1" t="s">
        <v>2068</v>
      </c>
    </row>
    <row r="2" spans="1:5" x14ac:dyDescent="0.25">
      <c r="A2" s="7" t="s">
        <v>2083</v>
      </c>
      <c r="B2" t="s">
        <v>2068</v>
      </c>
    </row>
    <row r="4" spans="1:5" x14ac:dyDescent="0.25">
      <c r="A4" s="7" t="s">
        <v>2069</v>
      </c>
      <c r="B4" s="7" t="s">
        <v>2070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2071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2072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2073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2074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2080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2082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ACE5-EE6D-46F7-90F9-6C8CD0AB2A63}">
  <dimension ref="A1:H13"/>
  <sheetViews>
    <sheetView zoomScale="70" zoomScaleNormal="70" workbookViewId="0">
      <selection activeCell="L44" sqref="L44"/>
    </sheetView>
  </sheetViews>
  <sheetFormatPr defaultRowHeight="15.75" x14ac:dyDescent="0.25"/>
  <cols>
    <col min="1" max="1" width="28" bestFit="1" customWidth="1"/>
    <col min="2" max="2" width="17.25" bestFit="1" customWidth="1"/>
    <col min="3" max="3" width="13.5" bestFit="1" customWidth="1"/>
    <col min="4" max="4" width="16.375" bestFit="1" customWidth="1"/>
    <col min="5" max="5" width="12.75" bestFit="1" customWidth="1"/>
    <col min="6" max="6" width="20.25" bestFit="1" customWidth="1"/>
    <col min="7" max="7" width="16.5" bestFit="1" customWidth="1"/>
    <col min="8" max="8" width="19.3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COUNTIFS(GOAL,"&lt;1000", Outcome,"successful")</f>
        <v>30</v>
      </c>
      <c r="C2">
        <f>COUNTIFS(GOAL,"&lt;1000", Outcome,"failed")</f>
        <v>20</v>
      </c>
      <c r="D2">
        <f>COUNTIFS(GOAL,"&lt;1000", Outcome,"canceled")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2095</v>
      </c>
      <c r="B3">
        <f>COUNTIFS(GOAL,"&gt;=1000",GOAL,"&lt;=4999", Outcome, "successful")</f>
        <v>191</v>
      </c>
      <c r="C3">
        <f>COUNTIFS(GOAL,"&gt;=1000",GOAL,"&lt;=4999", Outcome, "failed")</f>
        <v>38</v>
      </c>
      <c r="D3">
        <f>COUNTIFS(GOAL,"&gt;=1000",GOAL,"&lt;=4999", Outcome, 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2096</v>
      </c>
      <c r="B4">
        <f>COUNTIFS(GOAL,"&gt;=5000",GOAL,"&lt;=9999", Outcome, "successful")</f>
        <v>164</v>
      </c>
      <c r="C4">
        <f>COUNTIFS(GOAL,"&gt;=5000",GOAL,"&lt;=9999", Outcome, "failed")</f>
        <v>126</v>
      </c>
      <c r="D4">
        <f>COUNTIFS(GOAL,"&gt;=5000",GOAL,"&lt;=9999", Outcome,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2097</v>
      </c>
      <c r="B5">
        <f>COUNTIFS(GOAL,"&gt;=10000",GOAL,"&lt;=14999",Outcome, "successful")</f>
        <v>4</v>
      </c>
      <c r="C5">
        <f>COUNTIFS(GOAL,"&gt;=10000",GOAL,"&lt;=14999",Outcome, "failed")</f>
        <v>5</v>
      </c>
      <c r="D5">
        <f>COUNTIFS(GOAL,"&gt;=10000",GOAL,"&lt;=14999",Outcome,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2098</v>
      </c>
      <c r="B6">
        <f>COUNTIFS(GOAL,"&gt;=15000",GOAL,"&lt;=19999", Outcome, "successful")</f>
        <v>10</v>
      </c>
      <c r="C6">
        <f>COUNTIFS(GOAL,"&gt;=15000",GOAL,"&lt;=19999", Outcome, "failed")</f>
        <v>0</v>
      </c>
      <c r="D6">
        <f>COUNTIFS(GOAL,"&gt;=15000",GOAL,"&lt;=19999", Outcome,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2099</v>
      </c>
      <c r="B7">
        <f>COUNTIFS(GOAL,"&gt;=20000",GOAL,"&lt;=24999", Outcome, "successful")</f>
        <v>7</v>
      </c>
      <c r="C7">
        <f>COUNTIFS(GOAL,"&gt;=20000",GOAL,"&lt;=24999", Outcome, "failed")</f>
        <v>0</v>
      </c>
      <c r="D7">
        <f>COUNTIFS(GOAL,"&gt;=20000",GOAL,"&lt;=24999", Outcome,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2100</v>
      </c>
      <c r="B8">
        <f>COUNTIFS(GOAL,"&gt;=25000",GOAL,"&lt;=29999", Outcome, "successful")</f>
        <v>11</v>
      </c>
      <c r="C8">
        <f>COUNTIFS(GOAL,"&gt;=25000",GOAL,"&lt;=29999", Outcome, "failed")</f>
        <v>3</v>
      </c>
      <c r="D8">
        <f>COUNTIFS(GOAL,"&gt;=25000",GOAL,"&lt;=29999", Outcome,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2101</v>
      </c>
      <c r="B9">
        <f>COUNTIFS(GOAL,"&gt;=30000",GOAL,"&lt;=34999", Outcome, "successful")</f>
        <v>7</v>
      </c>
      <c r="C9">
        <f>COUNTIFS(GOAL,"&gt;=30000",GOAL,"&lt;=34999", Outcome, "failed")</f>
        <v>0</v>
      </c>
      <c r="D9">
        <f>COUNTIFS(GOAL,"&gt;=30000",GOAL,"&lt;=34999", Outcome,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2102</v>
      </c>
      <c r="B10">
        <f>COUNTIFS(GOAL,"&gt;=35000",GOAL,"&lt;=39999", Outcome, "successful")</f>
        <v>8</v>
      </c>
      <c r="C10">
        <f>COUNTIFS(GOAL,"&gt;=35000",GOAL,"&lt;=39999", Outcome, "failed")</f>
        <v>3</v>
      </c>
      <c r="D10">
        <f>COUNTIFS(GOAL,"&gt;=35000",GOAL,"&lt;=39999", Outcome,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2103</v>
      </c>
      <c r="B11">
        <f>COUNTIFS(GOAL,"&gt;=40000",GOAL,"&lt;=44999", Outcome, "successful")</f>
        <v>11</v>
      </c>
      <c r="C11">
        <f>COUNTIFS(GOAL,"&gt;=40000",GOAL,"&lt;=44999", Outcome, "failed")</f>
        <v>3</v>
      </c>
      <c r="D11">
        <f>COUNTIFS(GOAL,"&gt;=40000",GOAL,"&lt;=44999", Outcome,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2104</v>
      </c>
      <c r="B12">
        <f>COUNTIFS(GOAL,"&gt;=45000",GOAL,"&lt;=49999", Outcome, "successful")</f>
        <v>8</v>
      </c>
      <c r="C12">
        <f>COUNTIFS(GOAL,"&gt;=45000",GOAL,"&lt;=49999", Outcome, "failed")</f>
        <v>3</v>
      </c>
      <c r="D12">
        <f>COUNTIFS(GOAL,"&gt;=45000",GOAL,"&lt;=49999", Outcome,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2105</v>
      </c>
      <c r="B13">
        <f>COUNTIFS(GOAL,"&gt;=50000", Outcome,"successful")</f>
        <v>114</v>
      </c>
      <c r="C13">
        <f>COUNTIFS(GOAL,"&gt;=50000", Outcome,"failed")</f>
        <v>163</v>
      </c>
      <c r="D13">
        <f>COUNTIFS(GOAL,"&gt;=50000", Outcome,"canceled")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4A68-2376-42D2-B8B4-048CE9E1792E}">
  <dimension ref="A1:S566"/>
  <sheetViews>
    <sheetView zoomScale="70" zoomScaleNormal="70" workbookViewId="0">
      <selection activeCell="N36" sqref="N36"/>
    </sheetView>
  </sheetViews>
  <sheetFormatPr defaultRowHeight="15.75" x14ac:dyDescent="0.25"/>
  <cols>
    <col min="1" max="1" width="10" bestFit="1" customWidth="1"/>
    <col min="2" max="2" width="13.5" bestFit="1" customWidth="1"/>
    <col min="4" max="4" width="8.75" bestFit="1" customWidth="1"/>
    <col min="5" max="5" width="13.5" bestFit="1" customWidth="1"/>
    <col min="7" max="7" width="12.5" bestFit="1" customWidth="1"/>
    <col min="10" max="10" width="12.5" bestFit="1" customWidth="1"/>
  </cols>
  <sheetData>
    <row r="1" spans="1:19" x14ac:dyDescent="0.25">
      <c r="A1" s="1" t="s">
        <v>4</v>
      </c>
      <c r="B1" s="1" t="s">
        <v>5</v>
      </c>
      <c r="D1" s="1" t="s">
        <v>4</v>
      </c>
      <c r="E1" s="1" t="s">
        <v>5</v>
      </c>
      <c r="G1" s="1" t="s">
        <v>2106</v>
      </c>
      <c r="H1" s="11" t="s">
        <v>2107</v>
      </c>
      <c r="J1" s="1" t="s">
        <v>2106</v>
      </c>
      <c r="K1" s="12" t="s">
        <v>2108</v>
      </c>
    </row>
    <row r="2" spans="1:19" x14ac:dyDescent="0.25">
      <c r="A2" t="s">
        <v>20</v>
      </c>
      <c r="B2">
        <v>16</v>
      </c>
      <c r="D2" t="s">
        <v>14</v>
      </c>
      <c r="E2">
        <v>0</v>
      </c>
      <c r="G2" t="s">
        <v>2109</v>
      </c>
      <c r="H2">
        <f>AVERAGE(B:B)</f>
        <v>851.14690265486729</v>
      </c>
      <c r="J2" t="s">
        <v>2109</v>
      </c>
      <c r="K2">
        <f>AVERAGE(E:E)</f>
        <v>585.61538461538464</v>
      </c>
    </row>
    <row r="3" spans="1:19" x14ac:dyDescent="0.25">
      <c r="A3" t="s">
        <v>20</v>
      </c>
      <c r="B3">
        <v>26</v>
      </c>
      <c r="D3" t="s">
        <v>14</v>
      </c>
      <c r="E3">
        <v>0</v>
      </c>
      <c r="G3" t="s">
        <v>2110</v>
      </c>
      <c r="H3">
        <f>MEDIAN(B2:B566)</f>
        <v>201</v>
      </c>
      <c r="J3" t="s">
        <v>2110</v>
      </c>
      <c r="K3">
        <f>MEDIAN(E2:E365)</f>
        <v>114.5</v>
      </c>
    </row>
    <row r="4" spans="1:19" x14ac:dyDescent="0.25">
      <c r="A4" t="s">
        <v>20</v>
      </c>
      <c r="B4">
        <v>27</v>
      </c>
      <c r="D4" t="s">
        <v>14</v>
      </c>
      <c r="E4">
        <v>1</v>
      </c>
      <c r="G4" t="s">
        <v>2111</v>
      </c>
      <c r="H4">
        <f>MIN(B2:B566)</f>
        <v>16</v>
      </c>
      <c r="J4" t="s">
        <v>2111</v>
      </c>
      <c r="K4">
        <f>MIN(E:E)</f>
        <v>0</v>
      </c>
    </row>
    <row r="5" spans="1:19" x14ac:dyDescent="0.25">
      <c r="A5" t="s">
        <v>20</v>
      </c>
      <c r="B5">
        <v>32</v>
      </c>
      <c r="D5" t="s">
        <v>14</v>
      </c>
      <c r="E5">
        <v>1</v>
      </c>
      <c r="G5" t="s">
        <v>2112</v>
      </c>
      <c r="H5">
        <f>MAX(B2:B566)</f>
        <v>7295</v>
      </c>
      <c r="J5" t="s">
        <v>2112</v>
      </c>
      <c r="K5">
        <f>MAX(E:E)</f>
        <v>6080</v>
      </c>
    </row>
    <row r="6" spans="1:19" x14ac:dyDescent="0.25">
      <c r="A6" t="s">
        <v>20</v>
      </c>
      <c r="B6">
        <v>32</v>
      </c>
      <c r="D6" t="s">
        <v>14</v>
      </c>
      <c r="E6">
        <v>1</v>
      </c>
      <c r="G6" t="s">
        <v>2113</v>
      </c>
      <c r="H6">
        <f>+_xlfn.VAR.P(B:B)</f>
        <v>1603373.7324019109</v>
      </c>
      <c r="J6" t="s">
        <v>2113</v>
      </c>
      <c r="K6">
        <f>_xlfn.VAR.P(E:E)</f>
        <v>921574.68174133555</v>
      </c>
    </row>
    <row r="7" spans="1:19" x14ac:dyDescent="0.25">
      <c r="A7" t="s">
        <v>20</v>
      </c>
      <c r="B7">
        <v>34</v>
      </c>
      <c r="D7" t="s">
        <v>14</v>
      </c>
      <c r="E7">
        <v>1</v>
      </c>
      <c r="G7" t="s">
        <v>2114</v>
      </c>
      <c r="H7">
        <f>_xlfn.STDEV.P(B:B)</f>
        <v>1266.2439466397898</v>
      </c>
      <c r="J7" t="s">
        <v>2114</v>
      </c>
      <c r="K7">
        <f>_xlfn.STDEV.P(E:E)</f>
        <v>959.98681331637863</v>
      </c>
    </row>
    <row r="8" spans="1:19" x14ac:dyDescent="0.25">
      <c r="A8" t="s">
        <v>20</v>
      </c>
      <c r="B8">
        <v>40</v>
      </c>
      <c r="D8" t="s">
        <v>14</v>
      </c>
      <c r="E8">
        <v>1</v>
      </c>
    </row>
    <row r="9" spans="1:19" x14ac:dyDescent="0.25">
      <c r="A9" t="s">
        <v>20</v>
      </c>
      <c r="B9">
        <v>41</v>
      </c>
      <c r="D9" t="s">
        <v>14</v>
      </c>
      <c r="E9">
        <v>1</v>
      </c>
      <c r="G9" s="13" t="s">
        <v>2115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25">
      <c r="A10" t="s">
        <v>20</v>
      </c>
      <c r="B10">
        <v>41</v>
      </c>
      <c r="D10" t="s">
        <v>14</v>
      </c>
      <c r="E10">
        <v>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t="s">
        <v>20</v>
      </c>
      <c r="B11">
        <v>42</v>
      </c>
      <c r="D11" t="s">
        <v>14</v>
      </c>
      <c r="E11">
        <v>1</v>
      </c>
      <c r="G11" s="14" t="s">
        <v>2116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x14ac:dyDescent="0.25">
      <c r="A12" t="s">
        <v>20</v>
      </c>
      <c r="B12">
        <v>43</v>
      </c>
      <c r="D12" t="s">
        <v>14</v>
      </c>
      <c r="E12">
        <v>1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x14ac:dyDescent="0.25">
      <c r="A13" t="s">
        <v>20</v>
      </c>
      <c r="B13">
        <v>43</v>
      </c>
      <c r="D13" t="s">
        <v>14</v>
      </c>
      <c r="E13">
        <v>1</v>
      </c>
    </row>
    <row r="14" spans="1:19" x14ac:dyDescent="0.25">
      <c r="A14" t="s">
        <v>20</v>
      </c>
      <c r="B14">
        <v>48</v>
      </c>
      <c r="D14" t="s">
        <v>14</v>
      </c>
      <c r="E14">
        <v>1</v>
      </c>
    </row>
    <row r="15" spans="1:19" x14ac:dyDescent="0.25">
      <c r="A15" t="s">
        <v>20</v>
      </c>
      <c r="B15">
        <v>48</v>
      </c>
      <c r="D15" t="s">
        <v>14</v>
      </c>
      <c r="E15">
        <v>1</v>
      </c>
    </row>
    <row r="16" spans="1:19" x14ac:dyDescent="0.25">
      <c r="A16" t="s">
        <v>20</v>
      </c>
      <c r="B16">
        <v>48</v>
      </c>
      <c r="D16" t="s">
        <v>14</v>
      </c>
      <c r="E16">
        <v>1</v>
      </c>
    </row>
    <row r="17" spans="1:5" x14ac:dyDescent="0.25">
      <c r="A17" t="s">
        <v>20</v>
      </c>
      <c r="B17">
        <v>50</v>
      </c>
      <c r="D17" t="s">
        <v>14</v>
      </c>
      <c r="E17">
        <v>1</v>
      </c>
    </row>
    <row r="18" spans="1:5" x14ac:dyDescent="0.25">
      <c r="A18" t="s">
        <v>20</v>
      </c>
      <c r="B18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t="s">
        <v>14</v>
      </c>
      <c r="E19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t="s">
        <v>20</v>
      </c>
      <c r="B21">
        <v>53</v>
      </c>
      <c r="D21" t="s">
        <v>14</v>
      </c>
      <c r="E21">
        <v>5</v>
      </c>
    </row>
    <row r="22" spans="1:5" x14ac:dyDescent="0.25">
      <c r="A22" t="s">
        <v>20</v>
      </c>
      <c r="B22">
        <v>53</v>
      </c>
      <c r="D22" t="s">
        <v>14</v>
      </c>
      <c r="E22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t="s">
        <v>14</v>
      </c>
      <c r="E24">
        <v>7</v>
      </c>
    </row>
    <row r="25" spans="1:5" x14ac:dyDescent="0.25">
      <c r="A25" t="s">
        <v>20</v>
      </c>
      <c r="B25">
        <v>56</v>
      </c>
      <c r="D25" t="s">
        <v>14</v>
      </c>
      <c r="E25">
        <v>7</v>
      </c>
    </row>
    <row r="26" spans="1:5" x14ac:dyDescent="0.25">
      <c r="A26" t="s">
        <v>20</v>
      </c>
      <c r="B26">
        <v>59</v>
      </c>
      <c r="D26" t="s">
        <v>14</v>
      </c>
      <c r="E26">
        <v>9</v>
      </c>
    </row>
    <row r="27" spans="1:5" x14ac:dyDescent="0.25">
      <c r="A27" t="s">
        <v>20</v>
      </c>
      <c r="B27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t="s">
        <v>14</v>
      </c>
      <c r="E28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t="s">
        <v>14</v>
      </c>
      <c r="E30">
        <v>10</v>
      </c>
    </row>
    <row r="31" spans="1:5" x14ac:dyDescent="0.25">
      <c r="A31" t="s">
        <v>20</v>
      </c>
      <c r="B3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autoFilter ref="E1:E567" xr:uid="{CB5B4A68-2376-42D2-B8B4-048CE9E1792E}">
    <sortState xmlns:xlrd2="http://schemas.microsoft.com/office/spreadsheetml/2017/richdata2" ref="E2:E567">
      <sortCondition ref="E1:E567"/>
    </sortState>
  </autoFilter>
  <mergeCells count="2">
    <mergeCell ref="G9:S9"/>
    <mergeCell ref="G11:S12"/>
  </mergeCells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outcome_category</vt:lpstr>
      <vt:lpstr>outcome_sub-category</vt:lpstr>
      <vt:lpstr>outcome_month</vt:lpstr>
      <vt:lpstr>outcome_based_on_goal</vt:lpstr>
      <vt:lpstr>mean_median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Danik Lafrance</cp:lastModifiedBy>
  <dcterms:created xsi:type="dcterms:W3CDTF">2021-09-29T18:52:28Z</dcterms:created>
  <dcterms:modified xsi:type="dcterms:W3CDTF">2023-07-24T22:19:49Z</dcterms:modified>
</cp:coreProperties>
</file>