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5BB0779D-B820-4463-8216-8430E3B30535}" xr6:coauthVersionLast="45" xr6:coauthVersionMax="45" xr10:uidLastSave="{00000000-0000-0000-0000-000000000000}"/>
  <bookViews>
    <workbookView showSheetTabs="0" xWindow="-120" yWindow="-120" windowWidth="20730" windowHeight="11160" tabRatio="599" activeTab="3" xr2:uid="{00000000-000D-0000-FFFF-FFFF00000000}"/>
  </bookViews>
  <sheets>
    <sheet name="Leia_antes_de_usar" sheetId="5" r:id="rId1"/>
    <sheet name="Entrada de dados" sheetId="1" r:id="rId2"/>
    <sheet name="Qualidade dos Dados" sheetId="3" r:id="rId3"/>
    <sheet name="Classificação Textural" sheetId="4" r:id="rId4"/>
    <sheet name="Protocolo" sheetId="6" r:id="rId5"/>
    <sheet name="Const. Triagulo" sheetId="9" state="hidden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9" l="1"/>
  <c r="J16" i="9"/>
  <c r="J14" i="9"/>
  <c r="I17" i="9"/>
  <c r="B42" i="9" l="1"/>
  <c r="B44" i="9" s="1"/>
  <c r="B46" i="9" s="1"/>
  <c r="B48" i="9" s="1"/>
  <c r="B50" i="9" s="1"/>
  <c r="B52" i="9" s="1"/>
  <c r="B54" i="9" s="1"/>
  <c r="B56" i="9" s="1"/>
  <c r="B41" i="9"/>
  <c r="B43" i="9" s="1"/>
  <c r="B45" i="9" s="1"/>
  <c r="B47" i="9" s="1"/>
  <c r="B49" i="9" s="1"/>
  <c r="B51" i="9" s="1"/>
  <c r="B53" i="9" s="1"/>
  <c r="B55" i="9" s="1"/>
  <c r="C24" i="9"/>
  <c r="C26" i="9" s="1"/>
  <c r="C28" i="9" s="1"/>
  <c r="C30" i="9" s="1"/>
  <c r="C32" i="9" s="1"/>
  <c r="C34" i="9" s="1"/>
  <c r="C36" i="9" s="1"/>
  <c r="C38" i="9" s="1"/>
  <c r="C23" i="9"/>
  <c r="C25" i="9" s="1"/>
  <c r="C27" i="9" s="1"/>
  <c r="C29" i="9" s="1"/>
  <c r="C31" i="9" s="1"/>
  <c r="C33" i="9" s="1"/>
  <c r="C35" i="9" s="1"/>
  <c r="C37" i="9" s="1"/>
  <c r="J11" i="9"/>
  <c r="J10" i="9"/>
  <c r="F38" i="9" l="1"/>
  <c r="D38" i="9" s="1"/>
  <c r="E38" i="9" s="1"/>
  <c r="J15" i="9"/>
  <c r="I15" i="9"/>
  <c r="I16" i="9"/>
  <c r="F5" i="9"/>
  <c r="D5" i="9" s="1"/>
  <c r="E5" i="9" s="1"/>
  <c r="F32" i="9"/>
  <c r="D32" i="9" s="1"/>
  <c r="E32" i="9" s="1"/>
  <c r="F6" i="9"/>
  <c r="D6" i="9" s="1"/>
  <c r="E6" i="9" s="1"/>
  <c r="F11" i="9"/>
  <c r="D11" i="9" s="1"/>
  <c r="E11" i="9" s="1"/>
  <c r="F37" i="9"/>
  <c r="D37" i="9" s="1"/>
  <c r="E37" i="9" s="1"/>
  <c r="F3" i="9"/>
  <c r="D3" i="9" s="1"/>
  <c r="E3" i="9" s="1"/>
  <c r="F7" i="9"/>
  <c r="D7" i="9" s="1"/>
  <c r="E7" i="9" s="1"/>
  <c r="F30" i="9"/>
  <c r="D30" i="9" s="1"/>
  <c r="E30" i="9" s="1"/>
  <c r="F35" i="9"/>
  <c r="D35" i="9" s="1"/>
  <c r="E35" i="9" s="1"/>
  <c r="F31" i="9"/>
  <c r="D31" i="9" s="1"/>
  <c r="E31" i="9" s="1"/>
  <c r="F27" i="9"/>
  <c r="D27" i="9" s="1"/>
  <c r="E27" i="9" s="1"/>
  <c r="F23" i="9"/>
  <c r="D23" i="9" s="1"/>
  <c r="E23" i="9" s="1"/>
  <c r="F10" i="9"/>
  <c r="D10" i="9" s="1"/>
  <c r="E10" i="9" s="1"/>
  <c r="F39" i="9"/>
  <c r="D39" i="9" s="1"/>
  <c r="E39" i="9" s="1"/>
  <c r="F36" i="9"/>
  <c r="D36" i="9" s="1"/>
  <c r="E36" i="9" s="1"/>
  <c r="F12" i="9"/>
  <c r="D12" i="9" s="1"/>
  <c r="E12" i="9" s="1"/>
  <c r="F17" i="9"/>
  <c r="D17" i="9" s="1"/>
  <c r="E17" i="9" s="1"/>
  <c r="F18" i="9"/>
  <c r="D18" i="9" s="1"/>
  <c r="E18" i="9" s="1"/>
  <c r="F21" i="9"/>
  <c r="D21" i="9" s="1"/>
  <c r="E21" i="9" s="1"/>
  <c r="F22" i="9"/>
  <c r="D22" i="9" s="1"/>
  <c r="E22" i="9" s="1"/>
  <c r="F26" i="9"/>
  <c r="D26" i="9" s="1"/>
  <c r="E26" i="9" s="1"/>
  <c r="F28" i="9"/>
  <c r="D28" i="9" s="1"/>
  <c r="E28" i="9" s="1"/>
  <c r="F33" i="9"/>
  <c r="D33" i="9" s="1"/>
  <c r="E33" i="9" s="1"/>
  <c r="F42" i="9"/>
  <c r="D42" i="9" s="1"/>
  <c r="E42" i="9" s="1"/>
  <c r="F44" i="9"/>
  <c r="D44" i="9" s="1"/>
  <c r="E44" i="9" s="1"/>
  <c r="F46" i="9"/>
  <c r="D46" i="9" s="1"/>
  <c r="E46" i="9" s="1"/>
  <c r="F48" i="9"/>
  <c r="D48" i="9" s="1"/>
  <c r="E48" i="9" s="1"/>
  <c r="F50" i="9"/>
  <c r="D50" i="9" s="1"/>
  <c r="E50" i="9" s="1"/>
  <c r="F52" i="9"/>
  <c r="D52" i="9" s="1"/>
  <c r="E52" i="9" s="1"/>
  <c r="F54" i="9"/>
  <c r="D54" i="9" s="1"/>
  <c r="E54" i="9" s="1"/>
  <c r="F56" i="9"/>
  <c r="D56" i="9" s="1"/>
  <c r="E56" i="9" s="1"/>
  <c r="F4" i="9"/>
  <c r="F8" i="9"/>
  <c r="D8" i="9" s="1"/>
  <c r="E8" i="9" s="1"/>
  <c r="F9" i="9"/>
  <c r="D9" i="9" s="1"/>
  <c r="E9" i="9" s="1"/>
  <c r="F13" i="9"/>
  <c r="D13" i="9" s="1"/>
  <c r="E13" i="9" s="1"/>
  <c r="F14" i="9"/>
  <c r="D14" i="9" s="1"/>
  <c r="E14" i="9" s="1"/>
  <c r="F24" i="9"/>
  <c r="D24" i="9" s="1"/>
  <c r="E24" i="9" s="1"/>
  <c r="F29" i="9"/>
  <c r="D29" i="9" s="1"/>
  <c r="E29" i="9" s="1"/>
  <c r="F34" i="9"/>
  <c r="D34" i="9" s="1"/>
  <c r="E34" i="9" s="1"/>
  <c r="F41" i="9"/>
  <c r="D41" i="9" s="1"/>
  <c r="E41" i="9" s="1"/>
  <c r="F15" i="9"/>
  <c r="D15" i="9" s="1"/>
  <c r="E15" i="9" s="1"/>
  <c r="F16" i="9"/>
  <c r="D16" i="9" s="1"/>
  <c r="E16" i="9" s="1"/>
  <c r="F19" i="9"/>
  <c r="D19" i="9" s="1"/>
  <c r="E19" i="9" s="1"/>
  <c r="F20" i="9"/>
  <c r="D20" i="9" s="1"/>
  <c r="E20" i="9" s="1"/>
  <c r="F25" i="9"/>
  <c r="D25" i="9" s="1"/>
  <c r="E25" i="9" s="1"/>
  <c r="F40" i="9"/>
  <c r="D40" i="9" s="1"/>
  <c r="E40" i="9" s="1"/>
  <c r="F43" i="9"/>
  <c r="D43" i="9" s="1"/>
  <c r="E43" i="9" s="1"/>
  <c r="F45" i="9"/>
  <c r="D45" i="9" s="1"/>
  <c r="E45" i="9" s="1"/>
  <c r="F47" i="9"/>
  <c r="D47" i="9" s="1"/>
  <c r="E47" i="9" s="1"/>
  <c r="F49" i="9"/>
  <c r="D49" i="9" s="1"/>
  <c r="E49" i="9" s="1"/>
  <c r="F51" i="9"/>
  <c r="D51" i="9" s="1"/>
  <c r="E51" i="9" s="1"/>
  <c r="F53" i="9"/>
  <c r="D53" i="9" s="1"/>
  <c r="E53" i="9" s="1"/>
  <c r="F55" i="9"/>
  <c r="D55" i="9" s="1"/>
  <c r="E55" i="9" s="1"/>
  <c r="D4" i="9" l="1"/>
  <c r="E4" i="9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O32" i="1" l="1"/>
  <c r="O31" i="1"/>
  <c r="F9" i="3" l="1"/>
  <c r="N17" i="3" l="1"/>
  <c r="M17" i="3"/>
  <c r="O17" i="3" l="1"/>
  <c r="N9" i="3"/>
  <c r="N10" i="3"/>
  <c r="N11" i="3"/>
  <c r="N12" i="3"/>
  <c r="N13" i="3"/>
  <c r="N14" i="3"/>
  <c r="N15" i="3"/>
  <c r="N16" i="3"/>
  <c r="N18" i="3"/>
  <c r="N19" i="3"/>
  <c r="N20" i="3"/>
  <c r="N21" i="3"/>
  <c r="N22" i="3"/>
  <c r="N23" i="3"/>
  <c r="N24" i="3"/>
  <c r="N25" i="3"/>
  <c r="N26" i="3"/>
  <c r="N27" i="3"/>
  <c r="N28" i="3"/>
  <c r="O30" i="1" l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E9" i="3" l="1"/>
  <c r="C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M9" i="3"/>
  <c r="M10" i="3"/>
  <c r="M11" i="3"/>
  <c r="M12" i="3"/>
  <c r="M13" i="3"/>
  <c r="M14" i="3"/>
  <c r="M15" i="3"/>
  <c r="M16" i="3"/>
  <c r="M18" i="3"/>
  <c r="M19" i="3"/>
  <c r="M20" i="3"/>
  <c r="M21" i="3"/>
  <c r="M22" i="3"/>
  <c r="M23" i="3"/>
  <c r="M24" i="3"/>
  <c r="M25" i="3"/>
  <c r="M26" i="3"/>
  <c r="M27" i="3"/>
  <c r="M28" i="3"/>
  <c r="M29" i="3"/>
  <c r="N29" i="3"/>
  <c r="M30" i="3"/>
  <c r="N30" i="3"/>
  <c r="M31" i="3"/>
  <c r="N31" i="3"/>
  <c r="M32" i="3"/>
  <c r="N32" i="3"/>
  <c r="O13" i="3" l="1"/>
  <c r="S13" i="3" s="1"/>
  <c r="O29" i="3"/>
  <c r="S29" i="3" s="1"/>
  <c r="O20" i="3"/>
  <c r="S20" i="3" s="1"/>
  <c r="O21" i="3"/>
  <c r="S21" i="3" s="1"/>
  <c r="O12" i="3"/>
  <c r="S12" i="3" s="1"/>
  <c r="O28" i="3"/>
  <c r="S28" i="3" s="1"/>
  <c r="O24" i="3"/>
  <c r="S24" i="3" s="1"/>
  <c r="O22" i="3"/>
  <c r="S22" i="3" s="1"/>
  <c r="S17" i="3"/>
  <c r="O32" i="3"/>
  <c r="S32" i="3" s="1"/>
  <c r="O30" i="3"/>
  <c r="S30" i="3" s="1"/>
  <c r="O27" i="3"/>
  <c r="S27" i="3" s="1"/>
  <c r="O25" i="3"/>
  <c r="S25" i="3" s="1"/>
  <c r="O16" i="3"/>
  <c r="S16" i="3" s="1"/>
  <c r="O14" i="3"/>
  <c r="S14" i="3" s="1"/>
  <c r="O11" i="3"/>
  <c r="S11" i="3" s="1"/>
  <c r="O9" i="3"/>
  <c r="O31" i="3"/>
  <c r="S31" i="3" s="1"/>
  <c r="O26" i="3"/>
  <c r="S26" i="3" s="1"/>
  <c r="O23" i="3"/>
  <c r="S23" i="3" s="1"/>
  <c r="O18" i="3"/>
  <c r="O15" i="3"/>
  <c r="S15" i="3" s="1"/>
  <c r="O10" i="3"/>
  <c r="S10" i="3" s="1"/>
  <c r="S18" i="3" l="1"/>
  <c r="O19" i="3"/>
  <c r="S19" i="3" s="1"/>
  <c r="S9" i="3"/>
  <c r="R9" i="3"/>
  <c r="B32" i="3" l="1"/>
  <c r="B31" i="3"/>
  <c r="B30" i="3"/>
  <c r="B29" i="3"/>
  <c r="B28" i="3"/>
  <c r="B27" i="3"/>
  <c r="F32" i="3" l="1"/>
  <c r="I32" i="3" s="1"/>
  <c r="C32" i="3"/>
  <c r="F31" i="3"/>
  <c r="I31" i="3" s="1"/>
  <c r="C31" i="3"/>
  <c r="F30" i="3"/>
  <c r="I30" i="3" s="1"/>
  <c r="C30" i="3"/>
  <c r="F29" i="3"/>
  <c r="I29" i="3" s="1"/>
  <c r="C29" i="3"/>
  <c r="F28" i="3"/>
  <c r="I28" i="3" s="1"/>
  <c r="C28" i="3"/>
  <c r="F27" i="3"/>
  <c r="I27" i="3" s="1"/>
  <c r="C27" i="3"/>
  <c r="B26" i="3"/>
  <c r="F26" i="3"/>
  <c r="E26" i="3" s="1"/>
  <c r="H26" i="3" s="1"/>
  <c r="C26" i="3"/>
  <c r="B25" i="3"/>
  <c r="F25" i="3"/>
  <c r="I25" i="3" s="1"/>
  <c r="C25" i="3"/>
  <c r="B24" i="3"/>
  <c r="F24" i="3"/>
  <c r="E24" i="3" s="1"/>
  <c r="H24" i="3" s="1"/>
  <c r="C24" i="3"/>
  <c r="B23" i="3"/>
  <c r="F23" i="3"/>
  <c r="I23" i="3" s="1"/>
  <c r="C23" i="3"/>
  <c r="B22" i="3"/>
  <c r="F22" i="3"/>
  <c r="E22" i="3" s="1"/>
  <c r="H22" i="3" s="1"/>
  <c r="C22" i="3"/>
  <c r="B21" i="3"/>
  <c r="F21" i="3"/>
  <c r="I21" i="3" s="1"/>
  <c r="C21" i="3"/>
  <c r="B20" i="3"/>
  <c r="F20" i="3"/>
  <c r="E20" i="3" s="1"/>
  <c r="H20" i="3" s="1"/>
  <c r="C20" i="3"/>
  <c r="B19" i="3"/>
  <c r="F19" i="3"/>
  <c r="C19" i="3"/>
  <c r="B18" i="3"/>
  <c r="F18" i="3"/>
  <c r="I18" i="3" s="1"/>
  <c r="C18" i="3"/>
  <c r="B17" i="3"/>
  <c r="F17" i="3"/>
  <c r="I17" i="3" s="1"/>
  <c r="C17" i="3"/>
  <c r="B16" i="3"/>
  <c r="F16" i="3"/>
  <c r="I16" i="3" s="1"/>
  <c r="C16" i="3"/>
  <c r="B15" i="3"/>
  <c r="F15" i="3"/>
  <c r="I15" i="3" s="1"/>
  <c r="C15" i="3"/>
  <c r="B14" i="3"/>
  <c r="F14" i="3"/>
  <c r="I14" i="3" s="1"/>
  <c r="C14" i="3"/>
  <c r="B13" i="3"/>
  <c r="F13" i="3"/>
  <c r="I13" i="3" s="1"/>
  <c r="C13" i="3"/>
  <c r="B12" i="3"/>
  <c r="F12" i="3"/>
  <c r="I12" i="3" s="1"/>
  <c r="C12" i="3"/>
  <c r="B11" i="3"/>
  <c r="F11" i="3"/>
  <c r="I11" i="3" s="1"/>
  <c r="C11" i="3"/>
  <c r="B10" i="3"/>
  <c r="F10" i="3"/>
  <c r="C10" i="3"/>
  <c r="B9" i="3"/>
  <c r="I19" i="3" l="1"/>
  <c r="U19" i="3" s="1"/>
  <c r="E19" i="3"/>
  <c r="H19" i="3" s="1"/>
  <c r="R13" i="3"/>
  <c r="R21" i="3"/>
  <c r="R20" i="3"/>
  <c r="R24" i="3"/>
  <c r="R19" i="3"/>
  <c r="R23" i="3"/>
  <c r="R27" i="3"/>
  <c r="R14" i="3"/>
  <c r="R22" i="3"/>
  <c r="R15" i="3"/>
  <c r="R16" i="3"/>
  <c r="R30" i="3"/>
  <c r="R11" i="3"/>
  <c r="R17" i="3"/>
  <c r="R18" i="3"/>
  <c r="R26" i="3"/>
  <c r="R31" i="3"/>
  <c r="R28" i="3"/>
  <c r="R32" i="3"/>
  <c r="R12" i="3"/>
  <c r="R25" i="3"/>
  <c r="R29" i="3"/>
  <c r="I9" i="3"/>
  <c r="H9" i="3"/>
  <c r="T9" i="3" s="1"/>
  <c r="E23" i="3"/>
  <c r="H23" i="3" s="1"/>
  <c r="J23" i="3" s="1"/>
  <c r="I10" i="3"/>
  <c r="E10" i="3"/>
  <c r="H10" i="3" s="1"/>
  <c r="E18" i="3"/>
  <c r="H18" i="3" s="1"/>
  <c r="J18" i="3" s="1"/>
  <c r="U11" i="3"/>
  <c r="U12" i="3"/>
  <c r="U14" i="3"/>
  <c r="U15" i="3"/>
  <c r="U16" i="3"/>
  <c r="E14" i="3"/>
  <c r="H14" i="3" s="1"/>
  <c r="J14" i="3" s="1"/>
  <c r="E30" i="3"/>
  <c r="H30" i="3" s="1"/>
  <c r="T30" i="3" s="1"/>
  <c r="E12" i="3"/>
  <c r="H12" i="3" s="1"/>
  <c r="T12" i="3" s="1"/>
  <c r="E16" i="3"/>
  <c r="H16" i="3" s="1"/>
  <c r="J16" i="3" s="1"/>
  <c r="E21" i="3"/>
  <c r="H21" i="3" s="1"/>
  <c r="J21" i="3" s="1"/>
  <c r="E25" i="3"/>
  <c r="H25" i="3" s="1"/>
  <c r="J25" i="3" s="1"/>
  <c r="E28" i="3"/>
  <c r="H28" i="3" s="1"/>
  <c r="J28" i="3" s="1"/>
  <c r="E32" i="3"/>
  <c r="H32" i="3" s="1"/>
  <c r="J32" i="3" s="1"/>
  <c r="E11" i="3"/>
  <c r="H11" i="3" s="1"/>
  <c r="J11" i="3" s="1"/>
  <c r="E13" i="3"/>
  <c r="H13" i="3" s="1"/>
  <c r="J13" i="3" s="1"/>
  <c r="E15" i="3"/>
  <c r="H15" i="3" s="1"/>
  <c r="J15" i="3" s="1"/>
  <c r="E17" i="3"/>
  <c r="H17" i="3" s="1"/>
  <c r="J17" i="3" s="1"/>
  <c r="T22" i="3"/>
  <c r="T20" i="3"/>
  <c r="T24" i="3"/>
  <c r="I20" i="3"/>
  <c r="U20" i="3" s="1"/>
  <c r="I22" i="3"/>
  <c r="U22" i="3" s="1"/>
  <c r="I24" i="3"/>
  <c r="U24" i="3" s="1"/>
  <c r="T26" i="3"/>
  <c r="U30" i="3"/>
  <c r="U28" i="3"/>
  <c r="U32" i="3"/>
  <c r="I26" i="3"/>
  <c r="U26" i="3" s="1"/>
  <c r="E27" i="3"/>
  <c r="H27" i="3" s="1"/>
  <c r="J27" i="3" s="1"/>
  <c r="E29" i="3"/>
  <c r="H29" i="3" s="1"/>
  <c r="J29" i="3" s="1"/>
  <c r="E31" i="3"/>
  <c r="H31" i="3" s="1"/>
  <c r="J31" i="3" s="1"/>
  <c r="J19" i="3" l="1"/>
  <c r="X30" i="3"/>
  <c r="X26" i="3"/>
  <c r="X24" i="3"/>
  <c r="X20" i="3"/>
  <c r="D19" i="4" s="1"/>
  <c r="X12" i="3"/>
  <c r="D11" i="4" s="1"/>
  <c r="X22" i="3"/>
  <c r="J10" i="3"/>
  <c r="J26" i="3"/>
  <c r="J24" i="3"/>
  <c r="J9" i="3"/>
  <c r="J22" i="3"/>
  <c r="J30" i="3"/>
  <c r="J12" i="3"/>
  <c r="J20" i="3"/>
  <c r="U10" i="3"/>
  <c r="R10" i="3"/>
  <c r="U9" i="3"/>
  <c r="T18" i="3"/>
  <c r="U29" i="3"/>
  <c r="T10" i="3"/>
  <c r="T32" i="3"/>
  <c r="T17" i="3"/>
  <c r="T15" i="3"/>
  <c r="T23" i="3"/>
  <c r="U27" i="3"/>
  <c r="U21" i="3"/>
  <c r="T25" i="3"/>
  <c r="T31" i="3"/>
  <c r="T29" i="3"/>
  <c r="T27" i="3"/>
  <c r="U31" i="3"/>
  <c r="U25" i="3"/>
  <c r="T19" i="3"/>
  <c r="U23" i="3"/>
  <c r="T13" i="3"/>
  <c r="T11" i="3"/>
  <c r="T21" i="3"/>
  <c r="U18" i="3"/>
  <c r="T16" i="3"/>
  <c r="T14" i="3"/>
  <c r="T28" i="3"/>
  <c r="X28" i="3" s="1"/>
  <c r="U17" i="3"/>
  <c r="U13" i="3"/>
  <c r="G19" i="4" l="1"/>
  <c r="C19" i="4"/>
  <c r="C11" i="4"/>
  <c r="G11" i="4"/>
  <c r="X14" i="3"/>
  <c r="X11" i="3"/>
  <c r="Z11" i="3" s="1"/>
  <c r="X19" i="3"/>
  <c r="F18" i="4" s="1"/>
  <c r="X9" i="3"/>
  <c r="Z9" i="3" s="1"/>
  <c r="X15" i="3"/>
  <c r="F14" i="4" s="1"/>
  <c r="F11" i="4"/>
  <c r="F19" i="4"/>
  <c r="Z24" i="3"/>
  <c r="D23" i="4"/>
  <c r="AD24" i="3" s="1"/>
  <c r="Z22" i="3"/>
  <c r="D21" i="4"/>
  <c r="AD22" i="3" s="1"/>
  <c r="Z26" i="3"/>
  <c r="D25" i="4"/>
  <c r="AD26" i="3" s="1"/>
  <c r="Z28" i="3"/>
  <c r="D27" i="4"/>
  <c r="AD28" i="3" s="1"/>
  <c r="Z30" i="3"/>
  <c r="D29" i="4"/>
  <c r="AD30" i="3" s="1"/>
  <c r="Z20" i="3"/>
  <c r="AD20" i="3"/>
  <c r="Z12" i="3"/>
  <c r="AD12" i="3"/>
  <c r="X10" i="3"/>
  <c r="D9" i="4" s="1"/>
  <c r="X17" i="3"/>
  <c r="X29" i="3"/>
  <c r="X27" i="3"/>
  <c r="X13" i="3"/>
  <c r="F12" i="4" s="1"/>
  <c r="X25" i="3"/>
  <c r="X23" i="3"/>
  <c r="X21" i="3"/>
  <c r="G20" i="4" s="1"/>
  <c r="X18" i="3"/>
  <c r="F17" i="4" s="1"/>
  <c r="X31" i="3"/>
  <c r="X16" i="3"/>
  <c r="X32" i="3"/>
  <c r="F31" i="4" s="1"/>
  <c r="G21" i="4"/>
  <c r="G23" i="4"/>
  <c r="C23" i="4"/>
  <c r="F23" i="4"/>
  <c r="F21" i="4"/>
  <c r="C21" i="4"/>
  <c r="C25" i="4"/>
  <c r="C27" i="4"/>
  <c r="C29" i="4"/>
  <c r="G25" i="4"/>
  <c r="G29" i="4"/>
  <c r="F27" i="4"/>
  <c r="F29" i="4"/>
  <c r="G27" i="4"/>
  <c r="F25" i="4"/>
  <c r="AE26" i="3" l="1"/>
  <c r="I29" i="4"/>
  <c r="AH30" i="3" s="1"/>
  <c r="Y30" i="3" s="1"/>
  <c r="I11" i="4"/>
  <c r="AH12" i="3" s="1"/>
  <c r="Y12" i="3" s="1"/>
  <c r="I27" i="4"/>
  <c r="AH28" i="3" s="1"/>
  <c r="Y28" i="3" s="1"/>
  <c r="I25" i="4"/>
  <c r="AH26" i="3" s="1"/>
  <c r="Y26" i="3" s="1"/>
  <c r="I23" i="4"/>
  <c r="AE20" i="3"/>
  <c r="AE30" i="3"/>
  <c r="AE22" i="3"/>
  <c r="AE12" i="3"/>
  <c r="AE28" i="3"/>
  <c r="AE24" i="3"/>
  <c r="AE32" i="3"/>
  <c r="F10" i="4"/>
  <c r="AC30" i="3"/>
  <c r="H29" i="4"/>
  <c r="E29" i="4"/>
  <c r="AC28" i="3"/>
  <c r="H27" i="4"/>
  <c r="E27" i="4"/>
  <c r="E11" i="4"/>
  <c r="H11" i="4"/>
  <c r="AC26" i="3"/>
  <c r="H25" i="4"/>
  <c r="E25" i="4"/>
  <c r="AC24" i="3"/>
  <c r="H23" i="4"/>
  <c r="E23" i="4"/>
  <c r="E19" i="4"/>
  <c r="H19" i="4"/>
  <c r="H21" i="4"/>
  <c r="I21" i="4"/>
  <c r="AC20" i="3"/>
  <c r="I19" i="4"/>
  <c r="AH20" i="3" s="1"/>
  <c r="Y20" i="3" s="1"/>
  <c r="AC12" i="3"/>
  <c r="Z15" i="3"/>
  <c r="G9" i="4"/>
  <c r="Z19" i="3"/>
  <c r="F9" i="4"/>
  <c r="AC22" i="3"/>
  <c r="E21" i="4"/>
  <c r="D15" i="4"/>
  <c r="AD16" i="3" s="1"/>
  <c r="C15" i="4"/>
  <c r="G15" i="4"/>
  <c r="C8" i="4"/>
  <c r="D8" i="4"/>
  <c r="AD9" i="3" s="1"/>
  <c r="F8" i="4"/>
  <c r="D13" i="4"/>
  <c r="AD14" i="3" s="1"/>
  <c r="C13" i="4"/>
  <c r="G13" i="4"/>
  <c r="D16" i="4"/>
  <c r="AD17" i="3" s="1"/>
  <c r="C16" i="4"/>
  <c r="F15" i="4"/>
  <c r="AE16" i="3" s="1"/>
  <c r="D17" i="4"/>
  <c r="AD18" i="3" s="1"/>
  <c r="C17" i="4"/>
  <c r="D12" i="4"/>
  <c r="AD13" i="3" s="1"/>
  <c r="C12" i="4"/>
  <c r="Z14" i="3"/>
  <c r="G12" i="4"/>
  <c r="D18" i="4"/>
  <c r="AD19" i="3" s="1"/>
  <c r="C18" i="4"/>
  <c r="G18" i="4"/>
  <c r="G17" i="4"/>
  <c r="D10" i="4"/>
  <c r="AD11" i="3" s="1"/>
  <c r="G10" i="4"/>
  <c r="C10" i="4"/>
  <c r="F16" i="4"/>
  <c r="D20" i="4"/>
  <c r="AD21" i="3" s="1"/>
  <c r="C20" i="4"/>
  <c r="D14" i="4"/>
  <c r="AD15" i="3" s="1"/>
  <c r="C14" i="4"/>
  <c r="G14" i="4"/>
  <c r="G8" i="4"/>
  <c r="F20" i="4"/>
  <c r="C9" i="4"/>
  <c r="F13" i="4"/>
  <c r="G16" i="4"/>
  <c r="Z32" i="3"/>
  <c r="D31" i="4"/>
  <c r="AD32" i="3" s="1"/>
  <c r="Z21" i="3"/>
  <c r="Z27" i="3"/>
  <c r="D26" i="4"/>
  <c r="AD27" i="3" s="1"/>
  <c r="Z23" i="3"/>
  <c r="D22" i="4"/>
  <c r="AD23" i="3" s="1"/>
  <c r="Z29" i="3"/>
  <c r="D28" i="4"/>
  <c r="Z31" i="3"/>
  <c r="D30" i="4"/>
  <c r="AD31" i="3" s="1"/>
  <c r="Z25" i="3"/>
  <c r="D24" i="4"/>
  <c r="AD25" i="3" s="1"/>
  <c r="Z18" i="3"/>
  <c r="Z17" i="3"/>
  <c r="Z16" i="3"/>
  <c r="Z13" i="3"/>
  <c r="Z10" i="3"/>
  <c r="AD10" i="3"/>
  <c r="G31" i="4"/>
  <c r="C31" i="4"/>
  <c r="AF22" i="3"/>
  <c r="AF20" i="3"/>
  <c r="AF24" i="3"/>
  <c r="AE15" i="3"/>
  <c r="F28" i="4"/>
  <c r="N4" i="4" s="1"/>
  <c r="M6" i="9" s="1"/>
  <c r="G26" i="4"/>
  <c r="G28" i="4"/>
  <c r="O4" i="4" s="1"/>
  <c r="L6" i="9" s="1"/>
  <c r="C28" i="4"/>
  <c r="L4" i="4" s="1"/>
  <c r="G30" i="4"/>
  <c r="F24" i="4"/>
  <c r="F30" i="4"/>
  <c r="AE13" i="3"/>
  <c r="G24" i="4"/>
  <c r="C24" i="4"/>
  <c r="C30" i="4"/>
  <c r="AE18" i="3"/>
  <c r="AF12" i="3"/>
  <c r="AF30" i="3"/>
  <c r="AF28" i="3"/>
  <c r="AF26" i="3"/>
  <c r="C22" i="4"/>
  <c r="G22" i="4"/>
  <c r="C26" i="4"/>
  <c r="F26" i="4"/>
  <c r="F22" i="4"/>
  <c r="AE19" i="3"/>
  <c r="K5" i="9" l="1"/>
  <c r="I5" i="9" s="1"/>
  <c r="J5" i="9" s="1"/>
  <c r="AD29" i="3"/>
  <c r="M4" i="4"/>
  <c r="AG12" i="3"/>
  <c r="AG26" i="3"/>
  <c r="AE27" i="3"/>
  <c r="I24" i="4"/>
  <c r="I30" i="4"/>
  <c r="AE29" i="3"/>
  <c r="AE17" i="3"/>
  <c r="I17" i="4"/>
  <c r="AE9" i="3"/>
  <c r="AE10" i="3"/>
  <c r="AE21" i="3"/>
  <c r="I13" i="4"/>
  <c r="AE11" i="3"/>
  <c r="AE31" i="3"/>
  <c r="I28" i="4"/>
  <c r="AH29" i="3" s="1"/>
  <c r="Y29" i="3" s="1"/>
  <c r="I16" i="4"/>
  <c r="I10" i="4"/>
  <c r="I9" i="4"/>
  <c r="AE23" i="3"/>
  <c r="AE25" i="3"/>
  <c r="I26" i="4"/>
  <c r="AE14" i="3"/>
  <c r="I15" i="4"/>
  <c r="AH16" i="3" s="1"/>
  <c r="Y16" i="3" s="1"/>
  <c r="AG30" i="3"/>
  <c r="I12" i="4"/>
  <c r="AH13" i="3" s="1"/>
  <c r="Y13" i="3" s="1"/>
  <c r="I18" i="4"/>
  <c r="H10" i="4"/>
  <c r="I22" i="4"/>
  <c r="AC29" i="3"/>
  <c r="H28" i="4"/>
  <c r="E28" i="4"/>
  <c r="H22" i="4"/>
  <c r="AC31" i="3"/>
  <c r="H30" i="4"/>
  <c r="E30" i="4"/>
  <c r="AG24" i="3"/>
  <c r="AC21" i="3"/>
  <c r="H20" i="4"/>
  <c r="H18" i="4"/>
  <c r="AC13" i="3"/>
  <c r="H12" i="4"/>
  <c r="AC14" i="3"/>
  <c r="H13" i="4"/>
  <c r="AC9" i="3"/>
  <c r="H8" i="4"/>
  <c r="AC19" i="3"/>
  <c r="AC25" i="3"/>
  <c r="H24" i="4"/>
  <c r="E24" i="4"/>
  <c r="H16" i="4"/>
  <c r="AC27" i="3"/>
  <c r="H26" i="4"/>
  <c r="E26" i="4"/>
  <c r="AG28" i="3"/>
  <c r="AC32" i="3"/>
  <c r="H31" i="4"/>
  <c r="E31" i="4"/>
  <c r="E9" i="4"/>
  <c r="H9" i="4"/>
  <c r="H14" i="4"/>
  <c r="H17" i="4"/>
  <c r="H15" i="4"/>
  <c r="I8" i="4"/>
  <c r="AG20" i="3"/>
  <c r="I14" i="4"/>
  <c r="AH15" i="3" s="1"/>
  <c r="Y15" i="3" s="1"/>
  <c r="I20" i="4"/>
  <c r="AH21" i="3" s="1"/>
  <c r="Y21" i="3" s="1"/>
  <c r="AC23" i="3"/>
  <c r="E22" i="4"/>
  <c r="E16" i="4"/>
  <c r="E14" i="4"/>
  <c r="E17" i="4"/>
  <c r="E15" i="4"/>
  <c r="AC18" i="3"/>
  <c r="AC10" i="3"/>
  <c r="AC15" i="3"/>
  <c r="AC16" i="3"/>
  <c r="E10" i="4"/>
  <c r="AC11" i="3"/>
  <c r="AC17" i="3"/>
  <c r="AG22" i="3"/>
  <c r="E20" i="4"/>
  <c r="E18" i="4"/>
  <c r="E12" i="4"/>
  <c r="E13" i="4"/>
  <c r="E8" i="4"/>
  <c r="AF32" i="3"/>
  <c r="I31" i="4"/>
  <c r="AH32" i="3" s="1"/>
  <c r="Y32" i="3" s="1"/>
  <c r="AF16" i="3"/>
  <c r="AF23" i="3"/>
  <c r="AF29" i="3"/>
  <c r="AF27" i="3"/>
  <c r="AF11" i="3"/>
  <c r="AF31" i="3"/>
  <c r="AF25" i="3"/>
  <c r="AF15" i="3"/>
  <c r="AH24" i="3"/>
  <c r="Y24" i="3" s="1"/>
  <c r="AF21" i="3"/>
  <c r="AF17" i="3"/>
  <c r="AF13" i="3"/>
  <c r="AF10" i="3"/>
  <c r="AF14" i="3"/>
  <c r="AF18" i="3"/>
  <c r="AF9" i="3"/>
  <c r="AF19" i="3"/>
  <c r="AH22" i="3"/>
  <c r="Y22" i="3" s="1"/>
  <c r="AG31" i="3" l="1"/>
  <c r="AG29" i="3"/>
  <c r="AG32" i="3"/>
  <c r="AG21" i="3"/>
  <c r="AG19" i="3"/>
  <c r="AG9" i="3"/>
  <c r="AG13" i="3"/>
  <c r="AG15" i="3"/>
  <c r="AG27" i="3"/>
  <c r="AG14" i="3"/>
  <c r="AG25" i="3"/>
  <c r="AG23" i="3"/>
  <c r="AG10" i="3"/>
  <c r="AG11" i="3"/>
  <c r="AG18" i="3"/>
  <c r="AG16" i="3"/>
  <c r="AG17" i="3"/>
  <c r="AH9" i="3"/>
  <c r="Y9" i="3" s="1"/>
  <c r="AH31" i="3"/>
  <c r="Y31" i="3" s="1"/>
  <c r="AH25" i="3"/>
  <c r="Y25" i="3" s="1"/>
  <c r="AH27" i="3"/>
  <c r="Y27" i="3" s="1"/>
  <c r="AH11" i="3"/>
  <c r="Y11" i="3" s="1"/>
  <c r="AH14" i="3"/>
  <c r="Y14" i="3" s="1"/>
  <c r="AH17" i="3"/>
  <c r="Y17" i="3" s="1"/>
  <c r="AH19" i="3"/>
  <c r="Y19" i="3" s="1"/>
  <c r="AH10" i="3"/>
  <c r="Y10" i="3" s="1"/>
  <c r="AH23" i="3"/>
  <c r="Y23" i="3" s="1"/>
  <c r="AH18" i="3"/>
  <c r="Y18" i="3" s="1"/>
</calcChain>
</file>

<file path=xl/sharedStrings.xml><?xml version="1.0" encoding="utf-8"?>
<sst xmlns="http://schemas.openxmlformats.org/spreadsheetml/2006/main" count="119" uniqueCount="67">
  <si>
    <t>Massa dos recipientes mais partículas (g)</t>
  </si>
  <si>
    <t>Massa das partículas (g)</t>
  </si>
  <si>
    <t>A</t>
  </si>
  <si>
    <t>C</t>
  </si>
  <si>
    <t>D</t>
  </si>
  <si>
    <t>Proporções das partículas (g/kg)</t>
  </si>
  <si>
    <t>Proporções corrigidas (%)</t>
  </si>
  <si>
    <t>g/kg</t>
  </si>
  <si>
    <t>A. Grossa</t>
  </si>
  <si>
    <t>Silte + Argila</t>
  </si>
  <si>
    <t>Argila</t>
  </si>
  <si>
    <t>TFSA (g)</t>
  </si>
  <si>
    <t>TFSA</t>
  </si>
  <si>
    <t>TFSE</t>
  </si>
  <si>
    <t>Umidade</t>
  </si>
  <si>
    <t>Silte</t>
  </si>
  <si>
    <t>Total</t>
  </si>
  <si>
    <t>Massa dos Recipientes (g)</t>
  </si>
  <si>
    <t>Classificação</t>
  </si>
  <si>
    <t>ID Amostra</t>
  </si>
  <si>
    <t>Correções (diluição)</t>
  </si>
  <si>
    <t>Total recurepado (g)</t>
  </si>
  <si>
    <t>Atenção Usuário!</t>
  </si>
  <si>
    <t>Como utilizar esta planilha</t>
  </si>
  <si>
    <t>M. Lata</t>
  </si>
  <si>
    <t>M. Lata + Su</t>
  </si>
  <si>
    <t>M. Lata + Ss</t>
  </si>
  <si>
    <t>Calssificação</t>
  </si>
  <si>
    <t>Dados</t>
  </si>
  <si>
    <t>Fafor f</t>
  </si>
  <si>
    <t>Tomada de Decisão</t>
  </si>
  <si>
    <t>Massas para o fator f</t>
  </si>
  <si>
    <t>Areia</t>
  </si>
  <si>
    <t>Proporções Corrigidas</t>
  </si>
  <si>
    <t>A. Fina</t>
  </si>
  <si>
    <t>B</t>
  </si>
  <si>
    <t>Areia Total</t>
  </si>
  <si>
    <t>Precisão (%)</t>
  </si>
  <si>
    <r>
      <rPr>
        <b/>
        <sz val="12"/>
        <color indexed="8"/>
        <rFont val="Bell MT"/>
        <family val="1"/>
      </rPr>
      <t>1-</t>
    </r>
    <r>
      <rPr>
        <sz val="12"/>
        <color indexed="8"/>
        <rFont val="Bell MT"/>
        <family val="1"/>
      </rPr>
      <t xml:space="preserve"> A planilha está dividida em seções que auxiliam na organização e avaliação da qualidade das determinações</t>
    </r>
  </si>
  <si>
    <r>
      <rPr>
        <b/>
        <sz val="11"/>
        <color indexed="8"/>
        <rFont val="Bell MT"/>
        <family val="1"/>
      </rPr>
      <t>3 -</t>
    </r>
    <r>
      <rPr>
        <sz val="11"/>
        <color indexed="8"/>
        <rFont val="Bell MT"/>
        <family val="1"/>
      </rPr>
      <t xml:space="preserve"> Nesta mesma seção, o item </t>
    </r>
    <r>
      <rPr>
        <b/>
        <sz val="11"/>
        <color indexed="8"/>
        <rFont val="Bell MT"/>
        <family val="1"/>
      </rPr>
      <t xml:space="preserve">"ID Amostra" </t>
    </r>
    <r>
      <rPr>
        <sz val="11"/>
        <color indexed="8"/>
        <rFont val="Bell MT"/>
        <family val="1"/>
      </rPr>
      <t>serve para que você faça sua própria identificação das suas amostras</t>
    </r>
    <r>
      <rPr>
        <b/>
        <sz val="11"/>
        <color indexed="8"/>
        <rFont val="Bell MT"/>
        <family val="1"/>
      </rPr>
      <t>. Preencha primeira coluna e a identificação se repetirá por toda a planilha</t>
    </r>
  </si>
  <si>
    <r>
      <rPr>
        <b/>
        <sz val="11"/>
        <color indexed="8"/>
        <rFont val="Bell MT"/>
        <family val="1"/>
      </rPr>
      <t xml:space="preserve">4 - </t>
    </r>
    <r>
      <rPr>
        <sz val="11"/>
        <color indexed="8"/>
        <rFont val="Bell MT"/>
        <family val="1"/>
      </rPr>
      <t xml:space="preserve">Ainda na seção </t>
    </r>
    <r>
      <rPr>
        <b/>
        <sz val="11"/>
        <color indexed="8"/>
        <rFont val="Bell MT"/>
        <family val="1"/>
      </rPr>
      <t>"Entrada de dados"</t>
    </r>
    <r>
      <rPr>
        <sz val="11"/>
        <color indexed="8"/>
        <rFont val="Bell MT"/>
        <family val="1"/>
      </rPr>
      <t xml:space="preserve"> deve ser preenchido o item </t>
    </r>
    <r>
      <rPr>
        <b/>
        <sz val="11"/>
        <color indexed="8"/>
        <rFont val="Bell MT"/>
        <family val="1"/>
      </rPr>
      <t>"TFSA (g)"</t>
    </r>
    <r>
      <rPr>
        <sz val="11"/>
        <color indexed="8"/>
        <rFont val="Bell MT"/>
        <family val="1"/>
      </rPr>
      <t xml:space="preserve"> inserindo a massa da amostra de solo que foi introduzida nas garrafas</t>
    </r>
  </si>
  <si>
    <r>
      <t xml:space="preserve">6 - </t>
    </r>
    <r>
      <rPr>
        <sz val="11"/>
        <color indexed="8"/>
        <rFont val="Bell MT"/>
        <family val="1"/>
      </rPr>
      <t>Também haverá um alertar em amarelo quando a classificação textural do solo apresentar as texturas siltosa ou arenosa. Neste caso o usuário deve conferir a classificação via triangulo textural</t>
    </r>
  </si>
  <si>
    <t>Amostra Nº</t>
  </si>
  <si>
    <t xml:space="preserve">Amostra Nº </t>
  </si>
  <si>
    <r>
      <rPr>
        <b/>
        <sz val="11"/>
        <color indexed="8"/>
        <rFont val="Bell MT"/>
        <family val="1"/>
      </rPr>
      <t xml:space="preserve">7 - </t>
    </r>
    <r>
      <rPr>
        <sz val="11"/>
        <color indexed="8"/>
        <rFont val="Bell MT"/>
        <family val="1"/>
      </rPr>
      <t xml:space="preserve">A ultima seção, </t>
    </r>
    <r>
      <rPr>
        <b/>
        <sz val="11"/>
        <color indexed="8"/>
        <rFont val="Bell MT"/>
        <family val="1"/>
      </rPr>
      <t>"Classificação Textural"</t>
    </r>
    <r>
      <rPr>
        <sz val="11"/>
        <color indexed="8"/>
        <rFont val="Bell MT"/>
        <family val="1"/>
      </rPr>
      <t>, apresentará o resultado final das proporções em percentagem, juntamente com a classificação textural segundo o triângulo textural da Embrapa</t>
    </r>
  </si>
  <si>
    <r>
      <rPr>
        <b/>
        <sz val="11"/>
        <color indexed="8"/>
        <rFont val="Bell MT"/>
        <family val="1"/>
      </rPr>
      <t>2 -</t>
    </r>
    <r>
      <rPr>
        <sz val="11"/>
        <color indexed="8"/>
        <rFont val="Bell MT"/>
        <family val="1"/>
      </rPr>
      <t xml:space="preserve"> Utilize a seção </t>
    </r>
    <r>
      <rPr>
        <b/>
        <sz val="11"/>
        <color indexed="8"/>
        <rFont val="Bell MT"/>
        <family val="1"/>
      </rPr>
      <t>"Entrada de dados "</t>
    </r>
    <r>
      <rPr>
        <sz val="11"/>
        <color indexed="8"/>
        <rFont val="Bell MT"/>
        <family val="1"/>
      </rPr>
      <t xml:space="preserve"> para inserir dados de</t>
    </r>
    <r>
      <rPr>
        <b/>
        <sz val="11"/>
        <color indexed="8"/>
        <rFont val="Bell MT"/>
        <family val="1"/>
      </rPr>
      <t xml:space="preserve"> "massa dos recipientes"</t>
    </r>
    <r>
      <rPr>
        <sz val="11"/>
        <color indexed="8"/>
        <rFont val="Bell MT"/>
        <family val="1"/>
      </rPr>
      <t xml:space="preserve">, </t>
    </r>
    <r>
      <rPr>
        <b/>
        <sz val="11"/>
        <color indexed="8"/>
        <rFont val="Bell MT"/>
        <family val="1"/>
      </rPr>
      <t>"massa dos recipientes + partículas"</t>
    </r>
    <r>
      <rPr>
        <sz val="11"/>
        <color indexed="8"/>
        <rFont val="Bell MT"/>
        <family val="1"/>
      </rPr>
      <t xml:space="preserve">, e os demais dados para o </t>
    </r>
    <r>
      <rPr>
        <b/>
        <sz val="11"/>
        <color indexed="8"/>
        <rFont val="Bell MT"/>
        <family val="1"/>
      </rPr>
      <t>fator f</t>
    </r>
  </si>
  <si>
    <t>AMOSTRA Nº</t>
  </si>
  <si>
    <t>Diagonal</t>
  </si>
  <si>
    <t>Base</t>
  </si>
  <si>
    <t>Vertices</t>
  </si>
  <si>
    <t>Medidas do Triangulo</t>
  </si>
  <si>
    <t>Altura</t>
  </si>
  <si>
    <t>Coordenadas do Ponto</t>
  </si>
  <si>
    <t>---------- % ---------</t>
  </si>
  <si>
    <r>
      <rPr>
        <b/>
        <sz val="11"/>
        <color indexed="8"/>
        <rFont val="Bell MT"/>
        <family val="1"/>
      </rPr>
      <t>1 -</t>
    </r>
    <r>
      <rPr>
        <sz val="11"/>
        <color indexed="8"/>
        <rFont val="Bell MT"/>
        <family val="1"/>
      </rPr>
      <t xml:space="preserve"> Para o adequado uso desta planilha siga o protocolo de determinação, que pode ser acessado na aba </t>
    </r>
    <r>
      <rPr>
        <b/>
        <sz val="11"/>
        <color indexed="8"/>
        <rFont val="Bell MT"/>
        <family val="1"/>
      </rPr>
      <t>"Protocolo"</t>
    </r>
    <r>
      <rPr>
        <sz val="11"/>
        <color indexed="8"/>
        <rFont val="Bell MT"/>
        <family val="1"/>
      </rPr>
      <t>. As fórmulas da planilha foram criadas com base nos detalhes deste protocolo</t>
    </r>
  </si>
  <si>
    <r>
      <rPr>
        <b/>
        <sz val="11"/>
        <color indexed="8"/>
        <rFont val="Bell MT"/>
        <family val="1"/>
      </rPr>
      <t>5 -</t>
    </r>
    <r>
      <rPr>
        <sz val="11"/>
        <color indexed="8"/>
        <rFont val="Bell MT"/>
        <family val="1"/>
      </rPr>
      <t xml:space="preserve"> A seção </t>
    </r>
    <r>
      <rPr>
        <b/>
        <sz val="11"/>
        <color indexed="8"/>
        <rFont val="Bell MT"/>
        <family val="1"/>
      </rPr>
      <t xml:space="preserve">"Qualidade dos Dados" </t>
    </r>
    <r>
      <rPr>
        <sz val="11"/>
        <color indexed="8"/>
        <rFont val="Bell MT"/>
        <family val="1"/>
      </rPr>
      <t xml:space="preserve">serve para que seja efetuada uma análise crítica dos dados. Nesta mesma seção, </t>
    </r>
    <r>
      <rPr>
        <b/>
        <sz val="11"/>
        <color indexed="8"/>
        <rFont val="Bell MT"/>
        <family val="1"/>
      </rPr>
      <t>quando os dados aprensentarem inconsistência, celulas ficarão marcadas em 
amarelo indicando onde está o problema a ser resolvido.</t>
    </r>
  </si>
  <si>
    <t>Lado 1</t>
  </si>
  <si>
    <t>Lado 3</t>
  </si>
  <si>
    <t>Lado 2</t>
  </si>
  <si>
    <t>Vert. Percent</t>
  </si>
  <si>
    <t>nº</t>
  </si>
  <si>
    <r>
      <rPr>
        <b/>
        <sz val="12"/>
        <color indexed="8"/>
        <rFont val="Bell MT"/>
        <family val="1"/>
      </rPr>
      <t>2-</t>
    </r>
    <r>
      <rPr>
        <sz val="12"/>
        <color indexed="8"/>
        <rFont val="Bell MT"/>
        <family val="1"/>
      </rPr>
      <t xml:space="preserve"> Fique atento à classificação textural do solo quando a planilha apresentar as texturas siltosa ou arenosa. Use o triangulo textural na aba "</t>
    </r>
    <r>
      <rPr>
        <b/>
        <sz val="12"/>
        <color indexed="8"/>
        <rFont val="Bell MT"/>
        <family val="1"/>
      </rPr>
      <t>Classificação Textural</t>
    </r>
    <r>
      <rPr>
        <sz val="12"/>
        <color indexed="8"/>
        <rFont val="Bell MT"/>
        <family val="1"/>
      </rPr>
      <t>" para conferir diretamente estas classificações</t>
    </r>
  </si>
  <si>
    <t>Danilo Andrade</t>
  </si>
  <si>
    <t>Construido por:</t>
  </si>
  <si>
    <t>Contato</t>
  </si>
  <si>
    <t>danilo_as@live.com</t>
  </si>
  <si>
    <t>+55 (28) 9 9962 9299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</si>
</sst>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[$-416]General"/>
    <numFmt numFmtId="168" formatCode="[$R$-416]&quot; &quot;#,##0.00;[Red]&quot;-&quot;[$R$-416]&quot; &quot;#,##0.00"/>
  </numFmts>
  <fonts count="3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8"/>
      <color rgb="FF003366"/>
      <name val="Calibri"/>
      <family val="2"/>
    </font>
    <font>
      <sz val="48"/>
      <color indexed="8"/>
      <name val="Bell MT"/>
      <family val="1"/>
    </font>
    <font>
      <sz val="12"/>
      <color indexed="8"/>
      <name val="Bell MT"/>
      <family val="1"/>
    </font>
    <font>
      <b/>
      <sz val="12"/>
      <color indexed="8"/>
      <name val="Bell MT"/>
      <family val="1"/>
    </font>
    <font>
      <sz val="11"/>
      <color indexed="8"/>
      <name val="Bell MT"/>
      <family val="1"/>
    </font>
    <font>
      <b/>
      <sz val="11"/>
      <color indexed="8"/>
      <name val="Bell MT"/>
      <family val="1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3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13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49"/>
      </patternFill>
    </fill>
    <fill>
      <patternFill patternType="solid">
        <fgColor theme="0" tint="-4.9989318521683403E-2"/>
        <bgColor indexed="49"/>
      </patternFill>
    </fill>
    <fill>
      <patternFill patternType="solid">
        <fgColor theme="0"/>
        <bgColor indexed="49"/>
      </patternFill>
    </fill>
    <fill>
      <patternFill patternType="solid">
        <fgColor theme="2"/>
        <bgColor indexed="23"/>
      </patternFill>
    </fill>
    <fill>
      <patternFill patternType="solid">
        <fgColor theme="3" tint="0.79998168889431442"/>
        <bgColor indexed="23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4" tint="0.59999389629810485"/>
        <bgColor indexed="23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2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49"/>
      </patternFill>
    </fill>
    <fill>
      <patternFill patternType="solid">
        <fgColor theme="2" tint="-9.9978637043366805E-2"/>
        <bgColor indexed="2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18" borderId="0" applyNumberFormat="0" applyBorder="0" applyAlignment="0" applyProtection="0"/>
    <xf numFmtId="0" fontId="18" fillId="19" borderId="4" applyNumberForma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3" borderId="0" applyNumberFormat="0" applyBorder="0" applyAlignment="0" applyProtection="0"/>
    <xf numFmtId="0" fontId="1" fillId="0" borderId="0"/>
    <xf numFmtId="167" fontId="19" fillId="0" borderId="0"/>
    <xf numFmtId="167" fontId="20" fillId="0" borderId="0">
      <alignment horizontal="center"/>
    </xf>
    <xf numFmtId="167" fontId="20" fillId="0" borderId="0">
      <alignment horizontal="center" textRotation="90"/>
    </xf>
    <xf numFmtId="167" fontId="21" fillId="0" borderId="0"/>
    <xf numFmtId="168" fontId="21" fillId="0" borderId="0"/>
    <xf numFmtId="167" fontId="22" fillId="0" borderId="0"/>
    <xf numFmtId="0" fontId="28" fillId="0" borderId="0"/>
    <xf numFmtId="0" fontId="30" fillId="0" borderId="0"/>
    <xf numFmtId="9" fontId="18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25" borderId="0" xfId="0" applyFont="1" applyFill="1" applyAlignment="1">
      <alignment horizontal="center"/>
    </xf>
    <xf numFmtId="0" fontId="13" fillId="26" borderId="0" xfId="0" applyFont="1" applyFill="1" applyAlignment="1">
      <alignment horizontal="center"/>
    </xf>
    <xf numFmtId="0" fontId="0" fillId="0" borderId="0" xfId="0" applyFill="1"/>
    <xf numFmtId="2" fontId="0" fillId="30" borderId="15" xfId="0" applyNumberFormat="1" applyFill="1" applyBorder="1" applyAlignment="1">
      <alignment horizontal="center"/>
    </xf>
    <xf numFmtId="164" fontId="0" fillId="0" borderId="0" xfId="0" applyNumberFormat="1"/>
    <xf numFmtId="2" fontId="0" fillId="30" borderId="12" xfId="0" applyNumberFormat="1" applyFill="1" applyBorder="1" applyAlignment="1">
      <alignment horizontal="center"/>
    </xf>
    <xf numFmtId="2" fontId="0" fillId="30" borderId="22" xfId="0" applyNumberFormat="1" applyFill="1" applyBorder="1" applyAlignment="1">
      <alignment horizontal="center"/>
    </xf>
    <xf numFmtId="0" fontId="0" fillId="0" borderId="0" xfId="0" applyBorder="1"/>
    <xf numFmtId="0" fontId="13" fillId="38" borderId="19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13" fillId="39" borderId="12" xfId="0" applyFont="1" applyFill="1" applyBorder="1" applyAlignment="1">
      <alignment horizontal="center"/>
    </xf>
    <xf numFmtId="0" fontId="13" fillId="42" borderId="19" xfId="0" applyFont="1" applyFill="1" applyBorder="1" applyAlignment="1">
      <alignment horizontal="center"/>
    </xf>
    <xf numFmtId="0" fontId="0" fillId="43" borderId="12" xfId="0" applyFill="1" applyBorder="1" applyAlignment="1">
      <alignment horizontal="center"/>
    </xf>
    <xf numFmtId="2" fontId="0" fillId="43" borderId="19" xfId="0" applyNumberFormat="1" applyFill="1" applyBorder="1" applyAlignment="1">
      <alignment horizontal="center"/>
    </xf>
    <xf numFmtId="2" fontId="0" fillId="44" borderId="15" xfId="0" applyNumberFormat="1" applyFill="1" applyBorder="1" applyAlignment="1">
      <alignment horizontal="center"/>
    </xf>
    <xf numFmtId="2" fontId="0" fillId="48" borderId="15" xfId="0" applyNumberFormat="1" applyFill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49" borderId="19" xfId="0" applyFill="1" applyBorder="1" applyAlignment="1">
      <alignment horizontal="center"/>
    </xf>
    <xf numFmtId="0" fontId="0" fillId="47" borderId="13" xfId="0" applyFill="1" applyBorder="1" applyAlignment="1">
      <alignment horizontal="center"/>
    </xf>
    <xf numFmtId="0" fontId="0" fillId="47" borderId="13" xfId="0" applyFont="1" applyFill="1" applyBorder="1" applyAlignment="1">
      <alignment horizontal="center"/>
    </xf>
    <xf numFmtId="0" fontId="0" fillId="47" borderId="19" xfId="0" applyFill="1" applyBorder="1" applyAlignment="1">
      <alignment horizontal="center"/>
    </xf>
    <xf numFmtId="0" fontId="0" fillId="47" borderId="17" xfId="0" applyFont="1" applyFill="1" applyBorder="1" applyAlignment="1">
      <alignment horizontal="center"/>
    </xf>
    <xf numFmtId="0" fontId="13" fillId="39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2" fontId="0" fillId="45" borderId="19" xfId="0" applyNumberFormat="1" applyFill="1" applyBorder="1" applyAlignment="1">
      <alignment horizontal="center"/>
    </xf>
    <xf numFmtId="0" fontId="0" fillId="43" borderId="12" xfId="0" applyFont="1" applyFill="1" applyBorder="1" applyAlignment="1">
      <alignment horizontal="center"/>
    </xf>
    <xf numFmtId="2" fontId="0" fillId="44" borderId="12" xfId="0" applyNumberFormat="1" applyFill="1" applyBorder="1" applyAlignment="1">
      <alignment horizontal="center"/>
    </xf>
    <xf numFmtId="0" fontId="0" fillId="43" borderId="16" xfId="0" applyFont="1" applyFill="1" applyBorder="1" applyAlignment="1">
      <alignment horizontal="center"/>
    </xf>
    <xf numFmtId="0" fontId="13" fillId="42" borderId="15" xfId="0" applyFont="1" applyFill="1" applyBorder="1" applyAlignment="1">
      <alignment horizontal="center"/>
    </xf>
    <xf numFmtId="0" fontId="13" fillId="42" borderId="26" xfId="0" applyFont="1" applyFill="1" applyBorder="1" applyAlignment="1">
      <alignment horizontal="center"/>
    </xf>
    <xf numFmtId="0" fontId="13" fillId="38" borderId="24" xfId="0" applyFont="1" applyFill="1" applyBorder="1" applyAlignment="1">
      <alignment horizontal="center"/>
    </xf>
    <xf numFmtId="0" fontId="13" fillId="24" borderId="19" xfId="0" applyFont="1" applyFill="1" applyBorder="1" applyAlignment="1">
      <alignment horizontal="center"/>
    </xf>
    <xf numFmtId="0" fontId="13" fillId="38" borderId="25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43" borderId="13" xfId="0" applyFill="1" applyBorder="1" applyAlignment="1">
      <alignment horizontal="center"/>
    </xf>
    <xf numFmtId="0" fontId="0" fillId="43" borderId="13" xfId="0" applyFont="1" applyFill="1" applyBorder="1" applyAlignment="1">
      <alignment horizontal="center"/>
    </xf>
    <xf numFmtId="0" fontId="0" fillId="43" borderId="17" xfId="0" applyFont="1" applyFill="1" applyBorder="1" applyAlignment="1">
      <alignment horizontal="center"/>
    </xf>
    <xf numFmtId="2" fontId="0" fillId="33" borderId="19" xfId="0" applyNumberFormat="1" applyFont="1" applyFill="1" applyBorder="1" applyAlignment="1">
      <alignment horizontal="center"/>
    </xf>
    <xf numFmtId="2" fontId="0" fillId="43" borderId="19" xfId="0" applyNumberFormat="1" applyFon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13" fillId="42" borderId="33" xfId="0" applyFont="1" applyFill="1" applyBorder="1" applyAlignment="1">
      <alignment horizontal="center"/>
    </xf>
    <xf numFmtId="2" fontId="0" fillId="50" borderId="20" xfId="0" applyNumberFormat="1" applyFill="1" applyBorder="1" applyAlignment="1">
      <alignment horizontal="center"/>
    </xf>
    <xf numFmtId="2" fontId="0" fillId="29" borderId="13" xfId="0" applyNumberFormat="1" applyFill="1" applyBorder="1" applyAlignment="1">
      <alignment horizontal="center"/>
    </xf>
    <xf numFmtId="2" fontId="0" fillId="50" borderId="13" xfId="0" applyNumberFormat="1" applyFill="1" applyBorder="1" applyAlignment="1">
      <alignment horizontal="center"/>
    </xf>
    <xf numFmtId="1" fontId="0" fillId="46" borderId="26" xfId="0" applyNumberFormat="1" applyFill="1" applyBorder="1" applyAlignment="1">
      <alignment horizontal="center"/>
    </xf>
    <xf numFmtId="1" fontId="0" fillId="29" borderId="14" xfId="0" applyNumberFormat="1" applyFill="1" applyBorder="1" applyAlignment="1">
      <alignment horizontal="center"/>
    </xf>
    <xf numFmtId="1" fontId="0" fillId="46" borderId="14" xfId="0" applyNumberFormat="1" applyFill="1" applyBorder="1" applyAlignment="1">
      <alignment horizontal="center"/>
    </xf>
    <xf numFmtId="1" fontId="0" fillId="29" borderId="27" xfId="0" applyNumberFormat="1" applyFill="1" applyBorder="1" applyAlignment="1">
      <alignment horizontal="center"/>
    </xf>
    <xf numFmtId="166" fontId="0" fillId="48" borderId="10" xfId="0" applyNumberFormat="1" applyFill="1" applyBorder="1" applyAlignment="1">
      <alignment horizontal="center"/>
    </xf>
    <xf numFmtId="166" fontId="0" fillId="48" borderId="24" xfId="0" applyNumberFormat="1" applyFill="1" applyBorder="1" applyAlignment="1">
      <alignment horizontal="center"/>
    </xf>
    <xf numFmtId="166" fontId="0" fillId="31" borderId="11" xfId="0" applyNumberFormat="1" applyFill="1" applyBorder="1" applyAlignment="1">
      <alignment horizontal="center"/>
    </xf>
    <xf numFmtId="166" fontId="0" fillId="31" borderId="19" xfId="0" applyNumberFormat="1" applyFill="1" applyBorder="1" applyAlignment="1">
      <alignment horizontal="center"/>
    </xf>
    <xf numFmtId="166" fontId="0" fillId="48" borderId="11" xfId="0" applyNumberFormat="1" applyFill="1" applyBorder="1" applyAlignment="1">
      <alignment horizontal="center"/>
    </xf>
    <xf numFmtId="166" fontId="0" fillId="48" borderId="19" xfId="0" applyNumberFormat="1" applyFill="1" applyBorder="1" applyAlignment="1">
      <alignment horizontal="center"/>
    </xf>
    <xf numFmtId="0" fontId="13" fillId="45" borderId="19" xfId="0" applyFont="1" applyFill="1" applyBorder="1" applyAlignment="1">
      <alignment horizontal="center"/>
    </xf>
    <xf numFmtId="0" fontId="13" fillId="26" borderId="36" xfId="0" applyFont="1" applyFill="1" applyBorder="1" applyAlignment="1">
      <alignment horizontal="center"/>
    </xf>
    <xf numFmtId="165" fontId="0" fillId="52" borderId="12" xfId="0" applyNumberFormat="1" applyFill="1" applyBorder="1" applyAlignment="1" applyProtection="1">
      <alignment horizontal="center"/>
      <protection locked="0"/>
    </xf>
    <xf numFmtId="165" fontId="0" fillId="0" borderId="12" xfId="0" applyNumberFormat="1" applyFont="1" applyFill="1" applyBorder="1" applyAlignment="1" applyProtection="1">
      <alignment horizontal="center"/>
      <protection locked="0"/>
    </xf>
    <xf numFmtId="164" fontId="0" fillId="51" borderId="25" xfId="0" applyNumberFormat="1" applyFill="1" applyBorder="1" applyAlignment="1" applyProtection="1">
      <alignment horizontal="center"/>
      <protection locked="0"/>
    </xf>
    <xf numFmtId="164" fontId="0" fillId="33" borderId="25" xfId="0" applyNumberFormat="1" applyFill="1" applyBorder="1" applyAlignment="1" applyProtection="1">
      <alignment horizontal="center"/>
      <protection locked="0"/>
    </xf>
    <xf numFmtId="0" fontId="13" fillId="42" borderId="19" xfId="0" applyFont="1" applyFill="1" applyBorder="1" applyAlignment="1">
      <alignment horizontal="center"/>
    </xf>
    <xf numFmtId="0" fontId="13" fillId="45" borderId="19" xfId="0" applyFont="1" applyFill="1" applyBorder="1" applyAlignment="1">
      <alignment horizontal="center"/>
    </xf>
    <xf numFmtId="0" fontId="13" fillId="39" borderId="14" xfId="0" applyFont="1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0" borderId="14" xfId="0" applyFont="1" applyFill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166" fontId="0" fillId="47" borderId="38" xfId="0" applyNumberFormat="1" applyFill="1" applyBorder="1" applyAlignment="1">
      <alignment horizontal="center"/>
    </xf>
    <xf numFmtId="166" fontId="0" fillId="32" borderId="38" xfId="0" applyNumberFormat="1" applyFill="1" applyBorder="1" applyAlignment="1">
      <alignment horizontal="center"/>
    </xf>
    <xf numFmtId="166" fontId="0" fillId="37" borderId="38" xfId="0" applyNumberFormat="1" applyFill="1" applyBorder="1" applyAlignment="1">
      <alignment horizontal="center"/>
    </xf>
    <xf numFmtId="166" fontId="0" fillId="32" borderId="28" xfId="0" applyNumberFormat="1" applyFill="1" applyBorder="1" applyAlignment="1">
      <alignment horizontal="center"/>
    </xf>
    <xf numFmtId="0" fontId="13" fillId="39" borderId="39" xfId="0" applyFont="1" applyFill="1" applyBorder="1" applyAlignment="1">
      <alignment horizontal="center"/>
    </xf>
    <xf numFmtId="0" fontId="13" fillId="25" borderId="19" xfId="0" applyFont="1" applyFill="1" applyBorder="1" applyAlignment="1">
      <alignment horizontal="center"/>
    </xf>
    <xf numFmtId="0" fontId="13" fillId="26" borderId="19" xfId="0" applyFont="1" applyFill="1" applyBorder="1" applyAlignment="1">
      <alignment horizontal="center"/>
    </xf>
    <xf numFmtId="164" fontId="0" fillId="45" borderId="19" xfId="0" applyNumberFormat="1" applyFill="1" applyBorder="1" applyAlignment="1">
      <alignment horizontal="center"/>
    </xf>
    <xf numFmtId="164" fontId="0" fillId="27" borderId="19" xfId="0" applyNumberFormat="1" applyFill="1" applyBorder="1" applyAlignment="1">
      <alignment horizontal="center"/>
    </xf>
    <xf numFmtId="164" fontId="0" fillId="43" borderId="19" xfId="0" applyNumberFormat="1" applyFill="1" applyBorder="1" applyAlignment="1">
      <alignment horizontal="center"/>
    </xf>
    <xf numFmtId="164" fontId="0" fillId="28" borderId="19" xfId="0" applyNumberFormat="1" applyFill="1" applyBorder="1" applyAlignment="1">
      <alignment horizontal="center"/>
    </xf>
    <xf numFmtId="164" fontId="0" fillId="52" borderId="12" xfId="0" applyNumberFormat="1" applyFill="1" applyBorder="1" applyAlignment="1" applyProtection="1">
      <alignment horizontal="center"/>
      <protection locked="0"/>
    </xf>
    <xf numFmtId="164" fontId="0" fillId="0" borderId="12" xfId="0" applyNumberFormat="1" applyFont="1" applyFill="1" applyBorder="1" applyAlignment="1" applyProtection="1">
      <alignment horizontal="center"/>
      <protection locked="0"/>
    </xf>
    <xf numFmtId="166" fontId="0" fillId="47" borderId="19" xfId="0" applyNumberFormat="1" applyFill="1" applyBorder="1" applyAlignment="1">
      <alignment horizontal="center"/>
    </xf>
    <xf numFmtId="166" fontId="0" fillId="32" borderId="19" xfId="0" applyNumberFormat="1" applyFill="1" applyBorder="1" applyAlignment="1">
      <alignment horizontal="center"/>
    </xf>
    <xf numFmtId="166" fontId="0" fillId="37" borderId="19" xfId="0" applyNumberFormat="1" applyFill="1" applyBorder="1" applyAlignment="1">
      <alignment horizontal="center"/>
    </xf>
    <xf numFmtId="0" fontId="13" fillId="42" borderId="19" xfId="0" applyFont="1" applyFill="1" applyBorder="1" applyAlignment="1">
      <alignment horizontal="center"/>
    </xf>
    <xf numFmtId="0" fontId="13" fillId="45" borderId="19" xfId="0" applyFont="1" applyFill="1" applyBorder="1" applyAlignment="1">
      <alignment horizontal="center"/>
    </xf>
    <xf numFmtId="0" fontId="13" fillId="38" borderId="19" xfId="0" applyFont="1" applyFill="1" applyBorder="1" applyAlignment="1">
      <alignment horizontal="center"/>
    </xf>
    <xf numFmtId="0" fontId="26" fillId="54" borderId="0" xfId="0" applyFont="1" applyFill="1" applyBorder="1"/>
    <xf numFmtId="0" fontId="26" fillId="54" borderId="31" xfId="0" applyFont="1" applyFill="1" applyBorder="1"/>
    <xf numFmtId="0" fontId="26" fillId="54" borderId="0" xfId="0" applyFont="1" applyFill="1" applyBorder="1" applyAlignment="1">
      <alignment horizontal="left"/>
    </xf>
    <xf numFmtId="0" fontId="13" fillId="39" borderId="19" xfId="0" applyFont="1" applyFill="1" applyBorder="1" applyAlignment="1">
      <alignment horizontal="center"/>
    </xf>
    <xf numFmtId="0" fontId="0" fillId="40" borderId="19" xfId="0" applyFont="1" applyFill="1" applyBorder="1" applyAlignment="1">
      <alignment horizontal="center"/>
    </xf>
    <xf numFmtId="0" fontId="0" fillId="49" borderId="19" xfId="0" applyFill="1" applyBorder="1" applyAlignment="1" applyProtection="1">
      <alignment horizontal="center"/>
      <protection locked="0"/>
    </xf>
    <xf numFmtId="165" fontId="0" fillId="49" borderId="19" xfId="0" applyNumberFormat="1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165" fontId="0" fillId="0" borderId="19" xfId="0" applyNumberFormat="1" applyFill="1" applyBorder="1" applyAlignment="1" applyProtection="1">
      <alignment horizontal="center"/>
      <protection locked="0"/>
    </xf>
    <xf numFmtId="164" fontId="0" fillId="49" borderId="19" xfId="0" applyNumberFormat="1" applyFill="1" applyBorder="1" applyAlignment="1" applyProtection="1">
      <alignment horizontal="center"/>
      <protection locked="0"/>
    </xf>
    <xf numFmtId="164" fontId="0" fillId="0" borderId="19" xfId="0" applyNumberFormat="1" applyFill="1" applyBorder="1" applyAlignment="1" applyProtection="1">
      <alignment horizontal="center"/>
      <protection locked="0"/>
    </xf>
    <xf numFmtId="165" fontId="0" fillId="47" borderId="19" xfId="0" applyNumberFormat="1" applyFill="1" applyBorder="1" applyAlignment="1" applyProtection="1">
      <alignment horizontal="center"/>
      <protection locked="0"/>
    </xf>
    <xf numFmtId="164" fontId="0" fillId="47" borderId="19" xfId="0" applyNumberFormat="1" applyFill="1" applyBorder="1" applyAlignment="1" applyProtection="1">
      <alignment horizontal="center"/>
      <protection locked="0"/>
    </xf>
    <xf numFmtId="164" fontId="0" fillId="0" borderId="18" xfId="0" applyNumberFormat="1" applyFont="1" applyFill="1" applyBorder="1" applyAlignment="1" applyProtection="1">
      <alignment horizontal="center"/>
      <protection locked="0"/>
    </xf>
    <xf numFmtId="165" fontId="0" fillId="51" borderId="15" xfId="0" applyNumberFormat="1" applyFill="1" applyBorder="1" applyAlignment="1" applyProtection="1">
      <alignment horizontal="center"/>
      <protection locked="0"/>
    </xf>
    <xf numFmtId="165" fontId="0" fillId="51" borderId="26" xfId="0" applyNumberFormat="1" applyFill="1" applyBorder="1" applyAlignment="1" applyProtection="1">
      <alignment horizontal="center"/>
      <protection locked="0"/>
    </xf>
    <xf numFmtId="164" fontId="0" fillId="51" borderId="14" xfId="0" applyNumberFormat="1" applyFill="1" applyBorder="1" applyAlignment="1" applyProtection="1">
      <alignment horizontal="center"/>
      <protection locked="0"/>
    </xf>
    <xf numFmtId="165" fontId="0" fillId="33" borderId="12" xfId="0" applyNumberFormat="1" applyFont="1" applyFill="1" applyBorder="1" applyAlignment="1" applyProtection="1">
      <alignment horizontal="center"/>
      <protection locked="0"/>
    </xf>
    <xf numFmtId="165" fontId="0" fillId="33" borderId="14" xfId="0" applyNumberFormat="1" applyFont="1" applyFill="1" applyBorder="1" applyAlignment="1" applyProtection="1">
      <alignment horizontal="center"/>
      <protection locked="0"/>
    </xf>
    <xf numFmtId="164" fontId="0" fillId="33" borderId="14" xfId="0" applyNumberFormat="1" applyFill="1" applyBorder="1" applyAlignment="1" applyProtection="1">
      <alignment horizontal="center"/>
      <protection locked="0"/>
    </xf>
    <xf numFmtId="165" fontId="0" fillId="51" borderId="12" xfId="0" applyNumberFormat="1" applyFont="1" applyFill="1" applyBorder="1" applyAlignment="1" applyProtection="1">
      <alignment horizontal="center"/>
      <protection locked="0"/>
    </xf>
    <xf numFmtId="165" fontId="0" fillId="51" borderId="14" xfId="0" applyNumberFormat="1" applyFont="1" applyFill="1" applyBorder="1" applyAlignment="1" applyProtection="1">
      <alignment horizontal="center"/>
      <protection locked="0"/>
    </xf>
    <xf numFmtId="165" fontId="0" fillId="33" borderId="12" xfId="0" applyNumberFormat="1" applyFill="1" applyBorder="1" applyAlignment="1" applyProtection="1">
      <alignment horizontal="center"/>
      <protection locked="0"/>
    </xf>
    <xf numFmtId="165" fontId="0" fillId="33" borderId="14" xfId="0" applyNumberFormat="1" applyFill="1" applyBorder="1" applyAlignment="1" applyProtection="1">
      <alignment horizontal="center"/>
      <protection locked="0"/>
    </xf>
    <xf numFmtId="165" fontId="0" fillId="51" borderId="12" xfId="0" applyNumberFormat="1" applyFill="1" applyBorder="1" applyAlignment="1" applyProtection="1">
      <alignment horizontal="center"/>
      <protection locked="0"/>
    </xf>
    <xf numFmtId="165" fontId="0" fillId="51" borderId="14" xfId="0" applyNumberFormat="1" applyFill="1" applyBorder="1" applyAlignment="1" applyProtection="1">
      <alignment horizontal="center"/>
      <protection locked="0"/>
    </xf>
    <xf numFmtId="165" fontId="0" fillId="33" borderId="22" xfId="0" applyNumberFormat="1" applyFill="1" applyBorder="1" applyAlignment="1" applyProtection="1">
      <alignment horizontal="center"/>
      <protection locked="0"/>
    </xf>
    <xf numFmtId="165" fontId="0" fillId="33" borderId="40" xfId="0" applyNumberFormat="1" applyFill="1" applyBorder="1" applyAlignment="1" applyProtection="1">
      <alignment horizontal="center"/>
      <protection locked="0"/>
    </xf>
    <xf numFmtId="0" fontId="0" fillId="47" borderId="28" xfId="0" applyFill="1" applyBorder="1" applyAlignment="1" applyProtection="1">
      <alignment horizontal="center"/>
      <protection locked="0"/>
    </xf>
    <xf numFmtId="0" fontId="0" fillId="41" borderId="19" xfId="0" applyFont="1" applyFill="1" applyBorder="1" applyAlignment="1" applyProtection="1">
      <alignment horizontal="center"/>
      <protection locked="0"/>
    </xf>
    <xf numFmtId="0" fontId="0" fillId="47" borderId="19" xfId="0" applyFont="1" applyFill="1" applyBorder="1" applyAlignment="1" applyProtection="1">
      <alignment horizontal="center"/>
      <protection locked="0"/>
    </xf>
    <xf numFmtId="0" fontId="0" fillId="47" borderId="19" xfId="0" applyFill="1" applyBorder="1" applyAlignment="1" applyProtection="1">
      <alignment horizontal="center"/>
      <protection locked="0"/>
    </xf>
    <xf numFmtId="0" fontId="0" fillId="55" borderId="0" xfId="0" applyFill="1"/>
    <xf numFmtId="0" fontId="0" fillId="55" borderId="0" xfId="0" applyFill="1" applyAlignment="1">
      <alignment horizontal="center"/>
    </xf>
    <xf numFmtId="0" fontId="13" fillId="54" borderId="0" xfId="0" applyFont="1" applyFill="1" applyBorder="1" applyAlignment="1">
      <alignment vertical="center"/>
    </xf>
    <xf numFmtId="0" fontId="13" fillId="54" borderId="0" xfId="0" applyFont="1" applyFill="1" applyBorder="1" applyAlignment="1">
      <alignment horizontal="center"/>
    </xf>
    <xf numFmtId="0" fontId="0" fillId="54" borderId="0" xfId="0" applyFill="1"/>
    <xf numFmtId="0" fontId="13" fillId="54" borderId="0" xfId="0" applyFont="1" applyFill="1"/>
    <xf numFmtId="0" fontId="13" fillId="54" borderId="0" xfId="0" applyFont="1" applyFill="1" applyBorder="1"/>
    <xf numFmtId="0" fontId="13" fillId="54" borderId="0" xfId="0" applyFont="1" applyFill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4" borderId="0" xfId="0" applyFill="1" applyAlignment="1">
      <alignment horizontal="center"/>
    </xf>
    <xf numFmtId="0" fontId="0" fillId="54" borderId="35" xfId="0" applyFill="1" applyBorder="1" applyAlignment="1"/>
    <xf numFmtId="0" fontId="0" fillId="54" borderId="24" xfId="0" applyFill="1" applyBorder="1" applyAlignment="1"/>
    <xf numFmtId="0" fontId="0" fillId="54" borderId="35" xfId="0" applyFill="1" applyBorder="1"/>
    <xf numFmtId="0" fontId="0" fillId="54" borderId="24" xfId="0" applyFill="1" applyBorder="1"/>
    <xf numFmtId="0" fontId="13" fillId="45" borderId="25" xfId="0" applyFont="1" applyFill="1" applyBorder="1" applyAlignment="1">
      <alignment horizontal="center"/>
    </xf>
    <xf numFmtId="0" fontId="13" fillId="42" borderId="32" xfId="0" applyFont="1" applyFill="1" applyBorder="1" applyAlignment="1">
      <alignment horizontal="center"/>
    </xf>
    <xf numFmtId="164" fontId="0" fillId="52" borderId="14" xfId="0" applyNumberFormat="1" applyFill="1" applyBorder="1" applyAlignment="1" applyProtection="1">
      <alignment horizontal="center"/>
      <protection locked="0"/>
    </xf>
    <xf numFmtId="164" fontId="0" fillId="0" borderId="14" xfId="0" applyNumberFormat="1" applyFont="1" applyFill="1" applyBorder="1" applyAlignment="1" applyProtection="1">
      <alignment horizontal="center"/>
      <protection locked="0"/>
    </xf>
    <xf numFmtId="165" fontId="0" fillId="46" borderId="25" xfId="0" applyNumberFormat="1" applyFill="1" applyBorder="1" applyAlignment="1">
      <alignment horizontal="center"/>
    </xf>
    <xf numFmtId="165" fontId="0" fillId="0" borderId="25" xfId="0" applyNumberFormat="1" applyFont="1" applyFill="1" applyBorder="1" applyAlignment="1">
      <alignment horizontal="center"/>
    </xf>
    <xf numFmtId="165" fontId="0" fillId="46" borderId="25" xfId="0" applyNumberFormat="1" applyFon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0" fontId="13" fillId="53" borderId="10" xfId="0" applyFont="1" applyFill="1" applyBorder="1" applyAlignment="1">
      <alignment horizontal="center"/>
    </xf>
    <xf numFmtId="164" fontId="0" fillId="43" borderId="11" xfId="0" applyNumberFormat="1" applyFill="1" applyBorder="1" applyAlignment="1">
      <alignment horizontal="center"/>
    </xf>
    <xf numFmtId="164" fontId="0" fillId="28" borderId="11" xfId="0" applyNumberFormat="1" applyFill="1" applyBorder="1" applyAlignment="1">
      <alignment horizontal="center"/>
    </xf>
    <xf numFmtId="0" fontId="13" fillId="24" borderId="25" xfId="0" applyFont="1" applyFill="1" applyBorder="1" applyAlignment="1">
      <alignment horizontal="center"/>
    </xf>
    <xf numFmtId="2" fontId="0" fillId="43" borderId="25" xfId="0" applyNumberFormat="1" applyFont="1" applyFill="1" applyBorder="1" applyAlignment="1">
      <alignment horizontal="center"/>
    </xf>
    <xf numFmtId="2" fontId="0" fillId="33" borderId="25" xfId="0" applyNumberFormat="1" applyFont="1" applyFill="1" applyBorder="1" applyAlignment="1">
      <alignment horizontal="center"/>
    </xf>
    <xf numFmtId="2" fontId="0" fillId="43" borderId="25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45" borderId="25" xfId="0" applyNumberFormat="1" applyFill="1" applyBorder="1" applyAlignment="1">
      <alignment horizontal="center"/>
    </xf>
    <xf numFmtId="0" fontId="13" fillId="38" borderId="33" xfId="0" applyFont="1" applyFill="1" applyBorder="1" applyAlignment="1">
      <alignment horizontal="center"/>
    </xf>
    <xf numFmtId="164" fontId="0" fillId="45" borderId="41" xfId="0" applyNumberFormat="1" applyFill="1" applyBorder="1" applyAlignment="1">
      <alignment horizontal="center"/>
    </xf>
    <xf numFmtId="164" fontId="0" fillId="27" borderId="41" xfId="0" applyNumberFormat="1" applyFill="1" applyBorder="1" applyAlignment="1">
      <alignment horizontal="center"/>
    </xf>
    <xf numFmtId="0" fontId="13" fillId="38" borderId="20" xfId="0" applyFont="1" applyFill="1" applyBorder="1" applyAlignment="1">
      <alignment horizontal="center"/>
    </xf>
    <xf numFmtId="0" fontId="13" fillId="54" borderId="35" xfId="0" applyFont="1" applyFill="1" applyBorder="1" applyAlignment="1"/>
    <xf numFmtId="0" fontId="13" fillId="54" borderId="24" xfId="0" applyFont="1" applyFill="1" applyBorder="1" applyAlignment="1"/>
    <xf numFmtId="0" fontId="13" fillId="38" borderId="29" xfId="0" applyFont="1" applyFill="1" applyBorder="1" applyAlignment="1">
      <alignment horizontal="center"/>
    </xf>
    <xf numFmtId="165" fontId="0" fillId="49" borderId="25" xfId="0" applyNumberFormat="1" applyFill="1" applyBorder="1" applyAlignment="1" applyProtection="1">
      <alignment horizontal="center"/>
      <protection locked="0"/>
    </xf>
    <xf numFmtId="165" fontId="0" fillId="0" borderId="25" xfId="0" applyNumberFormat="1" applyFill="1" applyBorder="1" applyAlignment="1" applyProtection="1">
      <alignment horizontal="center"/>
      <protection locked="0"/>
    </xf>
    <xf numFmtId="0" fontId="13" fillId="25" borderId="25" xfId="0" applyFont="1" applyFill="1" applyBorder="1" applyAlignment="1">
      <alignment horizontal="center"/>
    </xf>
    <xf numFmtId="0" fontId="0" fillId="47" borderId="42" xfId="0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47" borderId="41" xfId="0" applyFont="1" applyFill="1" applyBorder="1" applyAlignment="1">
      <alignment horizontal="center"/>
    </xf>
    <xf numFmtId="0" fontId="0" fillId="47" borderId="41" xfId="0" applyFill="1" applyBorder="1" applyAlignment="1">
      <alignment horizontal="center"/>
    </xf>
    <xf numFmtId="0" fontId="13" fillId="38" borderId="19" xfId="0" applyFont="1" applyFill="1" applyBorder="1" applyAlignment="1">
      <alignment horizontal="center"/>
    </xf>
    <xf numFmtId="0" fontId="0" fillId="55" borderId="0" xfId="0" applyFill="1" applyProtection="1"/>
    <xf numFmtId="0" fontId="0" fillId="0" borderId="0" xfId="0" applyProtection="1"/>
    <xf numFmtId="0" fontId="30" fillId="0" borderId="0" xfId="50" applyProtection="1"/>
    <xf numFmtId="0" fontId="29" fillId="0" borderId="0" xfId="50" applyFont="1" applyProtection="1"/>
    <xf numFmtId="0" fontId="30" fillId="0" borderId="0" xfId="50" applyFill="1" applyProtection="1">
      <protection locked="0"/>
    </xf>
    <xf numFmtId="0" fontId="30" fillId="0" borderId="0" xfId="50" applyProtection="1">
      <protection locked="0"/>
    </xf>
    <xf numFmtId="0" fontId="30" fillId="0" borderId="0" xfId="50" applyAlignment="1" applyProtection="1">
      <alignment horizontal="center"/>
    </xf>
    <xf numFmtId="2" fontId="30" fillId="0" borderId="0" xfId="50" applyNumberFormat="1" applyAlignment="1" applyProtection="1">
      <alignment horizontal="center"/>
    </xf>
    <xf numFmtId="2" fontId="30" fillId="0" borderId="0" xfId="50" applyNumberFormat="1" applyFill="1" applyAlignment="1" applyProtection="1">
      <alignment horizontal="center"/>
    </xf>
    <xf numFmtId="0" fontId="13" fillId="42" borderId="19" xfId="0" applyFont="1" applyFill="1" applyBorder="1" applyAlignment="1">
      <alignment horizontal="center"/>
    </xf>
    <xf numFmtId="166" fontId="0" fillId="54" borderId="0" xfId="0" applyNumberFormat="1" applyFill="1"/>
    <xf numFmtId="165" fontId="0" fillId="54" borderId="0" xfId="0" applyNumberFormat="1" applyFill="1"/>
    <xf numFmtId="1" fontId="0" fillId="54" borderId="0" xfId="0" applyNumberFormat="1" applyFill="1"/>
    <xf numFmtId="0" fontId="13" fillId="56" borderId="43" xfId="0" applyFont="1" applyFill="1" applyBorder="1" applyAlignment="1">
      <alignment horizontal="center"/>
    </xf>
    <xf numFmtId="0" fontId="13" fillId="57" borderId="43" xfId="0" applyFont="1" applyFill="1" applyBorder="1" applyAlignment="1">
      <alignment horizontal="center"/>
    </xf>
    <xf numFmtId="0" fontId="0" fillId="34" borderId="21" xfId="0" applyFill="1" applyBorder="1" applyAlignment="1" applyProtection="1">
      <alignment horizontal="center"/>
      <protection locked="0"/>
    </xf>
    <xf numFmtId="2" fontId="0" fillId="34" borderId="21" xfId="0" applyNumberFormat="1" applyFill="1" applyBorder="1" applyAlignment="1" applyProtection="1">
      <alignment horizontal="center"/>
      <protection locked="0"/>
    </xf>
    <xf numFmtId="0" fontId="0" fillId="54" borderId="0" xfId="0" applyFont="1" applyFill="1"/>
    <xf numFmtId="0" fontId="30" fillId="0" borderId="0" xfId="50" applyFont="1" applyProtection="1"/>
    <xf numFmtId="0" fontId="30" fillId="0" borderId="0" xfId="50" applyFont="1" applyAlignment="1" applyProtection="1">
      <alignment horizontal="center"/>
    </xf>
    <xf numFmtId="2" fontId="30" fillId="0" borderId="0" xfId="50" applyNumberFormat="1" applyFont="1" applyAlignment="1" applyProtection="1">
      <alignment horizontal="center"/>
    </xf>
    <xf numFmtId="0" fontId="30" fillId="0" borderId="0" xfId="50" applyFont="1" applyFill="1" applyProtection="1">
      <protection locked="0"/>
    </xf>
    <xf numFmtId="0" fontId="31" fillId="0" borderId="21" xfId="50" applyFont="1" applyFill="1" applyBorder="1" applyAlignment="1" applyProtection="1">
      <alignment horizontal="center"/>
    </xf>
    <xf numFmtId="0" fontId="31" fillId="0" borderId="21" xfId="50" applyFont="1" applyBorder="1" applyAlignment="1" applyProtection="1">
      <alignment horizontal="center"/>
    </xf>
    <xf numFmtId="0" fontId="32" fillId="0" borderId="0" xfId="50" applyFont="1" applyProtection="1"/>
    <xf numFmtId="0" fontId="32" fillId="0" borderId="0" xfId="50" applyFont="1" applyFill="1" applyProtection="1">
      <protection locked="0"/>
    </xf>
    <xf numFmtId="0" fontId="32" fillId="58" borderId="0" xfId="50" applyFont="1" applyFill="1" applyBorder="1" applyAlignment="1" applyProtection="1">
      <alignment horizontal="center"/>
    </xf>
    <xf numFmtId="2" fontId="32" fillId="58" borderId="0" xfId="50" applyNumberFormat="1" applyFont="1" applyFill="1" applyBorder="1" applyAlignment="1" applyProtection="1">
      <alignment horizontal="center"/>
    </xf>
    <xf numFmtId="0" fontId="31" fillId="0" borderId="0" xfId="50" applyFont="1" applyBorder="1" applyAlignment="1" applyProtection="1">
      <alignment horizontal="center"/>
    </xf>
    <xf numFmtId="0" fontId="31" fillId="0" borderId="0" xfId="50" applyFont="1" applyFill="1" applyBorder="1" applyAlignment="1" applyProtection="1">
      <alignment horizontal="center"/>
      <protection locked="0"/>
    </xf>
    <xf numFmtId="0" fontId="32" fillId="0" borderId="21" xfId="50" applyFont="1" applyBorder="1" applyAlignment="1" applyProtection="1">
      <alignment horizontal="center"/>
    </xf>
    <xf numFmtId="2" fontId="32" fillId="0" borderId="21" xfId="50" applyNumberFormat="1" applyFont="1" applyBorder="1" applyAlignment="1" applyProtection="1">
      <alignment horizontal="center"/>
    </xf>
    <xf numFmtId="0" fontId="32" fillId="0" borderId="0" xfId="50" applyFont="1" applyProtection="1">
      <protection locked="0"/>
    </xf>
    <xf numFmtId="0" fontId="32" fillId="0" borderId="32" xfId="50" applyFont="1" applyFill="1" applyBorder="1" applyAlignment="1" applyProtection="1">
      <alignment horizontal="center"/>
      <protection locked="0"/>
    </xf>
    <xf numFmtId="0" fontId="32" fillId="0" borderId="21" xfId="50" applyFont="1" applyFill="1" applyBorder="1" applyAlignment="1" applyProtection="1">
      <alignment horizontal="center"/>
      <protection locked="0"/>
    </xf>
    <xf numFmtId="0" fontId="32" fillId="0" borderId="0" xfId="50" applyFont="1" applyAlignment="1" applyProtection="1">
      <alignment horizontal="center"/>
    </xf>
    <xf numFmtId="2" fontId="32" fillId="0" borderId="0" xfId="50" applyNumberFormat="1" applyFont="1" applyAlignment="1" applyProtection="1">
      <alignment horizontal="center"/>
    </xf>
    <xf numFmtId="0" fontId="32" fillId="0" borderId="0" xfId="50" applyFont="1" applyAlignment="1" applyProtection="1">
      <alignment horizontal="center"/>
      <protection locked="0"/>
    </xf>
    <xf numFmtId="0" fontId="32" fillId="59" borderId="0" xfId="50" applyFont="1" applyFill="1" applyBorder="1" applyAlignment="1" applyProtection="1">
      <alignment horizontal="center"/>
    </xf>
    <xf numFmtId="2" fontId="32" fillId="59" borderId="0" xfId="50" applyNumberFormat="1" applyFont="1" applyFill="1" applyBorder="1" applyAlignment="1" applyProtection="1">
      <alignment horizontal="center"/>
    </xf>
    <xf numFmtId="0" fontId="32" fillId="55" borderId="0" xfId="50" applyFont="1" applyFill="1" applyBorder="1" applyAlignment="1" applyProtection="1">
      <alignment horizontal="center"/>
    </xf>
    <xf numFmtId="2" fontId="32" fillId="55" borderId="0" xfId="50" applyNumberFormat="1" applyFont="1" applyFill="1" applyBorder="1" applyAlignment="1" applyProtection="1">
      <alignment horizontal="center"/>
    </xf>
    <xf numFmtId="0" fontId="31" fillId="0" borderId="0" xfId="50" applyFont="1" applyFill="1" applyBorder="1" applyAlignment="1" applyProtection="1">
      <alignment horizontal="center"/>
    </xf>
    <xf numFmtId="2" fontId="32" fillId="0" borderId="0" xfId="50" applyNumberFormat="1" applyFont="1" applyFill="1" applyBorder="1" applyAlignment="1" applyProtection="1">
      <alignment horizontal="center"/>
    </xf>
    <xf numFmtId="0" fontId="30" fillId="0" borderId="0" xfId="50" applyFill="1" applyProtection="1"/>
    <xf numFmtId="0" fontId="32" fillId="0" borderId="21" xfId="50" applyFont="1" applyBorder="1" applyProtection="1"/>
    <xf numFmtId="0" fontId="32" fillId="58" borderId="44" xfId="50" applyFont="1" applyFill="1" applyBorder="1" applyAlignment="1" applyProtection="1">
      <alignment horizontal="center"/>
    </xf>
    <xf numFmtId="2" fontId="32" fillId="58" borderId="44" xfId="50" applyNumberFormat="1" applyFont="1" applyFill="1" applyBorder="1" applyAlignment="1" applyProtection="1">
      <alignment horizontal="center"/>
    </xf>
    <xf numFmtId="0" fontId="32" fillId="58" borderId="21" xfId="50" applyFont="1" applyFill="1" applyBorder="1" applyAlignment="1" applyProtection="1">
      <alignment horizontal="center"/>
    </xf>
    <xf numFmtId="2" fontId="32" fillId="58" borderId="21" xfId="50" applyNumberFormat="1" applyFont="1" applyFill="1" applyBorder="1" applyAlignment="1" applyProtection="1">
      <alignment horizontal="center"/>
    </xf>
    <xf numFmtId="0" fontId="32" fillId="59" borderId="21" xfId="50" applyFont="1" applyFill="1" applyBorder="1" applyAlignment="1" applyProtection="1">
      <alignment horizontal="center"/>
    </xf>
    <xf numFmtId="2" fontId="32" fillId="59" borderId="21" xfId="50" applyNumberFormat="1" applyFont="1" applyFill="1" applyBorder="1" applyAlignment="1" applyProtection="1">
      <alignment horizontal="center"/>
    </xf>
    <xf numFmtId="0" fontId="32" fillId="55" borderId="21" xfId="50" applyFont="1" applyFill="1" applyBorder="1" applyAlignment="1" applyProtection="1">
      <alignment horizontal="center"/>
    </xf>
    <xf numFmtId="2" fontId="32" fillId="55" borderId="21" xfId="50" applyNumberFormat="1" applyFont="1" applyFill="1" applyBorder="1" applyAlignment="1" applyProtection="1">
      <alignment horizontal="center"/>
    </xf>
    <xf numFmtId="49" fontId="0" fillId="55" borderId="0" xfId="0" applyNumberFormat="1" applyFill="1"/>
    <xf numFmtId="0" fontId="13" fillId="55" borderId="0" xfId="0" applyFont="1" applyFill="1" applyAlignment="1">
      <alignment horizontal="right"/>
    </xf>
    <xf numFmtId="0" fontId="0" fillId="55" borderId="0" xfId="0" applyFill="1" applyAlignment="1">
      <alignment horizontal="right"/>
    </xf>
    <xf numFmtId="0" fontId="33" fillId="55" borderId="0" xfId="52" applyFill="1" applyAlignment="1">
      <alignment horizontal="right"/>
    </xf>
    <xf numFmtId="0" fontId="27" fillId="55" borderId="0" xfId="0" applyFont="1" applyFill="1" applyAlignment="1">
      <alignment horizontal="right"/>
    </xf>
    <xf numFmtId="0" fontId="26" fillId="55" borderId="0" xfId="0" applyFont="1" applyFill="1" applyAlignment="1">
      <alignment horizontal="right"/>
    </xf>
    <xf numFmtId="49" fontId="26" fillId="55" borderId="0" xfId="0" applyNumberFormat="1" applyFont="1" applyFill="1" applyAlignment="1">
      <alignment horizontal="right"/>
    </xf>
    <xf numFmtId="0" fontId="26" fillId="54" borderId="30" xfId="0" applyFont="1" applyFill="1" applyBorder="1" applyAlignment="1">
      <alignment horizontal="left"/>
    </xf>
    <xf numFmtId="0" fontId="26" fillId="54" borderId="0" xfId="0" applyFont="1" applyFill="1" applyBorder="1" applyAlignment="1">
      <alignment horizontal="left"/>
    </xf>
    <xf numFmtId="0" fontId="26" fillId="54" borderId="31" xfId="0" applyFont="1" applyFill="1" applyBorder="1" applyAlignment="1">
      <alignment horizontal="left"/>
    </xf>
    <xf numFmtId="0" fontId="26" fillId="54" borderId="32" xfId="0" applyFont="1" applyFill="1" applyBorder="1" applyAlignment="1">
      <alignment horizontal="left"/>
    </xf>
    <xf numFmtId="0" fontId="26" fillId="54" borderId="21" xfId="0" applyFont="1" applyFill="1" applyBorder="1" applyAlignment="1">
      <alignment horizontal="left"/>
    </xf>
    <xf numFmtId="0" fontId="26" fillId="54" borderId="33" xfId="0" applyFont="1" applyFill="1" applyBorder="1" applyAlignment="1">
      <alignment horizontal="left"/>
    </xf>
    <xf numFmtId="0" fontId="27" fillId="54" borderId="30" xfId="0" applyFont="1" applyFill="1" applyBorder="1" applyAlignment="1">
      <alignment horizontal="left"/>
    </xf>
    <xf numFmtId="0" fontId="27" fillId="54" borderId="0" xfId="0" applyFont="1" applyFill="1" applyBorder="1" applyAlignment="1">
      <alignment horizontal="left"/>
    </xf>
    <xf numFmtId="0" fontId="27" fillId="54" borderId="31" xfId="0" applyFont="1" applyFill="1" applyBorder="1" applyAlignment="1">
      <alignment horizontal="left"/>
    </xf>
    <xf numFmtId="0" fontId="26" fillId="54" borderId="30" xfId="0" applyFont="1" applyFill="1" applyBorder="1" applyAlignment="1">
      <alignment horizontal="left" wrapText="1"/>
    </xf>
    <xf numFmtId="0" fontId="26" fillId="54" borderId="0" xfId="0" applyFont="1" applyFill="1" applyBorder="1" applyAlignment="1">
      <alignment horizontal="left" wrapText="1"/>
    </xf>
    <xf numFmtId="0" fontId="26" fillId="54" borderId="31" xfId="0" applyFont="1" applyFill="1" applyBorder="1" applyAlignment="1">
      <alignment horizontal="left" wrapText="1"/>
    </xf>
    <xf numFmtId="0" fontId="23" fillId="35" borderId="0" xfId="0" applyFont="1" applyFill="1" applyBorder="1" applyAlignment="1">
      <alignment horizontal="center"/>
    </xf>
    <xf numFmtId="0" fontId="24" fillId="54" borderId="30" xfId="0" applyFont="1" applyFill="1" applyBorder="1" applyAlignment="1">
      <alignment horizontal="left" vertical="center"/>
    </xf>
    <xf numFmtId="0" fontId="24" fillId="54" borderId="0" xfId="0" applyFont="1" applyFill="1" applyBorder="1" applyAlignment="1">
      <alignment horizontal="left" vertical="center"/>
    </xf>
    <xf numFmtId="0" fontId="24" fillId="54" borderId="31" xfId="0" applyFont="1" applyFill="1" applyBorder="1" applyAlignment="1">
      <alignment horizontal="left" vertical="center"/>
    </xf>
    <xf numFmtId="0" fontId="24" fillId="54" borderId="0" xfId="0" applyFont="1" applyFill="1" applyBorder="1" applyAlignment="1">
      <alignment horizontal="left" vertical="top" wrapText="1"/>
    </xf>
    <xf numFmtId="0" fontId="24" fillId="54" borderId="31" xfId="0" applyFont="1" applyFill="1" applyBorder="1" applyAlignment="1">
      <alignment horizontal="left" vertical="top" wrapText="1"/>
    </xf>
    <xf numFmtId="0" fontId="23" fillId="36" borderId="0" xfId="0" applyFont="1" applyFill="1" applyBorder="1" applyAlignment="1">
      <alignment horizontal="center"/>
    </xf>
    <xf numFmtId="0" fontId="13" fillId="42" borderId="19" xfId="0" applyFont="1" applyFill="1" applyBorder="1" applyAlignment="1">
      <alignment horizontal="center"/>
    </xf>
    <xf numFmtId="0" fontId="13" fillId="45" borderId="19" xfId="0" applyFont="1" applyFill="1" applyBorder="1" applyAlignment="1">
      <alignment horizontal="center"/>
    </xf>
    <xf numFmtId="0" fontId="13" fillId="45" borderId="41" xfId="0" applyFont="1" applyFill="1" applyBorder="1" applyAlignment="1">
      <alignment horizontal="center"/>
    </xf>
    <xf numFmtId="0" fontId="13" fillId="42" borderId="34" xfId="0" applyFont="1" applyFill="1" applyBorder="1" applyAlignment="1">
      <alignment horizontal="center"/>
    </xf>
    <xf numFmtId="0" fontId="13" fillId="43" borderId="19" xfId="0" applyFont="1" applyFill="1" applyBorder="1" applyAlignment="1">
      <alignment horizontal="center" vertical="center"/>
    </xf>
    <xf numFmtId="0" fontId="13" fillId="38" borderId="19" xfId="0" applyFont="1" applyFill="1" applyBorder="1" applyAlignment="1">
      <alignment horizontal="center"/>
    </xf>
    <xf numFmtId="0" fontId="13" fillId="45" borderId="19" xfId="0" applyFont="1" applyFill="1" applyBorder="1" applyAlignment="1">
      <alignment horizontal="center" vertical="center"/>
    </xf>
    <xf numFmtId="0" fontId="13" fillId="43" borderId="0" xfId="0" applyFont="1" applyFill="1" applyBorder="1" applyAlignment="1">
      <alignment horizontal="center" vertical="center"/>
    </xf>
    <xf numFmtId="0" fontId="13" fillId="43" borderId="21" xfId="0" applyFont="1" applyFill="1" applyBorder="1" applyAlignment="1">
      <alignment horizontal="center" vertical="center"/>
    </xf>
    <xf numFmtId="0" fontId="13" fillId="45" borderId="0" xfId="0" applyFont="1" applyFill="1" applyBorder="1" applyAlignment="1">
      <alignment horizontal="center" vertical="center"/>
    </xf>
    <xf numFmtId="0" fontId="13" fillId="45" borderId="21" xfId="0" applyFont="1" applyFill="1" applyBorder="1" applyAlignment="1">
      <alignment horizontal="center" vertical="center"/>
    </xf>
    <xf numFmtId="0" fontId="13" fillId="47" borderId="34" xfId="0" applyFont="1" applyFill="1" applyBorder="1" applyAlignment="1">
      <alignment horizontal="center"/>
    </xf>
    <xf numFmtId="0" fontId="13" fillId="47" borderId="19" xfId="0" applyFont="1" applyFill="1" applyBorder="1" applyAlignment="1">
      <alignment horizontal="center"/>
    </xf>
    <xf numFmtId="1" fontId="32" fillId="0" borderId="44" xfId="50" applyNumberFormat="1" applyFont="1" applyFill="1" applyBorder="1" applyAlignment="1" applyProtection="1">
      <alignment horizontal="center"/>
    </xf>
    <xf numFmtId="1" fontId="32" fillId="0" borderId="21" xfId="50" applyNumberFormat="1" applyFont="1" applyFill="1" applyBorder="1" applyAlignment="1" applyProtection="1">
      <alignment horizontal="center"/>
    </xf>
    <xf numFmtId="0" fontId="31" fillId="0" borderId="44" xfId="50" applyFont="1" applyBorder="1" applyAlignment="1" applyProtection="1">
      <alignment horizontal="center" vertical="center" textRotation="90"/>
    </xf>
    <xf numFmtId="0" fontId="31" fillId="0" borderId="0" xfId="50" applyFont="1" applyBorder="1" applyAlignment="1" applyProtection="1">
      <alignment horizontal="center" vertical="center" textRotation="90"/>
    </xf>
    <xf numFmtId="0" fontId="31" fillId="0" borderId="21" xfId="50" applyFont="1" applyBorder="1" applyAlignment="1" applyProtection="1">
      <alignment horizontal="center" vertical="center" textRotation="90"/>
    </xf>
    <xf numFmtId="0" fontId="31" fillId="0" borderId="21" xfId="50" applyFont="1" applyFill="1" applyBorder="1" applyAlignment="1" applyProtection="1">
      <alignment horizontal="center"/>
    </xf>
    <xf numFmtId="0" fontId="31" fillId="0" borderId="21" xfId="50" applyFont="1" applyBorder="1" applyAlignment="1" applyProtection="1">
      <alignment horizontal="center"/>
      <protection locked="0"/>
    </xf>
    <xf numFmtId="0" fontId="31" fillId="0" borderId="21" xfId="50" applyFont="1" applyBorder="1" applyAlignment="1" applyProtection="1">
      <alignment horizontal="center"/>
    </xf>
    <xf numFmtId="49" fontId="31" fillId="0" borderId="0" xfId="51" applyNumberFormat="1" applyFont="1" applyFill="1" applyBorder="1" applyAlignment="1" applyProtection="1">
      <alignment horizontal="center"/>
      <protection locked="0"/>
    </xf>
  </cellXfs>
  <cellStyles count="5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36" builtinId="29" customBuiltin="1"/>
    <cellStyle name="Ênfase2" xfId="37" builtinId="33" customBuiltin="1"/>
    <cellStyle name="Ênfase3" xfId="38" builtinId="37" customBuiltin="1"/>
    <cellStyle name="Ênfase4" xfId="39" builtinId="41" customBuiltin="1"/>
    <cellStyle name="Ênfase5" xfId="40" builtinId="45" customBuiltin="1"/>
    <cellStyle name="Ênfase6" xfId="41" builtinId="49" customBuiltin="1"/>
    <cellStyle name="Entrada" xfId="23" builtinId="20" customBuiltin="1"/>
    <cellStyle name="Heading" xfId="44" xr:uid="{00000000-0005-0000-0000-00001D000000}"/>
    <cellStyle name="Heading1" xfId="45" xr:uid="{00000000-0005-0000-0000-00001E000000}"/>
    <cellStyle name="Hiperlink" xfId="52" builtinId="8"/>
    <cellStyle name="Neutro" xfId="25" builtinId="28" customBuiltin="1"/>
    <cellStyle name="Normal" xfId="0" builtinId="0"/>
    <cellStyle name="Normal 2" xfId="42" xr:uid="{00000000-0005-0000-0000-000023000000}"/>
    <cellStyle name="Normal 3" xfId="43" xr:uid="{00000000-0005-0000-0000-000024000000}"/>
    <cellStyle name="Normal 4" xfId="49" xr:uid="{00000000-0005-0000-0000-000025000000}"/>
    <cellStyle name="Normal 5" xfId="50" xr:uid="{00000000-0005-0000-0000-000026000000}"/>
    <cellStyle name="Nota" xfId="26" builtinId="10" customBuiltin="1"/>
    <cellStyle name="Porcentagem" xfId="51" builtinId="5"/>
    <cellStyle name="Result" xfId="46" xr:uid="{00000000-0005-0000-0000-000029000000}"/>
    <cellStyle name="Result2" xfId="47" xr:uid="{00000000-0005-0000-0000-00002A000000}"/>
    <cellStyle name="Ruim" xfId="24" builtinId="27" customBuiltin="1"/>
    <cellStyle name="Saída" xfId="27" builtinId="21" customBuiltin="1"/>
    <cellStyle name="TableStyleLight1" xfId="48" xr:uid="{00000000-0005-0000-0000-00002C000000}"/>
    <cellStyle name="Texto de Aviso" xfId="28" builtinId="11" customBuiltin="1"/>
    <cellStyle name="Texto Explicativo" xfId="29" builtinId="53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ítulo 5" xfId="35" xr:uid="{00000000-0005-0000-0000-000033000000}"/>
    <cellStyle name="Total" xfId="30" builtinId="25" customBuiltin="1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983963013797582E-2"/>
          <c:y val="6.8730833333333408E-2"/>
          <c:w val="0.96061691829805673"/>
          <c:h val="0.87651222222222169"/>
        </c:manualLayout>
      </c:layout>
      <c:scatterChart>
        <c:scatterStyle val="lineMarker"/>
        <c:varyColors val="0"/>
        <c:ser>
          <c:idx val="4"/>
          <c:order val="2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Triagulo'!$E$3:$E$4</c:f>
              <c:numCache>
                <c:formatCode>0.00</c:formatCode>
                <c:ptCount val="2"/>
                <c:pt idx="0">
                  <c:v>4.9999999999999982</c:v>
                </c:pt>
                <c:pt idx="1">
                  <c:v>10</c:v>
                </c:pt>
              </c:numCache>
            </c:numRef>
          </c:xVal>
          <c:yVal>
            <c:numRef>
              <c:f>'Const. Triagulo'!$F$3:$F$4</c:f>
              <c:numCache>
                <c:formatCode>0.00</c:formatCode>
                <c:ptCount val="2"/>
                <c:pt idx="0">
                  <c:v>8.6602540378443855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B32-BFD3-2D38430BF1AC}"/>
            </c:ext>
          </c:extLst>
        </c:ser>
        <c:ser>
          <c:idx val="0"/>
          <c:order val="0"/>
          <c:tx>
            <c:strRef>
              <c:f>'Classificação Textural'!$K$4</c:f>
              <c:strCache>
                <c:ptCount val="1"/>
                <c:pt idx="0">
                  <c:v>24</c:v>
                </c:pt>
              </c:strCache>
            </c:strRef>
          </c:tx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Triagulo'!$I$14:$I$17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50</c:v>
                </c:pt>
                <c:pt idx="2">
                  <c:v>100</c:v>
                </c:pt>
                <c:pt idx="3" formatCode="General">
                  <c:v>0</c:v>
                </c:pt>
              </c:numCache>
            </c:numRef>
          </c:xVal>
          <c:yVal>
            <c:numRef>
              <c:f>'Const. Triagulo'!$J$14:$J$17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86.602540378443862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2-4B32-BFD3-2D38430BF1AC}"/>
            </c:ext>
          </c:extLst>
        </c:ser>
        <c:ser>
          <c:idx val="1"/>
          <c:order val="1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Triagulo'!$E$5:$E$6</c:f>
              <c:numCache>
                <c:formatCode>0.00</c:formatCode>
                <c:ptCount val="2"/>
                <c:pt idx="0">
                  <c:v>9.9999999999999964</c:v>
                </c:pt>
                <c:pt idx="1">
                  <c:v>20</c:v>
                </c:pt>
              </c:numCache>
            </c:numRef>
          </c:xVal>
          <c:yVal>
            <c:numRef>
              <c:f>'Const. Triagulo'!$F$5:$F$6</c:f>
              <c:numCache>
                <c:formatCode>0.00</c:formatCode>
                <c:ptCount val="2"/>
                <c:pt idx="0">
                  <c:v>17.320508075688771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2-4B32-BFD3-2D38430BF1AC}"/>
            </c:ext>
          </c:extLst>
        </c:ser>
        <c:ser>
          <c:idx val="2"/>
          <c:order val="3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Triagulo'!$E$7:$E$8</c:f>
              <c:numCache>
                <c:formatCode>0.00</c:formatCode>
                <c:ptCount val="2"/>
                <c:pt idx="0">
                  <c:v>14.999999999999996</c:v>
                </c:pt>
                <c:pt idx="1">
                  <c:v>30</c:v>
                </c:pt>
              </c:numCache>
            </c:numRef>
          </c:xVal>
          <c:yVal>
            <c:numRef>
              <c:f>'Const. Triagulo'!$F$7:$F$8</c:f>
              <c:numCache>
                <c:formatCode>0.00</c:formatCode>
                <c:ptCount val="2"/>
                <c:pt idx="0">
                  <c:v>25.980762113533157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2-4B32-BFD3-2D38430BF1AC}"/>
            </c:ext>
          </c:extLst>
        </c:ser>
        <c:ser>
          <c:idx val="3"/>
          <c:order val="4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Triagulo'!$E$9:$E$10</c:f>
              <c:numCache>
                <c:formatCode>0.00</c:formatCode>
                <c:ptCount val="2"/>
                <c:pt idx="0">
                  <c:v>19.999999999999993</c:v>
                </c:pt>
                <c:pt idx="1">
                  <c:v>40</c:v>
                </c:pt>
              </c:numCache>
            </c:numRef>
          </c:xVal>
          <c:yVal>
            <c:numRef>
              <c:f>'Const. Triagulo'!$F$9:$F$10</c:f>
              <c:numCache>
                <c:formatCode>0.00</c:formatCode>
                <c:ptCount val="2"/>
                <c:pt idx="0">
                  <c:v>34.641016151377542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2-4B32-BFD3-2D38430BF1AC}"/>
            </c:ext>
          </c:extLst>
        </c:ser>
        <c:ser>
          <c:idx val="5"/>
          <c:order val="5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Triagulo'!$E$11:$E$12</c:f>
              <c:numCache>
                <c:formatCode>0.00</c:formatCode>
                <c:ptCount val="2"/>
                <c:pt idx="0">
                  <c:v>24.999999999999982</c:v>
                </c:pt>
                <c:pt idx="1">
                  <c:v>50</c:v>
                </c:pt>
              </c:numCache>
            </c:numRef>
          </c:xVal>
          <c:yVal>
            <c:numRef>
              <c:f>'Const. Triagulo'!$F$11:$F$12</c:f>
              <c:numCache>
                <c:formatCode>0.00</c:formatCode>
                <c:ptCount val="2"/>
                <c:pt idx="0">
                  <c:v>43.301270189221931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2-4B32-BFD3-2D38430BF1AC}"/>
            </c:ext>
          </c:extLst>
        </c:ser>
        <c:ser>
          <c:idx val="6"/>
          <c:order val="6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Triagulo'!$E$13:$E$14</c:f>
              <c:numCache>
                <c:formatCode>0.00</c:formatCode>
                <c:ptCount val="2"/>
                <c:pt idx="0">
                  <c:v>29.999999999999993</c:v>
                </c:pt>
                <c:pt idx="1">
                  <c:v>60</c:v>
                </c:pt>
              </c:numCache>
            </c:numRef>
          </c:xVal>
          <c:yVal>
            <c:numRef>
              <c:f>'Const. Triagulo'!$F$13:$F$14</c:f>
              <c:numCache>
                <c:formatCode>0.00</c:formatCode>
                <c:ptCount val="2"/>
                <c:pt idx="0">
                  <c:v>51.961524227066313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2-4B32-BFD3-2D38430BF1AC}"/>
            </c:ext>
          </c:extLst>
        </c:ser>
        <c:ser>
          <c:idx val="7"/>
          <c:order val="7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Triagulo'!$E$15:$E$16</c:f>
              <c:numCache>
                <c:formatCode>0.00</c:formatCode>
                <c:ptCount val="2"/>
                <c:pt idx="0">
                  <c:v>34.999999999999979</c:v>
                </c:pt>
                <c:pt idx="1">
                  <c:v>70</c:v>
                </c:pt>
              </c:numCache>
            </c:numRef>
          </c:xVal>
          <c:yVal>
            <c:numRef>
              <c:f>'Const. Triagulo'!$F$15:$F$16</c:f>
              <c:numCache>
                <c:formatCode>0.00</c:formatCode>
                <c:ptCount val="2"/>
                <c:pt idx="0">
                  <c:v>60.621778264910702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D2-4B32-BFD3-2D38430BF1AC}"/>
            </c:ext>
          </c:extLst>
        </c:ser>
        <c:ser>
          <c:idx val="8"/>
          <c:order val="8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Triagulo'!$E$17:$E$18</c:f>
              <c:numCache>
                <c:formatCode>0.00</c:formatCode>
                <c:ptCount val="2"/>
                <c:pt idx="0">
                  <c:v>39.999999999999986</c:v>
                </c:pt>
                <c:pt idx="1">
                  <c:v>80</c:v>
                </c:pt>
              </c:numCache>
            </c:numRef>
          </c:xVal>
          <c:yVal>
            <c:numRef>
              <c:f>'Const. Triagulo'!$F$17:$F$18</c:f>
              <c:numCache>
                <c:formatCode>0.00</c:formatCode>
                <c:ptCount val="2"/>
                <c:pt idx="0">
                  <c:v>69.282032302755084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D2-4B32-BFD3-2D38430BF1AC}"/>
            </c:ext>
          </c:extLst>
        </c:ser>
        <c:ser>
          <c:idx val="9"/>
          <c:order val="9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Triagulo'!$E$19:$E$20</c:f>
              <c:numCache>
                <c:formatCode>0.00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'Const. Triagulo'!$F$19:$F$20</c:f>
              <c:numCache>
                <c:formatCode>0.00</c:formatCode>
                <c:ptCount val="2"/>
                <c:pt idx="0">
                  <c:v>77.94228634059948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D2-4B32-BFD3-2D38430BF1AC}"/>
            </c:ext>
          </c:extLst>
        </c:ser>
        <c:ser>
          <c:idx val="10"/>
          <c:order val="10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Triagulo'!$E$21:$E$22</c:f>
              <c:numCache>
                <c:formatCode>0.00</c:formatCode>
                <c:ptCount val="2"/>
                <c:pt idx="0">
                  <c:v>10</c:v>
                </c:pt>
                <c:pt idx="1">
                  <c:v>55</c:v>
                </c:pt>
              </c:numCache>
            </c:numRef>
          </c:xVal>
          <c:yVal>
            <c:numRef>
              <c:f>'Const. Triagulo'!$F$21:$F$22</c:f>
              <c:numCache>
                <c:formatCode>0.00</c:formatCode>
                <c:ptCount val="2"/>
                <c:pt idx="0">
                  <c:v>0</c:v>
                </c:pt>
                <c:pt idx="1">
                  <c:v>77.94228634059948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D2-4B32-BFD3-2D38430BF1AC}"/>
            </c:ext>
          </c:extLst>
        </c:ser>
        <c:ser>
          <c:idx val="11"/>
          <c:order val="11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Triagulo'!$E$23:$E$24</c:f>
              <c:numCache>
                <c:formatCode>0.00</c:formatCode>
                <c:ptCount val="2"/>
                <c:pt idx="0">
                  <c:v>20</c:v>
                </c:pt>
                <c:pt idx="1">
                  <c:v>59.999999999999986</c:v>
                </c:pt>
              </c:numCache>
            </c:numRef>
          </c:xVal>
          <c:yVal>
            <c:numRef>
              <c:f>'Const. Triagulo'!$F$23:$F$24</c:f>
              <c:numCache>
                <c:formatCode>0.00</c:formatCode>
                <c:ptCount val="2"/>
                <c:pt idx="0">
                  <c:v>0</c:v>
                </c:pt>
                <c:pt idx="1">
                  <c:v>69.282032302755084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D2-4B32-BFD3-2D38430BF1AC}"/>
            </c:ext>
          </c:extLst>
        </c:ser>
        <c:ser>
          <c:idx val="12"/>
          <c:order val="12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Triagulo'!$E$25:$E$26</c:f>
              <c:numCache>
                <c:formatCode>0.00</c:formatCode>
                <c:ptCount val="2"/>
                <c:pt idx="0">
                  <c:v>30</c:v>
                </c:pt>
                <c:pt idx="1">
                  <c:v>64.999999999999972</c:v>
                </c:pt>
              </c:numCache>
            </c:numRef>
          </c:xVal>
          <c:yVal>
            <c:numRef>
              <c:f>'Const. Triagulo'!$F$25:$F$26</c:f>
              <c:numCache>
                <c:formatCode>0.00</c:formatCode>
                <c:ptCount val="2"/>
                <c:pt idx="0">
                  <c:v>0</c:v>
                </c:pt>
                <c:pt idx="1">
                  <c:v>60.621778264910702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D2-4B32-BFD3-2D38430BF1AC}"/>
            </c:ext>
          </c:extLst>
        </c:ser>
        <c:ser>
          <c:idx val="13"/>
          <c:order val="13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Triagulo'!$E$27:$E$28</c:f>
              <c:numCache>
                <c:formatCode>0.00</c:formatCode>
                <c:ptCount val="2"/>
                <c:pt idx="0">
                  <c:v>40</c:v>
                </c:pt>
                <c:pt idx="1">
                  <c:v>70</c:v>
                </c:pt>
              </c:numCache>
            </c:numRef>
          </c:xVal>
          <c:yVal>
            <c:numRef>
              <c:f>'Const. Triagulo'!$F$27:$F$28</c:f>
              <c:numCache>
                <c:formatCode>0.00</c:formatCode>
                <c:ptCount val="2"/>
                <c:pt idx="0">
                  <c:v>0</c:v>
                </c:pt>
                <c:pt idx="1">
                  <c:v>51.961524227066313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D2-4B32-BFD3-2D38430BF1AC}"/>
            </c:ext>
          </c:extLst>
        </c:ser>
        <c:ser>
          <c:idx val="14"/>
          <c:order val="14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Triagulo'!$E$29:$E$30</c:f>
              <c:numCache>
                <c:formatCode>0.00</c:formatCode>
                <c:ptCount val="2"/>
                <c:pt idx="0">
                  <c:v>50</c:v>
                </c:pt>
                <c:pt idx="1">
                  <c:v>74.999999999999986</c:v>
                </c:pt>
              </c:numCache>
            </c:numRef>
          </c:xVal>
          <c:yVal>
            <c:numRef>
              <c:f>'Const. Triagulo'!$F$29:$F$30</c:f>
              <c:numCache>
                <c:formatCode>0.00</c:formatCode>
                <c:ptCount val="2"/>
                <c:pt idx="0">
                  <c:v>0</c:v>
                </c:pt>
                <c:pt idx="1">
                  <c:v>43.301270189221931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D2-4B32-BFD3-2D38430BF1AC}"/>
            </c:ext>
          </c:extLst>
        </c:ser>
        <c:ser>
          <c:idx val="15"/>
          <c:order val="15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Triagulo'!$E$31:$E$32</c:f>
              <c:numCache>
                <c:formatCode>0.00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'Const. Triagulo'!$F$31:$F$32</c:f>
              <c:numCache>
                <c:formatCode>0.00</c:formatCode>
                <c:ptCount val="2"/>
                <c:pt idx="0">
                  <c:v>0</c:v>
                </c:pt>
                <c:pt idx="1">
                  <c:v>34.641016151377542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D2-4B32-BFD3-2D38430BF1AC}"/>
            </c:ext>
          </c:extLst>
        </c:ser>
        <c:ser>
          <c:idx val="16"/>
          <c:order val="16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Triagulo'!$E$33:$E$34</c:f>
              <c:numCache>
                <c:formatCode>0.00</c:formatCode>
                <c:ptCount val="2"/>
                <c:pt idx="0">
                  <c:v>70</c:v>
                </c:pt>
                <c:pt idx="1">
                  <c:v>85</c:v>
                </c:pt>
              </c:numCache>
            </c:numRef>
          </c:xVal>
          <c:yVal>
            <c:numRef>
              <c:f>'Const. Triagulo'!$F$33:$F$34</c:f>
              <c:numCache>
                <c:formatCode>0.00</c:formatCode>
                <c:ptCount val="2"/>
                <c:pt idx="0">
                  <c:v>0</c:v>
                </c:pt>
                <c:pt idx="1">
                  <c:v>25.980762113533157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D2-4B32-BFD3-2D38430BF1AC}"/>
            </c:ext>
          </c:extLst>
        </c:ser>
        <c:ser>
          <c:idx val="17"/>
          <c:order val="17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Triagulo'!$E$35:$E$36</c:f>
              <c:numCache>
                <c:formatCode>0.00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xVal>
          <c:yVal>
            <c:numRef>
              <c:f>'Const. Triagulo'!$F$35:$F$36</c:f>
              <c:numCache>
                <c:formatCode>0.00</c:formatCode>
                <c:ptCount val="2"/>
                <c:pt idx="0">
                  <c:v>0</c:v>
                </c:pt>
                <c:pt idx="1">
                  <c:v>17.320508075688771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D2-4B32-BFD3-2D38430BF1AC}"/>
            </c:ext>
          </c:extLst>
        </c:ser>
        <c:ser>
          <c:idx val="18"/>
          <c:order val="18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Triagulo'!$E$37:$E$38</c:f>
              <c:numCache>
                <c:formatCode>0.00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xVal>
          <c:yVal>
            <c:numRef>
              <c:f>'Const. Triagulo'!$F$37:$F$38</c:f>
              <c:numCache>
                <c:formatCode>0.00</c:formatCode>
                <c:ptCount val="2"/>
                <c:pt idx="0">
                  <c:v>0</c:v>
                </c:pt>
                <c:pt idx="1">
                  <c:v>8.6602540378443855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D2-4B32-BFD3-2D38430BF1AC}"/>
            </c:ext>
          </c:extLst>
        </c:ser>
        <c:ser>
          <c:idx val="19"/>
          <c:order val="19"/>
          <c:spPr>
            <a:ln w="3175">
              <a:noFill/>
              <a:prstDash val="solid"/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ED2-4B32-BFD3-2D38430BF1AC}"/>
              </c:ext>
            </c:extLst>
          </c:dPt>
          <c:dPt>
            <c:idx val="1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ED2-4B32-BFD3-2D38430BF1AC}"/>
              </c:ext>
            </c:extLst>
          </c:dPt>
          <c:dPt>
            <c:idx val="2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ED2-4B32-BFD3-2D38430BF1AC}"/>
              </c:ext>
            </c:extLst>
          </c:dPt>
          <c:dPt>
            <c:idx val="3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ED2-4B32-BFD3-2D38430BF1AC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ED2-4B32-BFD3-2D38430BF1AC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ED2-4B32-BFD3-2D38430BF1AC}"/>
              </c:ext>
            </c:extLst>
          </c:dPt>
          <c:dPt>
            <c:idx val="6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ED2-4B32-BFD3-2D38430BF1AC}"/>
              </c:ext>
            </c:extLst>
          </c:dPt>
          <c:dPt>
            <c:idx val="7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ED2-4B32-BFD3-2D38430BF1AC}"/>
              </c:ext>
            </c:extLst>
          </c:dPt>
          <c:dPt>
            <c:idx val="8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ED2-4B32-BFD3-2D38430BF1AC}"/>
              </c:ext>
            </c:extLst>
          </c:dPt>
          <c:dPt>
            <c:idx val="9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ED2-4B32-BFD3-2D38430BF1AC}"/>
              </c:ext>
            </c:extLst>
          </c:dPt>
          <c:dPt>
            <c:idx val="10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ED2-4B32-BFD3-2D38430BF1AC}"/>
              </c:ext>
            </c:extLst>
          </c:dPt>
          <c:dPt>
            <c:idx val="11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ED2-4B32-BFD3-2D38430BF1AC}"/>
              </c:ext>
            </c:extLst>
          </c:dPt>
          <c:dPt>
            <c:idx val="12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ED2-4B32-BFD3-2D38430BF1AC}"/>
              </c:ext>
            </c:extLst>
          </c:dPt>
          <c:dPt>
            <c:idx val="13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ED2-4B32-BFD3-2D38430BF1AC}"/>
              </c:ext>
            </c:extLst>
          </c:dPt>
          <c:dPt>
            <c:idx val="14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ED2-4B32-BFD3-2D38430BF1AC}"/>
              </c:ext>
            </c:extLst>
          </c:dPt>
          <c:dPt>
            <c:idx val="15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ED2-4B32-BFD3-2D38430BF1AC}"/>
              </c:ext>
            </c:extLst>
          </c:dPt>
          <c:dPt>
            <c:idx val="16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ED2-4B32-BFD3-2D38430BF1AC}"/>
              </c:ext>
            </c:extLst>
          </c:dPt>
          <c:dPt>
            <c:idx val="17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ED2-4B32-BFD3-2D38430BF1AC}"/>
              </c:ext>
            </c:extLst>
          </c:dPt>
          <c:dPt>
            <c:idx val="18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ED2-4B32-BFD3-2D38430BF1AC}"/>
              </c:ext>
            </c:extLst>
          </c:dPt>
          <c:dPt>
            <c:idx val="19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ED2-4B32-BFD3-2D38430BF1AC}"/>
              </c:ext>
            </c:extLst>
          </c:dPt>
          <c:dPt>
            <c:idx val="20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ED2-4B32-BFD3-2D38430BF1AC}"/>
              </c:ext>
            </c:extLst>
          </c:dPt>
          <c:dPt>
            <c:idx val="21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ED2-4B32-BFD3-2D38430BF1AC}"/>
              </c:ext>
            </c:extLst>
          </c:dPt>
          <c:dPt>
            <c:idx val="22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ED2-4B32-BFD3-2D38430BF1AC}"/>
              </c:ext>
            </c:extLst>
          </c:dPt>
          <c:dPt>
            <c:idx val="23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ED2-4B32-BFD3-2D38430BF1AC}"/>
              </c:ext>
            </c:extLst>
          </c:dPt>
          <c:dPt>
            <c:idx val="24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ED2-4B32-BFD3-2D38430BF1AC}"/>
              </c:ext>
            </c:extLst>
          </c:dPt>
          <c:dPt>
            <c:idx val="25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ED2-4B32-BFD3-2D38430BF1AC}"/>
              </c:ext>
            </c:extLst>
          </c:dPt>
          <c:dPt>
            <c:idx val="26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ED2-4B32-BFD3-2D38430BF1AC}"/>
              </c:ext>
            </c:extLst>
          </c:dPt>
          <c:dPt>
            <c:idx val="27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ED2-4B32-BFD3-2D38430BF1AC}"/>
              </c:ext>
            </c:extLst>
          </c:dPt>
          <c:dPt>
            <c:idx val="28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ED2-4B32-BFD3-2D38430BF1AC}"/>
              </c:ext>
            </c:extLst>
          </c:dPt>
          <c:dPt>
            <c:idx val="29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ED2-4B32-BFD3-2D38430BF1AC}"/>
              </c:ext>
            </c:extLst>
          </c:dPt>
          <c:dPt>
            <c:idx val="30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ED2-4B32-BFD3-2D38430BF1AC}"/>
              </c:ext>
            </c:extLst>
          </c:dPt>
          <c:dPt>
            <c:idx val="31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ED2-4B32-BFD3-2D38430BF1AC}"/>
              </c:ext>
            </c:extLst>
          </c:dPt>
          <c:dPt>
            <c:idx val="32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ED2-4B32-BFD3-2D38430BF1AC}"/>
              </c:ext>
            </c:extLst>
          </c:dPt>
          <c:dPt>
            <c:idx val="33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ED2-4B32-BFD3-2D38430BF1AC}"/>
              </c:ext>
            </c:extLst>
          </c:dPt>
          <c:dPt>
            <c:idx val="34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ED2-4B32-BFD3-2D38430BF1AC}"/>
              </c:ext>
            </c:extLst>
          </c:dPt>
          <c:dPt>
            <c:idx val="35"/>
            <c:marker>
              <c:spPr>
                <a:solidFill>
                  <a:schemeClr val="bg1"/>
                </a:solidFill>
                <a:ln w="25400">
                  <a:solidFill>
                    <a:schemeClr val="bg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ED2-4B32-BFD3-2D38430BF1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3DC546D-D791-4CB8-A545-52DCED872DE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D2-4B32-BFD3-2D38430BF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36000" rIns="36000" bIns="19050" anchor="ctr">
                <a:spAutoFit/>
              </a:bodyPr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'Const. Triagulo'!$J$5:$J$5</c:f>
              <c:numCache>
                <c:formatCode>0.00</c:formatCode>
                <c:ptCount val="1"/>
                <c:pt idx="0">
                  <c:v>23.448631905008149</c:v>
                </c:pt>
              </c:numCache>
            </c:numRef>
          </c:xVal>
          <c:yVal>
            <c:numRef>
              <c:f>'Const. Triagulo'!$K$5:$K$5</c:f>
              <c:numCache>
                <c:formatCode>0.00</c:formatCode>
                <c:ptCount val="1"/>
                <c:pt idx="0">
                  <c:v>23.016514087156771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'Classificação Textural'!$K$4</c15:f>
                <c15:dlblRangeCache>
                  <c:ptCount val="1"/>
                  <c:pt idx="0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7ED2-4B32-BFD3-2D38430BF1AC}"/>
            </c:ext>
          </c:extLst>
        </c:ser>
        <c:ser>
          <c:idx val="20"/>
          <c:order val="20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Triagulo'!$E$39:$E$40</c:f>
              <c:numCache>
                <c:formatCode>0.00</c:formatCode>
                <c:ptCount val="2"/>
                <c:pt idx="0">
                  <c:v>4.9999999999999982</c:v>
                </c:pt>
                <c:pt idx="1">
                  <c:v>95</c:v>
                </c:pt>
              </c:numCache>
            </c:numRef>
          </c:xVal>
          <c:yVal>
            <c:numRef>
              <c:f>'Const. Triagulo'!$F$39:$F$40</c:f>
              <c:numCache>
                <c:formatCode>0.00</c:formatCode>
                <c:ptCount val="2"/>
                <c:pt idx="0">
                  <c:v>8.6602540378443855</c:v>
                </c:pt>
                <c:pt idx="1">
                  <c:v>8.6602540378443855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D2-4B32-BFD3-2D38430BF1AC}"/>
            </c:ext>
          </c:extLst>
        </c:ser>
        <c:ser>
          <c:idx val="21"/>
          <c:order val="21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Triagulo'!$E$41:$E$42</c:f>
              <c:numCache>
                <c:formatCode>0.00</c:formatCode>
                <c:ptCount val="2"/>
                <c:pt idx="0">
                  <c:v>9.9999999999999964</c:v>
                </c:pt>
                <c:pt idx="1">
                  <c:v>90</c:v>
                </c:pt>
              </c:numCache>
            </c:numRef>
          </c:xVal>
          <c:yVal>
            <c:numRef>
              <c:f>'Const. Triagulo'!$F$41:$F$42</c:f>
              <c:numCache>
                <c:formatCode>0.00</c:formatCode>
                <c:ptCount val="2"/>
                <c:pt idx="0">
                  <c:v>17.320508075688771</c:v>
                </c:pt>
                <c:pt idx="1">
                  <c:v>17.320508075688771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ED2-4B32-BFD3-2D38430BF1AC}"/>
            </c:ext>
          </c:extLst>
        </c:ser>
        <c:ser>
          <c:idx val="22"/>
          <c:order val="22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Triagulo'!$E$43:$E$44</c:f>
              <c:numCache>
                <c:formatCode>0.00</c:formatCode>
                <c:ptCount val="2"/>
                <c:pt idx="0">
                  <c:v>14.999999999999996</c:v>
                </c:pt>
                <c:pt idx="1">
                  <c:v>85</c:v>
                </c:pt>
              </c:numCache>
            </c:numRef>
          </c:xVal>
          <c:yVal>
            <c:numRef>
              <c:f>'Const. Triagulo'!$F$43:$F$44</c:f>
              <c:numCache>
                <c:formatCode>0.00</c:formatCode>
                <c:ptCount val="2"/>
                <c:pt idx="0">
                  <c:v>25.980762113533157</c:v>
                </c:pt>
                <c:pt idx="1">
                  <c:v>25.980762113533157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ED2-4B32-BFD3-2D38430BF1AC}"/>
            </c:ext>
          </c:extLst>
        </c:ser>
        <c:ser>
          <c:idx val="23"/>
          <c:order val="23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Triagulo'!$E$45:$E$46</c:f>
              <c:numCache>
                <c:formatCode>0.00</c:formatCode>
                <c:ptCount val="2"/>
                <c:pt idx="0">
                  <c:v>19.999999999999993</c:v>
                </c:pt>
                <c:pt idx="1">
                  <c:v>80</c:v>
                </c:pt>
              </c:numCache>
            </c:numRef>
          </c:xVal>
          <c:yVal>
            <c:numRef>
              <c:f>'Const. Triagulo'!$F$45:$F$46</c:f>
              <c:numCache>
                <c:formatCode>0.00</c:formatCode>
                <c:ptCount val="2"/>
                <c:pt idx="0">
                  <c:v>34.641016151377542</c:v>
                </c:pt>
                <c:pt idx="1">
                  <c:v>34.641016151377542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D2-4B32-BFD3-2D38430BF1AC}"/>
            </c:ext>
          </c:extLst>
        </c:ser>
        <c:ser>
          <c:idx val="24"/>
          <c:order val="24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Triagulo'!$E$47:$E$48</c:f>
              <c:numCache>
                <c:formatCode>0.00</c:formatCode>
                <c:ptCount val="2"/>
                <c:pt idx="0">
                  <c:v>24.999999999999982</c:v>
                </c:pt>
                <c:pt idx="1">
                  <c:v>74.999999999999986</c:v>
                </c:pt>
              </c:numCache>
            </c:numRef>
          </c:xVal>
          <c:yVal>
            <c:numRef>
              <c:f>'Const. Triagulo'!$F$47:$F$48</c:f>
              <c:numCache>
                <c:formatCode>0.00</c:formatCode>
                <c:ptCount val="2"/>
                <c:pt idx="0">
                  <c:v>43.301270189221931</c:v>
                </c:pt>
                <c:pt idx="1">
                  <c:v>43.301270189221931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ED2-4B32-BFD3-2D38430BF1AC}"/>
            </c:ext>
          </c:extLst>
        </c:ser>
        <c:ser>
          <c:idx val="25"/>
          <c:order val="25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Triagulo'!$E$49:$E$50</c:f>
              <c:numCache>
                <c:formatCode>0.00</c:formatCode>
                <c:ptCount val="2"/>
                <c:pt idx="0">
                  <c:v>29.999999999999993</c:v>
                </c:pt>
                <c:pt idx="1">
                  <c:v>70</c:v>
                </c:pt>
              </c:numCache>
            </c:numRef>
          </c:xVal>
          <c:yVal>
            <c:numRef>
              <c:f>'Const. Triagulo'!$F$49:$F$50</c:f>
              <c:numCache>
                <c:formatCode>0.00</c:formatCode>
                <c:ptCount val="2"/>
                <c:pt idx="0">
                  <c:v>51.961524227066313</c:v>
                </c:pt>
                <c:pt idx="1">
                  <c:v>51.961524227066313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ED2-4B32-BFD3-2D38430BF1AC}"/>
            </c:ext>
          </c:extLst>
        </c:ser>
        <c:ser>
          <c:idx val="26"/>
          <c:order val="26"/>
          <c:tx>
            <c:strRef>
              <c:f>'Const. Triagulo'!$E$51:$E$52</c:f>
              <c:strCache>
                <c:ptCount val="2"/>
                <c:pt idx="0">
                  <c:v>35.00</c:v>
                </c:pt>
                <c:pt idx="1">
                  <c:v>65.00</c:v>
                </c:pt>
              </c:strCache>
            </c:strRef>
          </c:tx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Triagulo'!$E$51:$E$52</c:f>
              <c:numCache>
                <c:formatCode>0.00</c:formatCode>
                <c:ptCount val="2"/>
                <c:pt idx="0">
                  <c:v>34.999999999999979</c:v>
                </c:pt>
                <c:pt idx="1">
                  <c:v>64.999999999999972</c:v>
                </c:pt>
              </c:numCache>
            </c:numRef>
          </c:xVal>
          <c:yVal>
            <c:numRef>
              <c:f>'Const. Triagulo'!$F$51:$F$52</c:f>
              <c:numCache>
                <c:formatCode>0.00</c:formatCode>
                <c:ptCount val="2"/>
                <c:pt idx="0">
                  <c:v>60.621778264910702</c:v>
                </c:pt>
                <c:pt idx="1">
                  <c:v>60.621778264910702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D2-4B32-BFD3-2D38430BF1AC}"/>
            </c:ext>
          </c:extLst>
        </c:ser>
        <c:ser>
          <c:idx val="27"/>
          <c:order val="27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Triagulo'!$E$53:$E$54</c:f>
              <c:numCache>
                <c:formatCode>0.00</c:formatCode>
                <c:ptCount val="2"/>
                <c:pt idx="0">
                  <c:v>39.999999999999986</c:v>
                </c:pt>
                <c:pt idx="1">
                  <c:v>59.999999999999986</c:v>
                </c:pt>
              </c:numCache>
            </c:numRef>
          </c:xVal>
          <c:yVal>
            <c:numRef>
              <c:f>'Const. Triagulo'!$F$53:$F$54</c:f>
              <c:numCache>
                <c:formatCode>0.00</c:formatCode>
                <c:ptCount val="2"/>
                <c:pt idx="0">
                  <c:v>69.282032302755084</c:v>
                </c:pt>
                <c:pt idx="1">
                  <c:v>69.282032302755084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ED2-4B32-BFD3-2D38430BF1AC}"/>
            </c:ext>
          </c:extLst>
        </c:ser>
        <c:ser>
          <c:idx val="28"/>
          <c:order val="28"/>
          <c:spPr>
            <a:ln w="3175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'Const. Triagulo'!$E$55:$E$56</c:f>
              <c:numCache>
                <c:formatCode>0.00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xVal>
          <c:yVal>
            <c:numRef>
              <c:f>'Const. Triagulo'!$F$55:$F$56</c:f>
              <c:numCache>
                <c:formatCode>0.00</c:formatCode>
                <c:ptCount val="2"/>
                <c:pt idx="0">
                  <c:v>77.94228634059948</c:v>
                </c:pt>
                <c:pt idx="1">
                  <c:v>77.94228634059948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ED2-4B32-BFD3-2D38430B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78360"/>
        <c:axId val="437980712"/>
      </c:scatterChart>
      <c:valAx>
        <c:axId val="437978360"/>
        <c:scaling>
          <c:orientation val="minMax"/>
          <c:max val="110"/>
          <c:min val="-10"/>
        </c:scaling>
        <c:delete val="1"/>
        <c:axPos val="b"/>
        <c:numFmt formatCode="#,##0.00" sourceLinked="0"/>
        <c:majorTickMark val="out"/>
        <c:minorTickMark val="none"/>
        <c:tickLblPos val="none"/>
        <c:crossAx val="437980712"/>
        <c:crossesAt val="-10"/>
        <c:crossBetween val="midCat"/>
      </c:valAx>
      <c:valAx>
        <c:axId val="437980712"/>
        <c:scaling>
          <c:orientation val="minMax"/>
          <c:max val="90"/>
          <c:min val="-10"/>
        </c:scaling>
        <c:delete val="1"/>
        <c:axPos val="l"/>
        <c:numFmt formatCode="0.00" sourceLinked="1"/>
        <c:majorTickMark val="out"/>
        <c:minorTickMark val="none"/>
        <c:tickLblPos val="none"/>
        <c:crossAx val="437978360"/>
        <c:crossesAt val="-10"/>
        <c:crossBetween val="midCat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  <c:userShapes r:id="rId1"/>
</c:chartSpace>
</file>

<file path=xl/ctrlProps/ctrlProp1.xml><?xml version="1.0" encoding="utf-8"?>
<formControlPr xmlns="http://schemas.microsoft.com/office/spreadsheetml/2009/9/main" objectType="Drop" dropLines="24" dropStyle="combo" dx="16" fmlaLink="$K$4" fmlaRange="$A$8:$A$31" sel="2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Qualidade dos Dados'!A1"/><Relationship Id="rId7" Type="http://schemas.openxmlformats.org/officeDocument/2006/relationships/image" Target="../media/image1.png"/><Relationship Id="rId2" Type="http://schemas.openxmlformats.org/officeDocument/2006/relationships/hyperlink" Target="#'Entrada de dados'!A1"/><Relationship Id="rId1" Type="http://schemas.openxmlformats.org/officeDocument/2006/relationships/hyperlink" Target="#Leia_antes_de_usar!A1"/><Relationship Id="rId6" Type="http://schemas.openxmlformats.org/officeDocument/2006/relationships/hyperlink" Target="http://codigoagro.com/" TargetMode="External"/><Relationship Id="rId5" Type="http://schemas.openxmlformats.org/officeDocument/2006/relationships/hyperlink" Target="#Protocolo!A1"/><Relationship Id="rId4" Type="http://schemas.openxmlformats.org/officeDocument/2006/relationships/hyperlink" Target="#'Classifica&#231;&#227;o Textur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Qualidade dos Dados'!A1"/><Relationship Id="rId2" Type="http://schemas.openxmlformats.org/officeDocument/2006/relationships/hyperlink" Target="#'Entrada de dados'!A1"/><Relationship Id="rId1" Type="http://schemas.openxmlformats.org/officeDocument/2006/relationships/hyperlink" Target="#Leia_antes_de_usar!A1"/><Relationship Id="rId5" Type="http://schemas.openxmlformats.org/officeDocument/2006/relationships/hyperlink" Target="#Protocolo!A1"/><Relationship Id="rId4" Type="http://schemas.openxmlformats.org/officeDocument/2006/relationships/hyperlink" Target="#'Classifica&#231;&#227;o Textural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Qualidade dos Dados'!A1"/><Relationship Id="rId2" Type="http://schemas.openxmlformats.org/officeDocument/2006/relationships/hyperlink" Target="#'Entrada de dados'!A1"/><Relationship Id="rId1" Type="http://schemas.openxmlformats.org/officeDocument/2006/relationships/hyperlink" Target="#Leia_antes_de_usar!A1"/><Relationship Id="rId5" Type="http://schemas.openxmlformats.org/officeDocument/2006/relationships/hyperlink" Target="#Protocolo!A1"/><Relationship Id="rId4" Type="http://schemas.openxmlformats.org/officeDocument/2006/relationships/hyperlink" Target="#'Classifica&#231;&#227;o Textural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Qualidade dos Dados'!A1"/><Relationship Id="rId7" Type="http://schemas.openxmlformats.org/officeDocument/2006/relationships/image" Target="../media/image2.png"/><Relationship Id="rId2" Type="http://schemas.openxmlformats.org/officeDocument/2006/relationships/hyperlink" Target="#'Entrada de dados'!A1"/><Relationship Id="rId1" Type="http://schemas.openxmlformats.org/officeDocument/2006/relationships/hyperlink" Target="#Leia_antes_de_usar!A1"/><Relationship Id="rId6" Type="http://schemas.openxmlformats.org/officeDocument/2006/relationships/chart" Target="../charts/chart1.xml"/><Relationship Id="rId5" Type="http://schemas.openxmlformats.org/officeDocument/2006/relationships/hyperlink" Target="#Protocolo!A1"/><Relationship Id="rId4" Type="http://schemas.openxmlformats.org/officeDocument/2006/relationships/hyperlink" Target="#'Classifica&#231;&#227;o Textural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Qualidade dos Dados'!A1"/><Relationship Id="rId2" Type="http://schemas.openxmlformats.org/officeDocument/2006/relationships/hyperlink" Target="#'Entrada de dados'!A1"/><Relationship Id="rId1" Type="http://schemas.openxmlformats.org/officeDocument/2006/relationships/hyperlink" Target="#Leia_antes_de_usar!A1"/><Relationship Id="rId5" Type="http://schemas.openxmlformats.org/officeDocument/2006/relationships/hyperlink" Target="#Protocolo!A1"/><Relationship Id="rId4" Type="http://schemas.openxmlformats.org/officeDocument/2006/relationships/hyperlink" Target="#'Classifica&#231;&#227;o Textu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85725</xdr:rowOff>
    </xdr:from>
    <xdr:to>
      <xdr:col>3</xdr:col>
      <xdr:colOff>28576</xdr:colOff>
      <xdr:row>3</xdr:row>
      <xdr:rowOff>133350</xdr:rowOff>
    </xdr:to>
    <xdr:sp macro="" textlink="">
      <xdr:nvSpPr>
        <xdr:cNvPr id="2" name="Retângulo de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619126" y="276225"/>
          <a:ext cx="1238250" cy="428625"/>
        </a:xfrm>
        <a:prstGeom prst="roundRect">
          <a:avLst/>
        </a:prstGeom>
        <a:solidFill>
          <a:schemeClr val="accent2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Home</a:t>
          </a:r>
        </a:p>
      </xdr:txBody>
    </xdr:sp>
    <xdr:clientData/>
  </xdr:twoCellAnchor>
  <xdr:twoCellAnchor>
    <xdr:from>
      <xdr:col>3</xdr:col>
      <xdr:colOff>28575</xdr:colOff>
      <xdr:row>1</xdr:row>
      <xdr:rowOff>85724</xdr:rowOff>
    </xdr:from>
    <xdr:to>
      <xdr:col>5</xdr:col>
      <xdr:colOff>47775</xdr:colOff>
      <xdr:row>3</xdr:row>
      <xdr:rowOff>133349</xdr:rowOff>
    </xdr:to>
    <xdr:sp macro="" textlink="">
      <xdr:nvSpPr>
        <xdr:cNvPr id="3" name="Retângulo de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1857375" y="276224"/>
          <a:ext cx="1238400" cy="428625"/>
        </a:xfrm>
        <a:prstGeom prst="round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Entrada de Dados</a:t>
          </a:r>
        </a:p>
      </xdr:txBody>
    </xdr:sp>
    <xdr:clientData/>
  </xdr:twoCellAnchor>
  <xdr:twoCellAnchor>
    <xdr:from>
      <xdr:col>5</xdr:col>
      <xdr:colOff>47625</xdr:colOff>
      <xdr:row>1</xdr:row>
      <xdr:rowOff>82708</xdr:rowOff>
    </xdr:from>
    <xdr:to>
      <xdr:col>7</xdr:col>
      <xdr:colOff>66825</xdr:colOff>
      <xdr:row>3</xdr:row>
      <xdr:rowOff>130333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3095625" y="273208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Qualidade dos dados</a:t>
          </a:r>
        </a:p>
      </xdr:txBody>
    </xdr:sp>
    <xdr:clientData/>
  </xdr:twoCellAnchor>
  <xdr:twoCellAnchor>
    <xdr:from>
      <xdr:col>7</xdr:col>
      <xdr:colOff>66675</xdr:colOff>
      <xdr:row>1</xdr:row>
      <xdr:rowOff>89217</xdr:rowOff>
    </xdr:from>
    <xdr:to>
      <xdr:col>9</xdr:col>
      <xdr:colOff>85875</xdr:colOff>
      <xdr:row>3</xdr:row>
      <xdr:rowOff>136842</xdr:rowOff>
    </xdr:to>
    <xdr:sp macro="" textlink="">
      <xdr:nvSpPr>
        <xdr:cNvPr id="5" name="Retângulo de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4333875" y="279717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Classificação Textural </a:t>
          </a:r>
        </a:p>
      </xdr:txBody>
    </xdr:sp>
    <xdr:clientData/>
  </xdr:twoCellAnchor>
  <xdr:twoCellAnchor>
    <xdr:from>
      <xdr:col>9</xdr:col>
      <xdr:colOff>85725</xdr:colOff>
      <xdr:row>1</xdr:row>
      <xdr:rowOff>89217</xdr:rowOff>
    </xdr:from>
    <xdr:to>
      <xdr:col>11</xdr:col>
      <xdr:colOff>104925</xdr:colOff>
      <xdr:row>3</xdr:row>
      <xdr:rowOff>136842</xdr:rowOff>
    </xdr:to>
    <xdr:sp macro="" textlink="">
      <xdr:nvSpPr>
        <xdr:cNvPr id="14" name="Retângulo de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5572125" y="279717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Protocolo</a:t>
          </a:r>
          <a:r>
            <a:rPr lang="pt-BR" sz="1200" b="1" baseline="0">
              <a:latin typeface="Bell MT" panose="02020503060305020303" pitchFamily="18" charset="0"/>
            </a:rPr>
            <a:t> de determinação</a:t>
          </a:r>
          <a:endParaRPr lang="pt-BR" sz="1200" b="1">
            <a:latin typeface="Bell MT" panose="02020503060305020303" pitchFamily="18" charset="0"/>
          </a:endParaRPr>
        </a:p>
      </xdr:txBody>
    </xdr:sp>
    <xdr:clientData/>
  </xdr:twoCellAnchor>
  <xdr:twoCellAnchor editAs="oneCell">
    <xdr:from>
      <xdr:col>16</xdr:col>
      <xdr:colOff>28575</xdr:colOff>
      <xdr:row>0</xdr:row>
      <xdr:rowOff>114299</xdr:rowOff>
    </xdr:from>
    <xdr:to>
      <xdr:col>18</xdr:col>
      <xdr:colOff>85725</xdr:colOff>
      <xdr:row>5</xdr:row>
      <xdr:rowOff>152463</xdr:rowOff>
    </xdr:to>
    <xdr:pic>
      <xdr:nvPicPr>
        <xdr:cNvPr id="9" name="Imagem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114299"/>
          <a:ext cx="1276350" cy="1038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81458</xdr:rowOff>
    </xdr:from>
    <xdr:to>
      <xdr:col>2</xdr:col>
      <xdr:colOff>285750</xdr:colOff>
      <xdr:row>3</xdr:row>
      <xdr:rowOff>129083</xdr:rowOff>
    </xdr:to>
    <xdr:sp macro="" textlink="">
      <xdr:nvSpPr>
        <xdr:cNvPr id="10" name="Retângulo de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941294" y="271958"/>
          <a:ext cx="1238250" cy="428625"/>
        </a:xfrm>
        <a:prstGeom prst="round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Home</a:t>
          </a:r>
        </a:p>
      </xdr:txBody>
    </xdr:sp>
    <xdr:clientData/>
  </xdr:twoCellAnchor>
  <xdr:twoCellAnchor>
    <xdr:from>
      <xdr:col>2</xdr:col>
      <xdr:colOff>285749</xdr:colOff>
      <xdr:row>1</xdr:row>
      <xdr:rowOff>81457</xdr:rowOff>
    </xdr:from>
    <xdr:to>
      <xdr:col>3</xdr:col>
      <xdr:colOff>134619</xdr:colOff>
      <xdr:row>3</xdr:row>
      <xdr:rowOff>129082</xdr:rowOff>
    </xdr:to>
    <xdr:sp macro="" textlink="">
      <xdr:nvSpPr>
        <xdr:cNvPr id="11" name="Retângulo de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2179543" y="271957"/>
          <a:ext cx="1238400" cy="428625"/>
        </a:xfrm>
        <a:prstGeom prst="roundRect">
          <a:avLst/>
        </a:prstGeom>
        <a:solidFill>
          <a:schemeClr val="accent2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Entrada de Dados</a:t>
          </a:r>
        </a:p>
      </xdr:txBody>
    </xdr:sp>
    <xdr:clientData/>
  </xdr:twoCellAnchor>
  <xdr:twoCellAnchor>
    <xdr:from>
      <xdr:col>3</xdr:col>
      <xdr:colOff>134469</xdr:colOff>
      <xdr:row>1</xdr:row>
      <xdr:rowOff>78441</xdr:rowOff>
    </xdr:from>
    <xdr:to>
      <xdr:col>3</xdr:col>
      <xdr:colOff>1372869</xdr:colOff>
      <xdr:row>3</xdr:row>
      <xdr:rowOff>126066</xdr:rowOff>
    </xdr:to>
    <xdr:sp macro="" textlink="">
      <xdr:nvSpPr>
        <xdr:cNvPr id="12" name="Retângulo de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417793" y="268941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Qualidade dos dados</a:t>
          </a:r>
        </a:p>
      </xdr:txBody>
    </xdr:sp>
    <xdr:clientData/>
  </xdr:twoCellAnchor>
  <xdr:twoCellAnchor>
    <xdr:from>
      <xdr:col>3</xdr:col>
      <xdr:colOff>1372719</xdr:colOff>
      <xdr:row>1</xdr:row>
      <xdr:rowOff>84950</xdr:rowOff>
    </xdr:from>
    <xdr:to>
      <xdr:col>4</xdr:col>
      <xdr:colOff>1221590</xdr:colOff>
      <xdr:row>3</xdr:row>
      <xdr:rowOff>132575</xdr:rowOff>
    </xdr:to>
    <xdr:sp macro="" textlink="">
      <xdr:nvSpPr>
        <xdr:cNvPr id="13" name="Retângulo de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4656043" y="275450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Classificação Textural </a:t>
          </a:r>
        </a:p>
      </xdr:txBody>
    </xdr:sp>
    <xdr:clientData/>
  </xdr:twoCellAnchor>
  <xdr:twoCellAnchor>
    <xdr:from>
      <xdr:col>4</xdr:col>
      <xdr:colOff>1221440</xdr:colOff>
      <xdr:row>1</xdr:row>
      <xdr:rowOff>84950</xdr:rowOff>
    </xdr:from>
    <xdr:to>
      <xdr:col>5</xdr:col>
      <xdr:colOff>1081517</xdr:colOff>
      <xdr:row>3</xdr:row>
      <xdr:rowOff>132575</xdr:rowOff>
    </xdr:to>
    <xdr:sp macro="" textlink="">
      <xdr:nvSpPr>
        <xdr:cNvPr id="14" name="Retângulo de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894293" y="275450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Protocolo</a:t>
          </a:r>
          <a:r>
            <a:rPr lang="pt-BR" sz="1200" b="1" baseline="0">
              <a:latin typeface="Bell MT" panose="02020503060305020303" pitchFamily="18" charset="0"/>
            </a:rPr>
            <a:t> de determinação</a:t>
          </a:r>
          <a:endParaRPr lang="pt-BR" sz="1200" b="1">
            <a:latin typeface="Bell MT" panose="020205030603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89647</xdr:colOff>
      <xdr:row>1</xdr:row>
      <xdr:rowOff>103870</xdr:rowOff>
    </xdr:from>
    <xdr:to>
      <xdr:col>2</xdr:col>
      <xdr:colOff>375397</xdr:colOff>
      <xdr:row>3</xdr:row>
      <xdr:rowOff>151495</xdr:rowOff>
    </xdr:to>
    <xdr:sp macro="" textlink="">
      <xdr:nvSpPr>
        <xdr:cNvPr id="6" name="Retângulo de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1008529" y="294370"/>
          <a:ext cx="1238250" cy="428625"/>
        </a:xfrm>
        <a:prstGeom prst="round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Home</a:t>
          </a:r>
        </a:p>
      </xdr:txBody>
    </xdr:sp>
    <xdr:clientData/>
  </xdr:twoCellAnchor>
  <xdr:twoCellAnchor>
    <xdr:from>
      <xdr:col>2</xdr:col>
      <xdr:colOff>375396</xdr:colOff>
      <xdr:row>1</xdr:row>
      <xdr:rowOff>103869</xdr:rowOff>
    </xdr:from>
    <xdr:to>
      <xdr:col>3</xdr:col>
      <xdr:colOff>560443</xdr:colOff>
      <xdr:row>3</xdr:row>
      <xdr:rowOff>151494</xdr:rowOff>
    </xdr:to>
    <xdr:sp macro="" textlink="">
      <xdr:nvSpPr>
        <xdr:cNvPr id="7" name="Retângulo de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2246778" y="294369"/>
          <a:ext cx="1238400" cy="428625"/>
        </a:xfrm>
        <a:prstGeom prst="round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Entrada de Dados</a:t>
          </a:r>
        </a:p>
      </xdr:txBody>
    </xdr:sp>
    <xdr:clientData/>
  </xdr:twoCellAnchor>
  <xdr:twoCellAnchor>
    <xdr:from>
      <xdr:col>3</xdr:col>
      <xdr:colOff>560293</xdr:colOff>
      <xdr:row>1</xdr:row>
      <xdr:rowOff>100853</xdr:rowOff>
    </xdr:from>
    <xdr:to>
      <xdr:col>4</xdr:col>
      <xdr:colOff>745340</xdr:colOff>
      <xdr:row>3</xdr:row>
      <xdr:rowOff>148478</xdr:rowOff>
    </xdr:to>
    <xdr:sp macro="" textlink="">
      <xdr:nvSpPr>
        <xdr:cNvPr id="8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3485028" y="291353"/>
          <a:ext cx="1238400" cy="428625"/>
        </a:xfrm>
        <a:prstGeom prst="roundRect">
          <a:avLst/>
        </a:prstGeom>
        <a:solidFill>
          <a:schemeClr val="accent2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Qualidade dos dados</a:t>
          </a:r>
        </a:p>
      </xdr:txBody>
    </xdr:sp>
    <xdr:clientData/>
  </xdr:twoCellAnchor>
  <xdr:twoCellAnchor>
    <xdr:from>
      <xdr:col>4</xdr:col>
      <xdr:colOff>745190</xdr:colOff>
      <xdr:row>1</xdr:row>
      <xdr:rowOff>107362</xdr:rowOff>
    </xdr:from>
    <xdr:to>
      <xdr:col>5</xdr:col>
      <xdr:colOff>773354</xdr:colOff>
      <xdr:row>3</xdr:row>
      <xdr:rowOff>154987</xdr:rowOff>
    </xdr:to>
    <xdr:sp macro="" textlink="">
      <xdr:nvSpPr>
        <xdr:cNvPr id="9" name="Retângulo de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4723278" y="297862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Classificação Textural </a:t>
          </a:r>
        </a:p>
      </xdr:txBody>
    </xdr:sp>
    <xdr:clientData/>
  </xdr:twoCellAnchor>
  <xdr:twoCellAnchor>
    <xdr:from>
      <xdr:col>5</xdr:col>
      <xdr:colOff>773204</xdr:colOff>
      <xdr:row>1</xdr:row>
      <xdr:rowOff>107362</xdr:rowOff>
    </xdr:from>
    <xdr:to>
      <xdr:col>7</xdr:col>
      <xdr:colOff>442781</xdr:colOff>
      <xdr:row>3</xdr:row>
      <xdr:rowOff>154987</xdr:rowOff>
    </xdr:to>
    <xdr:sp macro="" textlink="">
      <xdr:nvSpPr>
        <xdr:cNvPr id="10" name="Retângulo de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5961528" y="297862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Protocolo</a:t>
          </a:r>
          <a:r>
            <a:rPr lang="pt-BR" sz="1200" b="1" baseline="0">
              <a:latin typeface="Bell MT" panose="02020503060305020303" pitchFamily="18" charset="0"/>
            </a:rPr>
            <a:t> de determinação</a:t>
          </a:r>
          <a:endParaRPr lang="pt-BR" sz="1200" b="1">
            <a:latin typeface="Bell MT" panose="020205030603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59046</xdr:rowOff>
    </xdr:from>
    <xdr:to>
      <xdr:col>1</xdr:col>
      <xdr:colOff>733985</xdr:colOff>
      <xdr:row>3</xdr:row>
      <xdr:rowOff>106671</xdr:rowOff>
    </xdr:to>
    <xdr:sp macro="" textlink="">
      <xdr:nvSpPr>
        <xdr:cNvPr id="11" name="Retângulo de cantos arredondado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 bwMode="auto">
        <a:xfrm>
          <a:off x="392206" y="249546"/>
          <a:ext cx="1238250" cy="428625"/>
        </a:xfrm>
        <a:prstGeom prst="round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Home</a:t>
          </a:r>
        </a:p>
      </xdr:txBody>
    </xdr:sp>
    <xdr:clientData/>
  </xdr:twoCellAnchor>
  <xdr:twoCellAnchor>
    <xdr:from>
      <xdr:col>1</xdr:col>
      <xdr:colOff>733984</xdr:colOff>
      <xdr:row>1</xdr:row>
      <xdr:rowOff>59045</xdr:rowOff>
    </xdr:from>
    <xdr:to>
      <xdr:col>3</xdr:col>
      <xdr:colOff>257884</xdr:colOff>
      <xdr:row>3</xdr:row>
      <xdr:rowOff>106670</xdr:rowOff>
    </xdr:to>
    <xdr:sp macro="" textlink="">
      <xdr:nvSpPr>
        <xdr:cNvPr id="12" name="Retângulo de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1630455" y="249545"/>
          <a:ext cx="1238400" cy="428625"/>
        </a:xfrm>
        <a:prstGeom prst="round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Entrada de Dados</a:t>
          </a:r>
        </a:p>
      </xdr:txBody>
    </xdr:sp>
    <xdr:clientData/>
  </xdr:twoCellAnchor>
  <xdr:twoCellAnchor>
    <xdr:from>
      <xdr:col>3</xdr:col>
      <xdr:colOff>257734</xdr:colOff>
      <xdr:row>1</xdr:row>
      <xdr:rowOff>56029</xdr:rowOff>
    </xdr:from>
    <xdr:to>
      <xdr:col>4</xdr:col>
      <xdr:colOff>678105</xdr:colOff>
      <xdr:row>3</xdr:row>
      <xdr:rowOff>103654</xdr:rowOff>
    </xdr:to>
    <xdr:sp macro="" textlink="">
      <xdr:nvSpPr>
        <xdr:cNvPr id="13" name="Retângulo de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 bwMode="auto">
        <a:xfrm>
          <a:off x="2868705" y="246529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Qualidade dos dados</a:t>
          </a:r>
        </a:p>
      </xdr:txBody>
    </xdr:sp>
    <xdr:clientData/>
  </xdr:twoCellAnchor>
  <xdr:twoCellAnchor>
    <xdr:from>
      <xdr:col>4</xdr:col>
      <xdr:colOff>677955</xdr:colOff>
      <xdr:row>1</xdr:row>
      <xdr:rowOff>62538</xdr:rowOff>
    </xdr:from>
    <xdr:to>
      <xdr:col>6</xdr:col>
      <xdr:colOff>224267</xdr:colOff>
      <xdr:row>3</xdr:row>
      <xdr:rowOff>110163</xdr:rowOff>
    </xdr:to>
    <xdr:sp macro="" textlink="">
      <xdr:nvSpPr>
        <xdr:cNvPr id="14" name="Retângulo de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 bwMode="auto">
        <a:xfrm>
          <a:off x="4106955" y="253038"/>
          <a:ext cx="1238400" cy="428625"/>
        </a:xfrm>
        <a:prstGeom prst="roundRect">
          <a:avLst/>
        </a:prstGeom>
        <a:solidFill>
          <a:schemeClr val="accent2">
            <a:lumMod val="7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Classificação Textural </a:t>
          </a:r>
        </a:p>
      </xdr:txBody>
    </xdr:sp>
    <xdr:clientData/>
  </xdr:twoCellAnchor>
  <xdr:twoCellAnchor>
    <xdr:from>
      <xdr:col>6</xdr:col>
      <xdr:colOff>224117</xdr:colOff>
      <xdr:row>1</xdr:row>
      <xdr:rowOff>62538</xdr:rowOff>
    </xdr:from>
    <xdr:to>
      <xdr:col>7</xdr:col>
      <xdr:colOff>666899</xdr:colOff>
      <xdr:row>3</xdr:row>
      <xdr:rowOff>110163</xdr:rowOff>
    </xdr:to>
    <xdr:sp macro="" textlink="">
      <xdr:nvSpPr>
        <xdr:cNvPr id="15" name="Retângulo de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 bwMode="auto">
        <a:xfrm>
          <a:off x="5345205" y="253038"/>
          <a:ext cx="1238400" cy="42862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latin typeface="Bell MT" panose="02020503060305020303" pitchFamily="18" charset="0"/>
            </a:rPr>
            <a:t>Protocolo</a:t>
          </a:r>
          <a:r>
            <a:rPr lang="pt-BR" sz="1200" b="1" baseline="0">
              <a:latin typeface="Bell MT" panose="02020503060305020303" pitchFamily="18" charset="0"/>
            </a:rPr>
            <a:t> de determinação</a:t>
          </a:r>
          <a:endParaRPr lang="pt-BR" sz="1200" b="1">
            <a:latin typeface="Bell MT" panose="02020503060305020303" pitchFamily="18" charset="0"/>
          </a:endParaRPr>
        </a:p>
      </xdr:txBody>
    </xdr:sp>
    <xdr:clientData/>
  </xdr:twoCellAnchor>
  <xdr:twoCellAnchor>
    <xdr:from>
      <xdr:col>9</xdr:col>
      <xdr:colOff>347382</xdr:colOff>
      <xdr:row>6</xdr:row>
      <xdr:rowOff>100853</xdr:rowOff>
    </xdr:from>
    <xdr:to>
      <xdr:col>15</xdr:col>
      <xdr:colOff>169208</xdr:colOff>
      <xdr:row>26</xdr:row>
      <xdr:rowOff>60371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7914465" y="1243853"/>
          <a:ext cx="4076326" cy="3769518"/>
          <a:chOff x="8628529" y="1524000"/>
          <a:chExt cx="4057650" cy="3769518"/>
        </a:xfrm>
        <a:noFill/>
      </xdr:grpSpPr>
      <xdr:graphicFrame macro="">
        <xdr:nvGraphicFramePr>
          <xdr:cNvPr id="8" name="Chart 1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GraphicFramePr>
            <a:graphicFrameLocks/>
          </xdr:cNvGraphicFramePr>
        </xdr:nvGraphicFramePr>
        <xdr:xfrm>
          <a:off x="8628529" y="1693518"/>
          <a:ext cx="405765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 rot="18052745">
            <a:off x="7928622" y="3078941"/>
            <a:ext cx="3597422" cy="48753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1100" b="1"/>
              <a:t>Argila (%)</a:t>
            </a:r>
          </a:p>
          <a:p>
            <a:r>
              <a:rPr lang="pt-BR" sz="1100" b="1"/>
              <a:t>0        10     20     30     40      50       60     70      80     90     100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 rot="3554262">
            <a:off x="9898645" y="3098194"/>
            <a:ext cx="3523889" cy="4628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1100" b="1"/>
              <a:t>Silte (%)</a:t>
            </a:r>
          </a:p>
          <a:p>
            <a:r>
              <a:rPr lang="pt-BR" sz="1100" b="1"/>
              <a:t>0      10      20      30     40      50      60     70      80     90     100</a:t>
            </a: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 bwMode="auto">
          <a:xfrm>
            <a:off x="9990604" y="3142999"/>
            <a:ext cx="1362075" cy="0"/>
          </a:xfrm>
          <a:prstGeom prst="line">
            <a:avLst/>
          </a:prstGeom>
          <a:grpFill/>
          <a:ln w="1905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 bwMode="auto">
          <a:xfrm flipV="1">
            <a:off x="9561979" y="3817593"/>
            <a:ext cx="2219325" cy="0"/>
          </a:xfrm>
          <a:prstGeom prst="line">
            <a:avLst/>
          </a:prstGeom>
          <a:grpFill/>
          <a:ln w="1905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 bwMode="auto">
          <a:xfrm>
            <a:off x="11228854" y="3808068"/>
            <a:ext cx="590550" cy="981075"/>
          </a:xfrm>
          <a:prstGeom prst="line">
            <a:avLst/>
          </a:prstGeom>
          <a:grpFill/>
          <a:ln w="1905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 bwMode="auto">
          <a:xfrm>
            <a:off x="9276229" y="4370044"/>
            <a:ext cx="752475" cy="409574"/>
          </a:xfrm>
          <a:prstGeom prst="line">
            <a:avLst/>
          </a:prstGeom>
          <a:grpFill/>
          <a:ln w="1905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561975</xdr:colOff>
          <xdr:row>6</xdr:row>
          <xdr:rowOff>171450</xdr:rowOff>
        </xdr:from>
        <xdr:to>
          <xdr:col>14</xdr:col>
          <xdr:colOff>276225</xdr:colOff>
          <xdr:row>8</xdr:row>
          <xdr:rowOff>66675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100853</xdr:colOff>
      <xdr:row>12</xdr:row>
      <xdr:rowOff>22409</xdr:rowOff>
    </xdr:from>
    <xdr:to>
      <xdr:col>12</xdr:col>
      <xdr:colOff>437029</xdr:colOff>
      <xdr:row>14</xdr:row>
      <xdr:rowOff>123264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491382" y="2308409"/>
          <a:ext cx="941294" cy="481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>
                <a:noFill/>
              </a:ln>
            </a:rPr>
            <a:t>Muito argilosa</a:t>
          </a:r>
        </a:p>
      </xdr:txBody>
    </xdr:sp>
    <xdr:clientData/>
  </xdr:twoCellAnchor>
  <xdr:twoCellAnchor>
    <xdr:from>
      <xdr:col>11</xdr:col>
      <xdr:colOff>73959</xdr:colOff>
      <xdr:row>16</xdr:row>
      <xdr:rowOff>29134</xdr:rowOff>
    </xdr:from>
    <xdr:to>
      <xdr:col>12</xdr:col>
      <xdr:colOff>410135</xdr:colOff>
      <xdr:row>17</xdr:row>
      <xdr:rowOff>100854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9464488" y="3077134"/>
          <a:ext cx="941294" cy="262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>
                <a:noFill/>
              </a:ln>
            </a:rPr>
            <a:t>Argilosa</a:t>
          </a:r>
        </a:p>
      </xdr:txBody>
    </xdr:sp>
    <xdr:clientData/>
  </xdr:twoCellAnchor>
  <xdr:twoCellAnchor>
    <xdr:from>
      <xdr:col>10</xdr:col>
      <xdr:colOff>607359</xdr:colOff>
      <xdr:row>20</xdr:row>
      <xdr:rowOff>91886</xdr:rowOff>
    </xdr:from>
    <xdr:to>
      <xdr:col>12</xdr:col>
      <xdr:colOff>181535</xdr:colOff>
      <xdr:row>21</xdr:row>
      <xdr:rowOff>163606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9235888" y="3901886"/>
          <a:ext cx="941294" cy="262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>
                <a:noFill/>
              </a:ln>
            </a:rPr>
            <a:t>Média</a:t>
          </a:r>
        </a:p>
      </xdr:txBody>
    </xdr:sp>
    <xdr:clientData/>
  </xdr:twoCellAnchor>
  <xdr:twoCellAnchor>
    <xdr:from>
      <xdr:col>13</xdr:col>
      <xdr:colOff>339537</xdr:colOff>
      <xdr:row>18</xdr:row>
      <xdr:rowOff>52669</xdr:rowOff>
    </xdr:from>
    <xdr:to>
      <xdr:col>13</xdr:col>
      <xdr:colOff>601757</xdr:colOff>
      <xdr:row>23</xdr:row>
      <xdr:rowOff>41463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 rot="3529737">
          <a:off x="10600765" y="3821206"/>
          <a:ext cx="941294" cy="262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>
                <a:noFill/>
              </a:ln>
            </a:rPr>
            <a:t>Siltosa</a:t>
          </a:r>
        </a:p>
      </xdr:txBody>
    </xdr:sp>
    <xdr:clientData/>
  </xdr:twoCellAnchor>
  <xdr:twoCellAnchor>
    <xdr:from>
      <xdr:col>9</xdr:col>
      <xdr:colOff>694765</xdr:colOff>
      <xdr:row>22</xdr:row>
      <xdr:rowOff>78441</xdr:rowOff>
    </xdr:from>
    <xdr:to>
      <xdr:col>10</xdr:col>
      <xdr:colOff>582706</xdr:colOff>
      <xdr:row>23</xdr:row>
      <xdr:rowOff>150161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8269941" y="4269441"/>
          <a:ext cx="941294" cy="262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n>
                <a:noFill/>
              </a:ln>
            </a:rPr>
            <a:t>Arenosa</a:t>
          </a:r>
        </a:p>
      </xdr:txBody>
    </xdr:sp>
    <xdr:clientData/>
  </xdr:twoCellAnchor>
  <xdr:twoCellAnchor editAs="oneCell">
    <xdr:from>
      <xdr:col>10</xdr:col>
      <xdr:colOff>52918</xdr:colOff>
      <xdr:row>26</xdr:row>
      <xdr:rowOff>51003</xdr:rowOff>
    </xdr:from>
    <xdr:to>
      <xdr:col>14</xdr:col>
      <xdr:colOff>169333</xdr:colOff>
      <xdr:row>30</xdr:row>
      <xdr:rowOff>70597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1" y="5004003"/>
          <a:ext cx="2709332" cy="781594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0.05164</cdr:x>
      <cdr:y>0.85803</cdr:y>
    </cdr:from>
    <cdr:to>
      <cdr:x>0.97936</cdr:x>
      <cdr:y>0.93211</cdr:y>
    </cdr:to>
    <cdr:sp macro="" textlink="">
      <cdr:nvSpPr>
        <cdr:cNvPr id="2" name="CaixaDeTexto 3"/>
        <cdr:cNvSpPr txBox="1"/>
      </cdr:nvSpPr>
      <cdr:spPr>
        <a:xfrm xmlns:a="http://schemas.openxmlformats.org/drawingml/2006/main">
          <a:off x="209550" y="3088908"/>
          <a:ext cx="3764351" cy="266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pt-BR" sz="1100" b="1"/>
            <a:t>100       90       80      70      60      50      40      30     20      10     0</a:t>
          </a:r>
        </a:p>
        <a:p xmlns:a="http://schemas.openxmlformats.org/drawingml/2006/main">
          <a:pPr algn="ctr"/>
          <a:r>
            <a:rPr lang="pt-BR" sz="1100" b="1"/>
            <a:t>Areia (%)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</xdr:row>
      <xdr:rowOff>47624</xdr:rowOff>
    </xdr:from>
    <xdr:to>
      <xdr:col>48</xdr:col>
      <xdr:colOff>28575</xdr:colOff>
      <xdr:row>3</xdr:row>
      <xdr:rowOff>123825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95251" y="238124"/>
          <a:ext cx="5876924" cy="457201"/>
          <a:chOff x="95250" y="238125"/>
          <a:chExt cx="6191399" cy="435134"/>
        </a:xfrm>
      </xdr:grpSpPr>
      <xdr:sp macro="" textlink="">
        <xdr:nvSpPr>
          <xdr:cNvPr id="2" name="Retângulo de cantos arredondado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 bwMode="auto">
          <a:xfrm>
            <a:off x="95250" y="241142"/>
            <a:ext cx="1238250" cy="428625"/>
          </a:xfrm>
          <a:prstGeom prst="roundRect">
            <a:avLst/>
          </a:prstGeom>
          <a:solidFill>
            <a:schemeClr val="bg1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 b="1">
                <a:latin typeface="Bell MT" panose="02020503060305020303" pitchFamily="18" charset="0"/>
              </a:rPr>
              <a:t>Home</a:t>
            </a:r>
          </a:p>
        </xdr:txBody>
      </xdr:sp>
      <xdr:sp macro="" textlink="">
        <xdr:nvSpPr>
          <xdr:cNvPr id="3" name="Retângulo de cantos arredondados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 bwMode="auto">
          <a:xfrm>
            <a:off x="1333499" y="241141"/>
            <a:ext cx="1238400" cy="428625"/>
          </a:xfrm>
          <a:prstGeom prst="roundRect">
            <a:avLst/>
          </a:prstGeom>
          <a:solidFill>
            <a:schemeClr val="bg1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 b="1">
                <a:latin typeface="Bell MT" panose="02020503060305020303" pitchFamily="18" charset="0"/>
              </a:rPr>
              <a:t>Entrada de Dados</a:t>
            </a:r>
          </a:p>
        </xdr:txBody>
      </xdr:sp>
      <xdr:sp macro="" textlink="">
        <xdr:nvSpPr>
          <xdr:cNvPr id="4" name="Retângulo de cantos arredondados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 bwMode="auto">
          <a:xfrm>
            <a:off x="2571749" y="238125"/>
            <a:ext cx="1238400" cy="428625"/>
          </a:xfrm>
          <a:prstGeom prst="round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 b="1">
                <a:latin typeface="Bell MT" panose="02020503060305020303" pitchFamily="18" charset="0"/>
              </a:rPr>
              <a:t>Qualidade dos dados</a:t>
            </a:r>
          </a:p>
        </xdr:txBody>
      </xdr:sp>
      <xdr:sp macro="" textlink="">
        <xdr:nvSpPr>
          <xdr:cNvPr id="5" name="Retângulo de cantos arredondados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 bwMode="auto">
          <a:xfrm>
            <a:off x="3809999" y="244634"/>
            <a:ext cx="1238400" cy="428625"/>
          </a:xfrm>
          <a:prstGeom prst="round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 b="1">
                <a:latin typeface="Bell MT" panose="02020503060305020303" pitchFamily="18" charset="0"/>
              </a:rPr>
              <a:t>Classificação Textural </a:t>
            </a:r>
          </a:p>
        </xdr:txBody>
      </xdr:sp>
      <xdr:sp macro="" textlink="">
        <xdr:nvSpPr>
          <xdr:cNvPr id="6" name="Retângulo de cantos arredondados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 bwMode="auto">
          <a:xfrm>
            <a:off x="5048249" y="244634"/>
            <a:ext cx="1238400" cy="428625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 b="1">
                <a:latin typeface="Bell MT" panose="02020503060305020303" pitchFamily="18" charset="0"/>
              </a:rPr>
              <a:t>Protocolo</a:t>
            </a:r>
            <a:r>
              <a:rPr lang="pt-BR" sz="1200" b="1" baseline="0">
                <a:latin typeface="Bell MT" panose="02020503060305020303" pitchFamily="18" charset="0"/>
              </a:rPr>
              <a:t> de determinação</a:t>
            </a:r>
            <a:endParaRPr lang="pt-BR" sz="1200" b="1">
              <a:latin typeface="Bell MT" panose="02020503060305020303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T22"/>
  <sheetViews>
    <sheetView showGridLines="0" showRowColHeaders="0" workbookViewId="0">
      <selection activeCell="L5" sqref="L5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15.75" x14ac:dyDescent="0.3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230"/>
      <c r="T1" s="233"/>
    </row>
    <row r="2" spans="1:20" ht="15.75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231"/>
      <c r="T2" s="233" t="s">
        <v>63</v>
      </c>
    </row>
    <row r="3" spans="1:20" ht="15.75" x14ac:dyDescent="0.3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230"/>
      <c r="T3" s="234" t="s">
        <v>62</v>
      </c>
    </row>
    <row r="4" spans="1:20" ht="15.75" x14ac:dyDescent="0.3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232"/>
      <c r="T4" s="233" t="s">
        <v>64</v>
      </c>
    </row>
    <row r="5" spans="1:20" ht="15.75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229"/>
      <c r="T5" s="234" t="s">
        <v>65</v>
      </c>
    </row>
    <row r="6" spans="1:20" ht="15.75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235" t="s">
        <v>66</v>
      </c>
    </row>
    <row r="7" spans="1:20" ht="61.5" x14ac:dyDescent="0.9">
      <c r="A7" s="248" t="s">
        <v>22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</row>
    <row r="8" spans="1:20" ht="15" customHeight="1" x14ac:dyDescent="0.25">
      <c r="A8" s="249" t="s">
        <v>38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1"/>
    </row>
    <row r="9" spans="1:20" ht="15" customHeight="1" x14ac:dyDescent="0.25">
      <c r="A9" s="249"/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1"/>
    </row>
    <row r="10" spans="1:20" ht="15" customHeight="1" x14ac:dyDescent="0.25">
      <c r="A10" s="252" t="s">
        <v>61</v>
      </c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3"/>
    </row>
    <row r="11" spans="1:20" ht="15" customHeight="1" x14ac:dyDescent="0.25">
      <c r="A11" s="252"/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3"/>
    </row>
    <row r="12" spans="1:20" x14ac:dyDescent="0.25">
      <c r="A12" s="252"/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3"/>
    </row>
    <row r="13" spans="1:20" ht="15.75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8"/>
    </row>
    <row r="14" spans="1:20" ht="61.5" x14ac:dyDescent="0.9">
      <c r="A14" s="254" t="s">
        <v>23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</row>
    <row r="15" spans="1:20" ht="15.75" x14ac:dyDescent="0.3">
      <c r="A15" s="236" t="s">
        <v>54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98"/>
    </row>
    <row r="16" spans="1:20" ht="15.75" x14ac:dyDescent="0.3">
      <c r="A16" s="236" t="s">
        <v>45</v>
      </c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8"/>
    </row>
    <row r="17" spans="1:20" ht="15.75" x14ac:dyDescent="0.3">
      <c r="A17" s="236" t="s">
        <v>39</v>
      </c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8"/>
    </row>
    <row r="18" spans="1:20" ht="15.75" x14ac:dyDescent="0.3">
      <c r="A18" s="236" t="s">
        <v>40</v>
      </c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99"/>
      <c r="Q18" s="97"/>
      <c r="R18" s="97"/>
      <c r="S18" s="97"/>
      <c r="T18" s="98"/>
    </row>
    <row r="19" spans="1:20" ht="15" customHeight="1" x14ac:dyDescent="0.25">
      <c r="A19" s="245" t="s">
        <v>55</v>
      </c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7"/>
    </row>
    <row r="20" spans="1:20" ht="15" customHeight="1" x14ac:dyDescent="0.25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7"/>
    </row>
    <row r="21" spans="1:20" ht="15.75" x14ac:dyDescent="0.3">
      <c r="A21" s="242" t="s">
        <v>41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4"/>
    </row>
    <row r="22" spans="1:20" ht="15.75" x14ac:dyDescent="0.3">
      <c r="A22" s="239" t="s">
        <v>44</v>
      </c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1"/>
    </row>
  </sheetData>
  <sheetProtection sheet="1" objects="1" scenarios="1" selectLockedCells="1" selectUnlockedCells="1"/>
  <mergeCells count="11">
    <mergeCell ref="A7:T7"/>
    <mergeCell ref="A8:T9"/>
    <mergeCell ref="A10:T12"/>
    <mergeCell ref="A14:T14"/>
    <mergeCell ref="A15:S15"/>
    <mergeCell ref="A16:T16"/>
    <mergeCell ref="A22:T22"/>
    <mergeCell ref="A21:T21"/>
    <mergeCell ref="A17:T17"/>
    <mergeCell ref="A19:T20"/>
    <mergeCell ref="A18:O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V40"/>
  <sheetViews>
    <sheetView showGridLines="0" showRowColHeaders="0" zoomScale="85" zoomScaleNormal="85" workbookViewId="0">
      <pane xSplit="1" topLeftCell="B1" activePane="topRight" state="frozen"/>
      <selection pane="topRight" activeCell="E13" sqref="E13"/>
    </sheetView>
  </sheetViews>
  <sheetFormatPr defaultColWidth="0" defaultRowHeight="15" zeroHeight="1" x14ac:dyDescent="0.25"/>
  <cols>
    <col min="1" max="1" width="11.28515625" style="9" bestFit="1" customWidth="1"/>
    <col min="2" max="2" width="17.140625" customWidth="1"/>
    <col min="3" max="4" width="20.85546875" customWidth="1"/>
    <col min="5" max="5" width="20.7109375" customWidth="1"/>
    <col min="6" max="6" width="19.85546875" customWidth="1"/>
    <col min="7" max="7" width="11.140625" customWidth="1"/>
    <col min="8" max="8" width="16.5703125" customWidth="1"/>
    <col min="9" max="10" width="17.85546875" customWidth="1"/>
    <col min="11" max="11" width="20" customWidth="1"/>
    <col min="12" max="12" width="18.5703125" customWidth="1"/>
    <col min="13" max="13" width="13.28515625" customWidth="1"/>
    <col min="14" max="14" width="9.5703125" customWidth="1"/>
    <col min="15" max="15" width="13.28515625" style="12" customWidth="1"/>
    <col min="16" max="16" width="11.7109375" customWidth="1"/>
    <col min="17" max="17" width="11.42578125" bestFit="1" customWidth="1"/>
    <col min="18" max="18" width="11.140625" bestFit="1" customWidth="1"/>
    <col min="19" max="22" width="0" hidden="1" customWidth="1"/>
    <col min="23" max="16384" width="9.140625" hidden="1"/>
  </cols>
  <sheetData>
    <row r="1" spans="1:22" x14ac:dyDescent="0.25">
      <c r="A1" s="130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22" x14ac:dyDescent="0.25">
      <c r="A2" s="130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</row>
    <row r="3" spans="1:22" x14ac:dyDescent="0.25">
      <c r="A3" s="130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1:22" x14ac:dyDescent="0.25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</row>
    <row r="5" spans="1:22" x14ac:dyDescent="0.25">
      <c r="A5" s="130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</row>
    <row r="6" spans="1:22" x14ac:dyDescent="0.25">
      <c r="A6" s="137"/>
      <c r="B6" s="133"/>
      <c r="C6" s="255" t="s">
        <v>17</v>
      </c>
      <c r="D6" s="255"/>
      <c r="E6" s="255"/>
      <c r="F6" s="255"/>
      <c r="G6" s="132"/>
      <c r="H6" s="136"/>
      <c r="I6" s="255" t="s">
        <v>0</v>
      </c>
      <c r="J6" s="255"/>
      <c r="K6" s="255"/>
      <c r="L6" s="255"/>
      <c r="M6" s="134"/>
      <c r="N6" s="134"/>
      <c r="O6" s="134"/>
      <c r="P6" s="134"/>
      <c r="Q6" s="134"/>
      <c r="R6" s="134"/>
    </row>
    <row r="7" spans="1:22" x14ac:dyDescent="0.25">
      <c r="A7" s="138"/>
      <c r="B7" s="133"/>
      <c r="C7" s="95" t="s">
        <v>2</v>
      </c>
      <c r="D7" s="95" t="s">
        <v>35</v>
      </c>
      <c r="E7" s="95" t="s">
        <v>3</v>
      </c>
      <c r="F7" s="95" t="s">
        <v>4</v>
      </c>
      <c r="G7" s="132"/>
      <c r="H7" s="136"/>
      <c r="I7" s="95" t="s">
        <v>2</v>
      </c>
      <c r="J7" s="95" t="s">
        <v>35</v>
      </c>
      <c r="K7" s="95" t="s">
        <v>3</v>
      </c>
      <c r="L7" s="95" t="s">
        <v>4</v>
      </c>
      <c r="M7" s="134"/>
      <c r="N7" s="134"/>
      <c r="O7" s="134"/>
      <c r="P7" s="256" t="s">
        <v>31</v>
      </c>
      <c r="Q7" s="256"/>
      <c r="R7" s="256"/>
    </row>
    <row r="8" spans="1:22" x14ac:dyDescent="0.25">
      <c r="A8" s="96" t="s">
        <v>42</v>
      </c>
      <c r="B8" s="82" t="s">
        <v>19</v>
      </c>
      <c r="C8" s="83" t="s">
        <v>8</v>
      </c>
      <c r="D8" s="83" t="s">
        <v>34</v>
      </c>
      <c r="E8" s="10" t="s">
        <v>9</v>
      </c>
      <c r="F8" s="169" t="s">
        <v>10</v>
      </c>
      <c r="G8" s="164"/>
      <c r="H8" s="32" t="s">
        <v>19</v>
      </c>
      <c r="I8" s="11" t="s">
        <v>32</v>
      </c>
      <c r="J8" s="83" t="s">
        <v>34</v>
      </c>
      <c r="K8" s="84" t="s">
        <v>9</v>
      </c>
      <c r="L8" s="67" t="s">
        <v>10</v>
      </c>
      <c r="M8" s="166" t="s">
        <v>11</v>
      </c>
      <c r="N8" s="139"/>
      <c r="O8" s="32" t="s">
        <v>19</v>
      </c>
      <c r="P8" s="94" t="s">
        <v>24</v>
      </c>
      <c r="Q8" s="94" t="s">
        <v>25</v>
      </c>
      <c r="R8" s="94" t="s">
        <v>26</v>
      </c>
    </row>
    <row r="9" spans="1:22" x14ac:dyDescent="0.25">
      <c r="A9" s="27">
        <v>1</v>
      </c>
      <c r="B9" s="125"/>
      <c r="C9" s="111">
        <v>19.263999999999999</v>
      </c>
      <c r="D9" s="112">
        <v>20.550999999999998</v>
      </c>
      <c r="E9" s="113">
        <v>35.776299999999999</v>
      </c>
      <c r="F9" s="70">
        <v>34.890599999999999</v>
      </c>
      <c r="G9" s="164"/>
      <c r="H9" s="28">
        <f>$B$9</f>
        <v>0</v>
      </c>
      <c r="I9" s="108">
        <v>25.783999999999999</v>
      </c>
      <c r="J9" s="108">
        <v>21.238</v>
      </c>
      <c r="K9" s="109">
        <v>35.9206</v>
      </c>
      <c r="L9" s="109">
        <v>35.008400000000002</v>
      </c>
      <c r="M9" s="167">
        <v>10</v>
      </c>
      <c r="N9" s="139"/>
      <c r="O9" s="170">
        <f>B9</f>
        <v>0</v>
      </c>
      <c r="P9" s="102">
        <v>18.015999999999998</v>
      </c>
      <c r="Q9" s="103">
        <v>28.015999999999998</v>
      </c>
      <c r="R9" s="103">
        <v>27.914999999999999</v>
      </c>
    </row>
    <row r="10" spans="1:22" x14ac:dyDescent="0.25">
      <c r="A10" s="19">
        <v>2</v>
      </c>
      <c r="B10" s="126"/>
      <c r="C10" s="114">
        <v>21.738</v>
      </c>
      <c r="D10" s="115">
        <v>20.541</v>
      </c>
      <c r="E10" s="116">
        <v>28.0291</v>
      </c>
      <c r="F10" s="71">
        <v>33.296799999999998</v>
      </c>
      <c r="G10" s="164"/>
      <c r="H10" s="33">
        <f>$B$10</f>
        <v>0</v>
      </c>
      <c r="I10" s="69">
        <v>23.968</v>
      </c>
      <c r="J10" s="69">
        <v>22.54</v>
      </c>
      <c r="K10" s="90">
        <v>28.3033</v>
      </c>
      <c r="L10" s="110">
        <v>33.5261</v>
      </c>
      <c r="M10" s="168">
        <v>10</v>
      </c>
      <c r="N10" s="139"/>
      <c r="O10" s="171">
        <f t="shared" ref="O10:O32" si="0">B10</f>
        <v>0</v>
      </c>
      <c r="P10" s="104">
        <v>17.715</v>
      </c>
      <c r="Q10" s="105">
        <v>27.715</v>
      </c>
      <c r="R10" s="105">
        <v>27.535</v>
      </c>
      <c r="V10" s="17"/>
    </row>
    <row r="11" spans="1:22" x14ac:dyDescent="0.25">
      <c r="A11" s="27">
        <v>3</v>
      </c>
      <c r="B11" s="127"/>
      <c r="C11" s="117">
        <v>20.513999999999999</v>
      </c>
      <c r="D11" s="118">
        <v>20.236000000000001</v>
      </c>
      <c r="E11" s="113">
        <v>37.877099999999999</v>
      </c>
      <c r="F11" s="70">
        <v>33.791600000000003</v>
      </c>
      <c r="G11" s="164"/>
      <c r="H11" s="29">
        <f>$B$11</f>
        <v>0</v>
      </c>
      <c r="I11" s="108">
        <v>23.952000000000002</v>
      </c>
      <c r="J11" s="108">
        <v>21.166</v>
      </c>
      <c r="K11" s="109">
        <v>38.1569</v>
      </c>
      <c r="L11" s="109">
        <v>34.050699999999999</v>
      </c>
      <c r="M11" s="167">
        <v>10</v>
      </c>
      <c r="N11" s="139"/>
      <c r="O11" s="172">
        <f t="shared" si="0"/>
        <v>0</v>
      </c>
      <c r="P11" s="102">
        <v>20.001000000000001</v>
      </c>
      <c r="Q11" s="103">
        <v>30.001000000000001</v>
      </c>
      <c r="R11" s="103">
        <v>29.827000000000002</v>
      </c>
    </row>
    <row r="12" spans="1:22" x14ac:dyDescent="0.25">
      <c r="A12" s="19">
        <v>4</v>
      </c>
      <c r="B12" s="126"/>
      <c r="C12" s="119">
        <v>20.591999999999999</v>
      </c>
      <c r="D12" s="120">
        <v>20.349</v>
      </c>
      <c r="E12" s="116">
        <v>33.889899999999997</v>
      </c>
      <c r="F12" s="71">
        <v>36.125599999999999</v>
      </c>
      <c r="G12" s="164"/>
      <c r="H12" s="33">
        <f>$B$12</f>
        <v>0</v>
      </c>
      <c r="I12" s="69">
        <v>24.821000000000002</v>
      </c>
      <c r="J12" s="69">
        <v>21.742999999999999</v>
      </c>
      <c r="K12" s="90">
        <v>34.073799999999999</v>
      </c>
      <c r="L12" s="110">
        <v>36.263100000000001</v>
      </c>
      <c r="M12" s="168">
        <v>10</v>
      </c>
      <c r="N12" s="139"/>
      <c r="O12" s="171">
        <f t="shared" si="0"/>
        <v>0</v>
      </c>
      <c r="P12" s="104">
        <v>21.146999999999998</v>
      </c>
      <c r="Q12" s="105">
        <v>31.146999999999998</v>
      </c>
      <c r="R12" s="105">
        <v>31.001999999999999</v>
      </c>
    </row>
    <row r="13" spans="1:22" x14ac:dyDescent="0.25">
      <c r="A13" s="27">
        <v>5</v>
      </c>
      <c r="B13" s="127"/>
      <c r="C13" s="121">
        <v>20.969000000000001</v>
      </c>
      <c r="D13" s="122">
        <v>19.222000000000001</v>
      </c>
      <c r="E13" s="113">
        <v>32.902999999999999</v>
      </c>
      <c r="F13" s="70">
        <v>31.8384</v>
      </c>
      <c r="G13" s="164"/>
      <c r="H13" s="29">
        <f>$B$13</f>
        <v>0</v>
      </c>
      <c r="I13" s="108">
        <v>26.004000000000001</v>
      </c>
      <c r="J13" s="108">
        <v>20.492999999999999</v>
      </c>
      <c r="K13" s="109">
        <v>33.075200000000002</v>
      </c>
      <c r="L13" s="109">
        <v>31.9619</v>
      </c>
      <c r="M13" s="167">
        <v>10</v>
      </c>
      <c r="N13" s="139"/>
      <c r="O13" s="172">
        <f t="shared" si="0"/>
        <v>0</v>
      </c>
      <c r="P13" s="102">
        <v>19.128</v>
      </c>
      <c r="Q13" s="103">
        <v>29.128</v>
      </c>
      <c r="R13" s="103">
        <v>29.024000000000001</v>
      </c>
      <c r="T13" s="14"/>
    </row>
    <row r="14" spans="1:22" x14ac:dyDescent="0.25">
      <c r="A14" s="19">
        <v>6</v>
      </c>
      <c r="B14" s="126"/>
      <c r="C14" s="119">
        <v>19.818000000000001</v>
      </c>
      <c r="D14" s="120">
        <v>20.734999999999999</v>
      </c>
      <c r="E14" s="116">
        <v>34.486600000000003</v>
      </c>
      <c r="F14" s="71">
        <v>30.947199999999999</v>
      </c>
      <c r="G14" s="164"/>
      <c r="H14" s="33">
        <f>$B$14</f>
        <v>0</v>
      </c>
      <c r="I14" s="69">
        <v>24.576000000000001</v>
      </c>
      <c r="J14" s="69">
        <v>21.434999999999999</v>
      </c>
      <c r="K14" s="90">
        <v>34.709099999999999</v>
      </c>
      <c r="L14" s="110">
        <v>31.146599999999999</v>
      </c>
      <c r="M14" s="168">
        <v>10</v>
      </c>
      <c r="N14" s="139"/>
      <c r="O14" s="171">
        <f t="shared" si="0"/>
        <v>0</v>
      </c>
      <c r="P14" s="104">
        <v>18.72</v>
      </c>
      <c r="Q14" s="105">
        <v>28.72</v>
      </c>
      <c r="R14" s="105">
        <v>28.585999999999999</v>
      </c>
      <c r="T14" s="14"/>
    </row>
    <row r="15" spans="1:22" x14ac:dyDescent="0.25">
      <c r="A15" s="27">
        <v>7</v>
      </c>
      <c r="B15" s="127"/>
      <c r="C15" s="121">
        <v>20.053999999999998</v>
      </c>
      <c r="D15" s="122">
        <v>22.059000000000001</v>
      </c>
      <c r="E15" s="113">
        <v>37.051400000000001</v>
      </c>
      <c r="F15" s="70">
        <v>36.1053</v>
      </c>
      <c r="G15" s="164"/>
      <c r="H15" s="29">
        <f>$B$15</f>
        <v>0</v>
      </c>
      <c r="I15" s="108">
        <v>22.437000000000001</v>
      </c>
      <c r="J15" s="108">
        <v>23.664999999999999</v>
      </c>
      <c r="K15" s="109">
        <v>37.359499999999997</v>
      </c>
      <c r="L15" s="109">
        <v>36.361899999999999</v>
      </c>
      <c r="M15" s="167">
        <v>10</v>
      </c>
      <c r="N15" s="139"/>
      <c r="O15" s="172">
        <f t="shared" si="0"/>
        <v>0</v>
      </c>
      <c r="P15" s="106">
        <v>17.661999999999999</v>
      </c>
      <c r="Q15" s="103">
        <v>27.661999999999999</v>
      </c>
      <c r="R15" s="103">
        <v>27.507999999999999</v>
      </c>
      <c r="T15" s="14"/>
    </row>
    <row r="16" spans="1:22" x14ac:dyDescent="0.25">
      <c r="A16" s="19">
        <v>8</v>
      </c>
      <c r="B16" s="126"/>
      <c r="C16" s="119">
        <v>21.529</v>
      </c>
      <c r="D16" s="120">
        <v>19.381</v>
      </c>
      <c r="E16" s="116">
        <v>33.897799999999997</v>
      </c>
      <c r="F16" s="71">
        <v>33.553800000000003</v>
      </c>
      <c r="G16" s="164"/>
      <c r="H16" s="33">
        <f>$B$16</f>
        <v>0</v>
      </c>
      <c r="I16" s="69">
        <v>24.562999999999999</v>
      </c>
      <c r="J16" s="69">
        <v>19.972999999999999</v>
      </c>
      <c r="K16" s="90">
        <v>34.198799999999999</v>
      </c>
      <c r="L16" s="110">
        <v>33.835500000000003</v>
      </c>
      <c r="M16" s="168">
        <v>10</v>
      </c>
      <c r="N16" s="139"/>
      <c r="O16" s="171">
        <f t="shared" si="0"/>
        <v>0</v>
      </c>
      <c r="P16" s="104">
        <v>21.213999999999999</v>
      </c>
      <c r="Q16" s="105">
        <v>31.213999999999999</v>
      </c>
      <c r="R16" s="105">
        <v>31.103000000000002</v>
      </c>
      <c r="T16" s="14"/>
    </row>
    <row r="17" spans="1:20" x14ac:dyDescent="0.25">
      <c r="A17" s="27">
        <v>9</v>
      </c>
      <c r="B17" s="128"/>
      <c r="C17" s="121">
        <v>20.242000000000001</v>
      </c>
      <c r="D17" s="122">
        <v>20.890999999999998</v>
      </c>
      <c r="E17" s="113">
        <v>31.964700000000001</v>
      </c>
      <c r="F17" s="70">
        <v>34.283799999999999</v>
      </c>
      <c r="G17" s="164"/>
      <c r="H17" s="28">
        <f>$B$17</f>
        <v>0</v>
      </c>
      <c r="I17" s="108">
        <v>25.27</v>
      </c>
      <c r="J17" s="108">
        <v>21.759</v>
      </c>
      <c r="K17" s="109">
        <v>32.173999999999999</v>
      </c>
      <c r="L17" s="109">
        <v>34.454099999999997</v>
      </c>
      <c r="M17" s="167">
        <v>10</v>
      </c>
      <c r="N17" s="139"/>
      <c r="O17" s="173">
        <f t="shared" si="0"/>
        <v>0</v>
      </c>
      <c r="P17" s="102">
        <v>23.294</v>
      </c>
      <c r="Q17" s="103">
        <v>33.293999999999997</v>
      </c>
      <c r="R17" s="103">
        <v>33.127000000000002</v>
      </c>
      <c r="T17" s="14"/>
    </row>
    <row r="18" spans="1:20" x14ac:dyDescent="0.25">
      <c r="A18" s="19">
        <v>10</v>
      </c>
      <c r="B18" s="126"/>
      <c r="C18" s="119">
        <v>19.879000000000001</v>
      </c>
      <c r="D18" s="120">
        <v>21.506</v>
      </c>
      <c r="E18" s="116">
        <v>32.797199999999997</v>
      </c>
      <c r="F18" s="71">
        <v>30.380600000000001</v>
      </c>
      <c r="G18" s="164"/>
      <c r="H18" s="33">
        <f>B18</f>
        <v>0</v>
      </c>
      <c r="I18" s="69">
        <v>22.611999999999998</v>
      </c>
      <c r="J18" s="69">
        <v>22.321999999999999</v>
      </c>
      <c r="K18" s="90">
        <v>33.113700000000001</v>
      </c>
      <c r="L18" s="110">
        <v>30.674900000000001</v>
      </c>
      <c r="M18" s="168">
        <v>10</v>
      </c>
      <c r="N18" s="139"/>
      <c r="O18" s="171">
        <f t="shared" si="0"/>
        <v>0</v>
      </c>
      <c r="P18" s="104">
        <v>20.239999999999998</v>
      </c>
      <c r="Q18" s="105">
        <v>30.24</v>
      </c>
      <c r="R18" s="105">
        <v>29.812000000000001</v>
      </c>
      <c r="T18" s="14"/>
    </row>
    <row r="19" spans="1:20" x14ac:dyDescent="0.25">
      <c r="A19" s="27">
        <v>11</v>
      </c>
      <c r="B19" s="127"/>
      <c r="C19" s="121">
        <v>20.603999999999999</v>
      </c>
      <c r="D19" s="122">
        <v>18.033000000000001</v>
      </c>
      <c r="E19" s="113">
        <v>33.641500000000001</v>
      </c>
      <c r="F19" s="70">
        <v>36.8247</v>
      </c>
      <c r="G19" s="164"/>
      <c r="H19" s="29">
        <f>$B$19</f>
        <v>0</v>
      </c>
      <c r="I19" s="108">
        <v>27.033999999999999</v>
      </c>
      <c r="J19" s="108">
        <v>18.716999999999999</v>
      </c>
      <c r="K19" s="109">
        <v>33.792200000000001</v>
      </c>
      <c r="L19" s="109">
        <v>36.944400000000002</v>
      </c>
      <c r="M19" s="167">
        <v>10</v>
      </c>
      <c r="N19" s="139"/>
      <c r="O19" s="172">
        <f t="shared" si="0"/>
        <v>0</v>
      </c>
      <c r="P19" s="102">
        <v>18.015999999999998</v>
      </c>
      <c r="Q19" s="103">
        <v>28.015999999999998</v>
      </c>
      <c r="R19" s="103">
        <v>27.914999999999999</v>
      </c>
      <c r="T19" s="14"/>
    </row>
    <row r="20" spans="1:20" x14ac:dyDescent="0.25">
      <c r="A20" s="19">
        <v>12</v>
      </c>
      <c r="B20" s="126"/>
      <c r="C20" s="119">
        <v>22.481000000000002</v>
      </c>
      <c r="D20" s="120">
        <v>21.061</v>
      </c>
      <c r="E20" s="116">
        <v>34.276600000000002</v>
      </c>
      <c r="F20" s="71">
        <v>27.991900000000001</v>
      </c>
      <c r="G20" s="164"/>
      <c r="H20" s="33">
        <f>$B$20</f>
        <v>0</v>
      </c>
      <c r="I20" s="69">
        <v>24.669</v>
      </c>
      <c r="J20" s="69">
        <v>23.111000000000001</v>
      </c>
      <c r="K20" s="90">
        <v>34.563000000000002</v>
      </c>
      <c r="L20" s="110">
        <v>28.220600000000001</v>
      </c>
      <c r="M20" s="168">
        <v>10</v>
      </c>
      <c r="N20" s="139"/>
      <c r="O20" s="171">
        <f t="shared" si="0"/>
        <v>0</v>
      </c>
      <c r="P20" s="104">
        <v>17.715</v>
      </c>
      <c r="Q20" s="105">
        <v>27.715</v>
      </c>
      <c r="R20" s="105">
        <v>27.535</v>
      </c>
      <c r="T20" s="14"/>
    </row>
    <row r="21" spans="1:20" x14ac:dyDescent="0.25">
      <c r="A21" s="27">
        <v>13</v>
      </c>
      <c r="B21" s="127"/>
      <c r="C21" s="121">
        <v>18.716999999999999</v>
      </c>
      <c r="D21" s="122">
        <v>18.175999999999998</v>
      </c>
      <c r="E21" s="113">
        <v>28.055299999999999</v>
      </c>
      <c r="F21" s="70">
        <v>34.012799999999999</v>
      </c>
      <c r="G21" s="164"/>
      <c r="H21" s="29">
        <f>$B$21</f>
        <v>0</v>
      </c>
      <c r="I21" s="108">
        <v>22.091000000000001</v>
      </c>
      <c r="J21" s="108">
        <v>19.079999999999998</v>
      </c>
      <c r="K21" s="109">
        <v>28.338899999999999</v>
      </c>
      <c r="L21" s="109">
        <v>34.2727</v>
      </c>
      <c r="M21" s="167">
        <v>10</v>
      </c>
      <c r="N21" s="139"/>
      <c r="O21" s="172">
        <f t="shared" si="0"/>
        <v>0</v>
      </c>
      <c r="P21" s="102">
        <v>20.001000000000001</v>
      </c>
      <c r="Q21" s="103">
        <v>30.001000000000001</v>
      </c>
      <c r="R21" s="103">
        <v>29.827000000000002</v>
      </c>
      <c r="T21" s="14"/>
    </row>
    <row r="22" spans="1:20" x14ac:dyDescent="0.25">
      <c r="A22" s="19">
        <v>14</v>
      </c>
      <c r="B22" s="126"/>
      <c r="C22" s="119">
        <v>19.684000000000001</v>
      </c>
      <c r="D22" s="120">
        <v>18.565999999999999</v>
      </c>
      <c r="E22" s="116">
        <v>35.215299999999999</v>
      </c>
      <c r="F22" s="71">
        <v>27.621200000000002</v>
      </c>
      <c r="G22" s="164"/>
      <c r="H22" s="33">
        <f>$B$22</f>
        <v>0</v>
      </c>
      <c r="I22" s="69">
        <v>24.693999999999999</v>
      </c>
      <c r="J22" s="69">
        <v>19.806999999999999</v>
      </c>
      <c r="K22" s="90">
        <v>35.408499999999997</v>
      </c>
      <c r="L22" s="110">
        <v>27.764299999999999</v>
      </c>
      <c r="M22" s="168">
        <v>10</v>
      </c>
      <c r="N22" s="139"/>
      <c r="O22" s="171">
        <f t="shared" si="0"/>
        <v>0</v>
      </c>
      <c r="P22" s="104">
        <v>21.146999999999998</v>
      </c>
      <c r="Q22" s="105">
        <v>31.146999999999998</v>
      </c>
      <c r="R22" s="105">
        <v>31.001999999999999</v>
      </c>
      <c r="T22" s="14"/>
    </row>
    <row r="23" spans="1:20" x14ac:dyDescent="0.25">
      <c r="A23" s="27">
        <v>15</v>
      </c>
      <c r="B23" s="127"/>
      <c r="C23" s="121">
        <v>20.413</v>
      </c>
      <c r="D23" s="122">
        <v>20.486000000000001</v>
      </c>
      <c r="E23" s="113">
        <v>33.659399999999998</v>
      </c>
      <c r="F23" s="70">
        <v>32.672899999999998</v>
      </c>
      <c r="G23" s="164"/>
      <c r="H23" s="29">
        <f>$B$23</f>
        <v>0</v>
      </c>
      <c r="I23" s="108">
        <v>25.72</v>
      </c>
      <c r="J23" s="108">
        <v>21.68</v>
      </c>
      <c r="K23" s="109">
        <v>33.824100000000001</v>
      </c>
      <c r="L23" s="109">
        <v>32.796300000000002</v>
      </c>
      <c r="M23" s="167">
        <v>10</v>
      </c>
      <c r="N23" s="139"/>
      <c r="O23" s="172">
        <f t="shared" si="0"/>
        <v>0</v>
      </c>
      <c r="P23" s="102">
        <v>19.128</v>
      </c>
      <c r="Q23" s="103">
        <v>29.128</v>
      </c>
      <c r="R23" s="103">
        <v>29.024000000000001</v>
      </c>
      <c r="T23" s="14"/>
    </row>
    <row r="24" spans="1:20" x14ac:dyDescent="0.25">
      <c r="A24" s="19">
        <v>16</v>
      </c>
      <c r="B24" s="126"/>
      <c r="C24" s="119">
        <v>21.673999999999999</v>
      </c>
      <c r="D24" s="120">
        <v>19.852</v>
      </c>
      <c r="E24" s="116">
        <v>34.084299999999999</v>
      </c>
      <c r="F24" s="71">
        <v>33.739100000000001</v>
      </c>
      <c r="G24" s="164"/>
      <c r="H24" s="33">
        <f>$B$24</f>
        <v>0</v>
      </c>
      <c r="I24" s="69">
        <v>25.940999999999999</v>
      </c>
      <c r="J24" s="69">
        <v>20.745000000000001</v>
      </c>
      <c r="K24" s="90">
        <v>34.322000000000003</v>
      </c>
      <c r="L24" s="110">
        <v>33.952100000000002</v>
      </c>
      <c r="M24" s="168">
        <v>10</v>
      </c>
      <c r="N24" s="139"/>
      <c r="O24" s="171">
        <f t="shared" si="0"/>
        <v>0</v>
      </c>
      <c r="P24" s="104">
        <v>18.72</v>
      </c>
      <c r="Q24" s="105">
        <v>28.72</v>
      </c>
      <c r="R24" s="105">
        <v>28.585999999999999</v>
      </c>
      <c r="T24" s="14"/>
    </row>
    <row r="25" spans="1:20" x14ac:dyDescent="0.25">
      <c r="A25" s="27">
        <v>17</v>
      </c>
      <c r="B25" s="127"/>
      <c r="C25" s="121">
        <v>18.763999999999999</v>
      </c>
      <c r="D25" s="122">
        <v>19.356999999999999</v>
      </c>
      <c r="E25" s="113">
        <v>27.0335</v>
      </c>
      <c r="F25" s="70">
        <v>36.184100000000001</v>
      </c>
      <c r="G25" s="164"/>
      <c r="H25" s="31">
        <f>$B$25</f>
        <v>0</v>
      </c>
      <c r="I25" s="108">
        <v>21.16</v>
      </c>
      <c r="J25" s="108">
        <v>20.876000000000001</v>
      </c>
      <c r="K25" s="109">
        <v>27.341799999999999</v>
      </c>
      <c r="L25" s="109">
        <v>36.442799999999998</v>
      </c>
      <c r="M25" s="167">
        <v>10</v>
      </c>
      <c r="N25" s="139"/>
      <c r="O25" s="172">
        <f t="shared" si="0"/>
        <v>0</v>
      </c>
      <c r="P25" s="102">
        <v>17.661999999999999</v>
      </c>
      <c r="Q25" s="103">
        <v>27.661999999999999</v>
      </c>
      <c r="R25" s="103">
        <v>27.507999999999999</v>
      </c>
      <c r="T25" s="14"/>
    </row>
    <row r="26" spans="1:20" x14ac:dyDescent="0.25">
      <c r="A26" s="19">
        <v>18</v>
      </c>
      <c r="B26" s="126"/>
      <c r="C26" s="123">
        <v>22.951000000000001</v>
      </c>
      <c r="D26" s="124">
        <v>20.956</v>
      </c>
      <c r="E26" s="116">
        <v>30.792999999999999</v>
      </c>
      <c r="F26" s="71">
        <v>33.429900000000004</v>
      </c>
      <c r="G26" s="164"/>
      <c r="H26" s="34">
        <f>$B$26</f>
        <v>0</v>
      </c>
      <c r="I26" s="69">
        <v>25.745000000000001</v>
      </c>
      <c r="J26" s="69">
        <v>21.585000000000001</v>
      </c>
      <c r="K26" s="90">
        <v>31.090699999999998</v>
      </c>
      <c r="L26" s="110">
        <v>33.710299999999997</v>
      </c>
      <c r="M26" s="168">
        <v>10</v>
      </c>
      <c r="N26" s="139"/>
      <c r="O26" s="171">
        <f t="shared" si="0"/>
        <v>0</v>
      </c>
      <c r="P26" s="104">
        <v>21.213999999999999</v>
      </c>
      <c r="Q26" s="105">
        <v>31.213999999999999</v>
      </c>
      <c r="R26" s="105">
        <v>31.103000000000002</v>
      </c>
      <c r="T26" s="14"/>
    </row>
    <row r="27" spans="1:20" x14ac:dyDescent="0.25">
      <c r="A27" s="27">
        <v>19</v>
      </c>
      <c r="B27" s="127"/>
      <c r="C27" s="121">
        <v>21.721</v>
      </c>
      <c r="D27" s="122">
        <v>21.427</v>
      </c>
      <c r="E27" s="113">
        <v>27.445599999999999</v>
      </c>
      <c r="F27" s="70">
        <v>33.931699999999999</v>
      </c>
      <c r="G27" s="164"/>
      <c r="H27" s="31">
        <f>$B$27</f>
        <v>0</v>
      </c>
      <c r="I27" s="108">
        <v>26.876999999999999</v>
      </c>
      <c r="J27" s="108">
        <v>22.202000000000002</v>
      </c>
      <c r="K27" s="109">
        <v>27.653700000000001</v>
      </c>
      <c r="L27" s="109">
        <v>34.116100000000003</v>
      </c>
      <c r="M27" s="167">
        <v>10</v>
      </c>
      <c r="N27" s="139"/>
      <c r="O27" s="172">
        <f t="shared" si="0"/>
        <v>0</v>
      </c>
      <c r="P27" s="102">
        <v>23.294</v>
      </c>
      <c r="Q27" s="103">
        <v>33.293999999999997</v>
      </c>
      <c r="R27" s="103">
        <v>33.127000000000002</v>
      </c>
      <c r="T27" s="14"/>
    </row>
    <row r="28" spans="1:20" x14ac:dyDescent="0.25">
      <c r="A28" s="19">
        <v>20</v>
      </c>
      <c r="B28" s="126"/>
      <c r="C28" s="123">
        <v>20.899000000000001</v>
      </c>
      <c r="D28" s="124">
        <v>21.648</v>
      </c>
      <c r="E28" s="116">
        <v>33.590000000000003</v>
      </c>
      <c r="F28" s="71">
        <v>33.404600000000002</v>
      </c>
      <c r="G28" s="164"/>
      <c r="H28" s="34">
        <f>$B$28</f>
        <v>0</v>
      </c>
      <c r="I28" s="69">
        <v>22.382000000000001</v>
      </c>
      <c r="J28" s="69">
        <v>23.902999999999999</v>
      </c>
      <c r="K28" s="90">
        <v>33.894100000000002</v>
      </c>
      <c r="L28" s="110">
        <v>33.696399999999997</v>
      </c>
      <c r="M28" s="168">
        <v>10</v>
      </c>
      <c r="N28" s="139"/>
      <c r="O28" s="171">
        <f t="shared" si="0"/>
        <v>0</v>
      </c>
      <c r="P28" s="104">
        <v>20.239999999999998</v>
      </c>
      <c r="Q28" s="105">
        <v>30.24</v>
      </c>
      <c r="R28" s="105">
        <v>29.812000000000001</v>
      </c>
      <c r="T28" s="14"/>
    </row>
    <row r="29" spans="1:20" x14ac:dyDescent="0.25">
      <c r="A29" s="27">
        <v>21</v>
      </c>
      <c r="B29" s="127"/>
      <c r="C29" s="121">
        <v>19.917000000000002</v>
      </c>
      <c r="D29" s="122">
        <v>20.417999999999999</v>
      </c>
      <c r="E29" s="113">
        <v>33.689700000000002</v>
      </c>
      <c r="F29" s="70">
        <v>33.963000000000001</v>
      </c>
      <c r="G29" s="164"/>
      <c r="H29" s="31">
        <f>$B$29</f>
        <v>0</v>
      </c>
      <c r="I29" s="108">
        <v>26.391999999999999</v>
      </c>
      <c r="J29" s="108">
        <v>21.082000000000001</v>
      </c>
      <c r="K29" s="109">
        <v>33.832900000000002</v>
      </c>
      <c r="L29" s="109">
        <v>34.082599999999999</v>
      </c>
      <c r="M29" s="167">
        <v>10</v>
      </c>
      <c r="N29" s="139"/>
      <c r="O29" s="172">
        <f t="shared" si="0"/>
        <v>0</v>
      </c>
      <c r="P29" s="102">
        <v>18.015999999999998</v>
      </c>
      <c r="Q29" s="106">
        <v>28.015999999999998</v>
      </c>
      <c r="R29" s="106">
        <v>27.914999999999999</v>
      </c>
      <c r="T29" s="14"/>
    </row>
    <row r="30" spans="1:20" x14ac:dyDescent="0.25">
      <c r="A30" s="19">
        <v>22</v>
      </c>
      <c r="B30" s="126"/>
      <c r="C30" s="123">
        <v>18.716999999999999</v>
      </c>
      <c r="D30" s="124">
        <v>18.693999999999999</v>
      </c>
      <c r="E30" s="116">
        <v>33.834699999999998</v>
      </c>
      <c r="F30" s="71">
        <v>33.868699999999997</v>
      </c>
      <c r="G30" s="164"/>
      <c r="H30" s="34">
        <f>$B$30</f>
        <v>0</v>
      </c>
      <c r="I30" s="69">
        <v>20.818999999999999</v>
      </c>
      <c r="J30" s="69">
        <v>20.875</v>
      </c>
      <c r="K30" s="90">
        <v>34.117199999999997</v>
      </c>
      <c r="L30" s="110">
        <v>34.097799999999999</v>
      </c>
      <c r="M30" s="168">
        <v>10</v>
      </c>
      <c r="N30" s="139"/>
      <c r="O30" s="171">
        <f t="shared" si="0"/>
        <v>0</v>
      </c>
      <c r="P30" s="104">
        <v>17.715</v>
      </c>
      <c r="Q30" s="107">
        <v>27.715</v>
      </c>
      <c r="R30" s="107">
        <v>27.535</v>
      </c>
      <c r="T30" s="14"/>
    </row>
    <row r="31" spans="1:20" x14ac:dyDescent="0.25">
      <c r="A31" s="27">
        <v>23</v>
      </c>
      <c r="B31" s="127"/>
      <c r="C31" s="121">
        <v>20.396000000000001</v>
      </c>
      <c r="D31" s="122">
        <v>20.460999999999999</v>
      </c>
      <c r="E31" s="113">
        <v>37.1995</v>
      </c>
      <c r="F31" s="70">
        <v>33.908900000000003</v>
      </c>
      <c r="G31" s="164"/>
      <c r="H31" s="31">
        <f>$B$31</f>
        <v>0</v>
      </c>
      <c r="I31" s="108">
        <v>23.978999999999999</v>
      </c>
      <c r="J31" s="108">
        <v>21.286000000000001</v>
      </c>
      <c r="K31" s="109">
        <v>37.482900000000001</v>
      </c>
      <c r="L31" s="109">
        <v>34.167400000000001</v>
      </c>
      <c r="M31" s="167">
        <v>10</v>
      </c>
      <c r="N31" s="139"/>
      <c r="O31" s="172">
        <f t="shared" si="0"/>
        <v>0</v>
      </c>
      <c r="P31" s="102">
        <v>20.001000000000001</v>
      </c>
      <c r="Q31" s="106">
        <v>30.001000000000001</v>
      </c>
      <c r="R31" s="106">
        <v>29.827000000000002</v>
      </c>
    </row>
    <row r="32" spans="1:20" x14ac:dyDescent="0.25">
      <c r="A32" s="19">
        <v>24</v>
      </c>
      <c r="B32" s="126"/>
      <c r="C32" s="123">
        <v>19.882999999999999</v>
      </c>
      <c r="D32" s="123">
        <v>20.81</v>
      </c>
      <c r="E32" s="116">
        <v>27.665099999999999</v>
      </c>
      <c r="F32" s="71">
        <v>35.619399999999999</v>
      </c>
      <c r="G32" s="165"/>
      <c r="H32" s="34">
        <f>$B$32</f>
        <v>0</v>
      </c>
      <c r="I32" s="69">
        <v>24.655999999999999</v>
      </c>
      <c r="J32" s="69">
        <v>22.164000000000001</v>
      </c>
      <c r="K32" s="90">
        <v>27.853000000000002</v>
      </c>
      <c r="L32" s="110">
        <v>35.758099999999999</v>
      </c>
      <c r="M32" s="168">
        <v>10</v>
      </c>
      <c r="N32" s="140"/>
      <c r="O32" s="171">
        <f t="shared" si="0"/>
        <v>0</v>
      </c>
      <c r="P32" s="104">
        <v>21.146999999999998</v>
      </c>
      <c r="Q32" s="107">
        <v>31.146999999999998</v>
      </c>
      <c r="R32" s="107">
        <v>31.001999999999999</v>
      </c>
    </row>
    <row r="33" spans="2:18" hidden="1" x14ac:dyDescent="0.25">
      <c r="B33" s="1"/>
      <c r="C33" s="2"/>
      <c r="D33" s="2"/>
      <c r="E33" s="2"/>
      <c r="F33" s="2"/>
      <c r="G33" s="2"/>
      <c r="H33" s="1"/>
      <c r="I33" s="3"/>
      <c r="J33" s="3"/>
      <c r="K33" s="3"/>
      <c r="L33" s="3"/>
      <c r="M33" s="1"/>
      <c r="N33" s="4"/>
      <c r="O33" s="1"/>
      <c r="P33" s="5"/>
      <c r="Q33" s="5"/>
      <c r="R33" s="5"/>
    </row>
    <row r="34" spans="2:18" hidden="1" x14ac:dyDescent="0.25">
      <c r="B34" s="1"/>
      <c r="C34" s="2"/>
      <c r="D34" s="2"/>
      <c r="E34" s="2"/>
      <c r="F34" s="2"/>
      <c r="G34" s="2"/>
      <c r="H34" s="1"/>
      <c r="I34" s="3"/>
      <c r="J34" s="3"/>
      <c r="K34" s="3"/>
      <c r="L34" s="3"/>
      <c r="M34" s="1"/>
      <c r="N34" s="4"/>
      <c r="O34" s="1"/>
      <c r="P34" s="5"/>
      <c r="Q34" s="5"/>
      <c r="R34" s="5"/>
    </row>
    <row r="35" spans="2:18" hidden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hidden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hidden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hidden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hidden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hidden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</sheetData>
  <sheetProtection sheet="1" objects="1" scenarios="1" selectLockedCells="1"/>
  <mergeCells count="3">
    <mergeCell ref="C6:F6"/>
    <mergeCell ref="I6:L6"/>
    <mergeCell ref="P7:R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H40"/>
  <sheetViews>
    <sheetView showGridLines="0" showRowColHeaders="0" zoomScale="85" zoomScaleNormal="85" workbookViewId="0">
      <pane xSplit="1" topLeftCell="B1" activePane="topRight" state="frozen"/>
      <selection pane="topRight"/>
    </sheetView>
  </sheetViews>
  <sheetFormatPr defaultColWidth="0" defaultRowHeight="15" zeroHeight="1" x14ac:dyDescent="0.25"/>
  <cols>
    <col min="1" max="1" width="13.85546875" bestFit="1" customWidth="1"/>
    <col min="2" max="2" width="14.28515625" customWidth="1"/>
    <col min="3" max="4" width="15.85546875" customWidth="1"/>
    <col min="5" max="5" width="18.140625" customWidth="1"/>
    <col min="6" max="6" width="14.5703125" customWidth="1"/>
    <col min="7" max="7" width="8.85546875" customWidth="1"/>
    <col min="8" max="8" width="18.7109375" customWidth="1"/>
    <col min="9" max="9" width="16.42578125" customWidth="1"/>
    <col min="10" max="10" width="25.28515625" bestFit="1" customWidth="1"/>
    <col min="11" max="11" width="10.140625" customWidth="1"/>
    <col min="12" max="12" width="16.7109375" customWidth="1"/>
    <col min="13" max="13" width="15.28515625" customWidth="1"/>
    <col min="14" max="14" width="14.5703125" customWidth="1"/>
    <col min="15" max="15" width="11.28515625" customWidth="1"/>
    <col min="16" max="16" width="10.140625" customWidth="1"/>
    <col min="17" max="17" width="16.7109375" customWidth="1"/>
    <col min="18" max="19" width="23" customWidth="1"/>
    <col min="20" max="20" width="20.42578125" customWidth="1"/>
    <col min="21" max="21" width="24.140625" customWidth="1"/>
    <col min="22" max="22" width="10.85546875" customWidth="1"/>
    <col min="23" max="23" width="12.140625" bestFit="1" customWidth="1"/>
    <col min="24" max="24" width="14.140625" customWidth="1"/>
    <col min="25" max="25" width="23.85546875" customWidth="1"/>
    <col min="26" max="26" width="23.7109375" bestFit="1" customWidth="1"/>
    <col min="27" max="27" width="12.42578125" bestFit="1" customWidth="1"/>
    <col min="28" max="28" width="14" bestFit="1" customWidth="1"/>
    <col min="29" max="30" width="14" customWidth="1"/>
    <col min="31" max="31" width="12.140625" customWidth="1"/>
    <col min="32" max="32" width="12.42578125" customWidth="1"/>
    <col min="33" max="33" width="12.140625" customWidth="1"/>
    <col min="34" max="34" width="23" customWidth="1"/>
    <col min="35" max="16384" width="9.140625" hidden="1"/>
  </cols>
  <sheetData>
    <row r="1" spans="1:34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</row>
    <row r="2" spans="1:34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</row>
    <row r="3" spans="1:34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34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</row>
    <row r="5" spans="1:34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</row>
    <row r="6" spans="1:34" x14ac:dyDescent="0.25">
      <c r="A6" s="137"/>
      <c r="B6" s="134"/>
      <c r="C6" s="255" t="s">
        <v>1</v>
      </c>
      <c r="D6" s="255"/>
      <c r="E6" s="255"/>
      <c r="F6" s="255"/>
      <c r="G6" s="258"/>
      <c r="H6" s="255"/>
      <c r="I6" s="255"/>
      <c r="J6" s="134"/>
      <c r="K6" s="135"/>
      <c r="L6" s="261" t="s">
        <v>29</v>
      </c>
      <c r="M6" s="261"/>
      <c r="N6" s="261"/>
      <c r="O6" s="261"/>
      <c r="P6" s="135"/>
      <c r="Q6" s="134"/>
      <c r="R6" s="262" t="s">
        <v>5</v>
      </c>
      <c r="S6" s="262"/>
      <c r="T6" s="262"/>
      <c r="U6" s="262"/>
      <c r="V6" s="134"/>
      <c r="W6" s="134"/>
      <c r="X6" s="264" t="s">
        <v>30</v>
      </c>
      <c r="Y6" s="264"/>
      <c r="Z6" s="264"/>
      <c r="AA6" s="133"/>
      <c r="AB6" s="134"/>
      <c r="AC6" s="260" t="s">
        <v>33</v>
      </c>
      <c r="AD6" s="260"/>
      <c r="AE6" s="260"/>
      <c r="AF6" s="260"/>
      <c r="AG6" s="134"/>
      <c r="AH6" s="133"/>
    </row>
    <row r="7" spans="1:34" x14ac:dyDescent="0.25">
      <c r="A7" s="138"/>
      <c r="B7" s="136"/>
      <c r="C7" s="66" t="s">
        <v>2</v>
      </c>
      <c r="D7" s="73" t="s">
        <v>35</v>
      </c>
      <c r="E7" s="66" t="s">
        <v>3</v>
      </c>
      <c r="F7" s="143" t="s">
        <v>4</v>
      </c>
      <c r="G7" s="139"/>
      <c r="H7" s="257" t="s">
        <v>20</v>
      </c>
      <c r="I7" s="256"/>
      <c r="J7" s="136"/>
      <c r="K7" s="132"/>
      <c r="L7" s="261"/>
      <c r="M7" s="261"/>
      <c r="N7" s="261"/>
      <c r="O7" s="261"/>
      <c r="P7" s="132"/>
      <c r="Q7" s="136"/>
      <c r="R7" s="263"/>
      <c r="S7" s="263"/>
      <c r="T7" s="263"/>
      <c r="U7" s="263"/>
      <c r="V7" s="132"/>
      <c r="W7" s="133"/>
      <c r="X7" s="265"/>
      <c r="Y7" s="265"/>
      <c r="Z7" s="265"/>
      <c r="AA7" s="133"/>
      <c r="AB7" s="136"/>
      <c r="AC7" s="259" t="s">
        <v>7</v>
      </c>
      <c r="AD7" s="259"/>
      <c r="AE7" s="259"/>
      <c r="AF7" s="259"/>
      <c r="AG7" s="134"/>
      <c r="AH7" s="133"/>
    </row>
    <row r="8" spans="1:34" x14ac:dyDescent="0.25">
      <c r="A8" s="174" t="s">
        <v>43</v>
      </c>
      <c r="B8" s="20" t="s">
        <v>19</v>
      </c>
      <c r="C8" s="40" t="s">
        <v>8</v>
      </c>
      <c r="D8" s="41" t="s">
        <v>34</v>
      </c>
      <c r="E8" s="41" t="s">
        <v>15</v>
      </c>
      <c r="F8" s="144" t="s">
        <v>10</v>
      </c>
      <c r="G8" s="139"/>
      <c r="H8" s="160" t="s">
        <v>15</v>
      </c>
      <c r="I8" s="42" t="s">
        <v>10</v>
      </c>
      <c r="J8" s="44" t="s">
        <v>21</v>
      </c>
      <c r="K8" s="139"/>
      <c r="L8" s="163" t="s">
        <v>19</v>
      </c>
      <c r="M8" s="26" t="s">
        <v>12</v>
      </c>
      <c r="N8" s="26" t="s">
        <v>13</v>
      </c>
      <c r="O8" s="151" t="s">
        <v>14</v>
      </c>
      <c r="P8" s="139"/>
      <c r="Q8" s="32" t="s">
        <v>19</v>
      </c>
      <c r="R8" s="43" t="s">
        <v>8</v>
      </c>
      <c r="S8" s="43" t="s">
        <v>34</v>
      </c>
      <c r="T8" s="43" t="s">
        <v>15</v>
      </c>
      <c r="U8" s="154" t="s">
        <v>10</v>
      </c>
      <c r="V8" s="141"/>
      <c r="W8" s="32" t="s">
        <v>19</v>
      </c>
      <c r="X8" s="18" t="s">
        <v>37</v>
      </c>
      <c r="Y8" s="18" t="s">
        <v>27</v>
      </c>
      <c r="Z8" s="44" t="s">
        <v>28</v>
      </c>
      <c r="AA8" s="141"/>
      <c r="AB8" s="32" t="s">
        <v>19</v>
      </c>
      <c r="AC8" s="21" t="s">
        <v>8</v>
      </c>
      <c r="AD8" s="72" t="s">
        <v>34</v>
      </c>
      <c r="AE8" s="21" t="s">
        <v>15</v>
      </c>
      <c r="AF8" s="21" t="s">
        <v>10</v>
      </c>
      <c r="AG8" s="44" t="s">
        <v>16</v>
      </c>
      <c r="AH8" s="21" t="s">
        <v>18</v>
      </c>
    </row>
    <row r="9" spans="1:34" x14ac:dyDescent="0.25">
      <c r="A9" s="27">
        <v>1</v>
      </c>
      <c r="B9" s="22">
        <f>'Entrada de dados'!$B$9</f>
        <v>0</v>
      </c>
      <c r="C9" s="68">
        <f>'Entrada de dados'!I9-'Entrada de dados'!C9</f>
        <v>6.52</v>
      </c>
      <c r="D9" s="68">
        <f>'Entrada de dados'!J9-'Entrada de dados'!D9</f>
        <v>0.68700000000000117</v>
      </c>
      <c r="E9" s="89">
        <f>('Entrada de dados'!K9-'Entrada de dados'!E9-F9)-0.01</f>
        <v>2.6499999999998629E-2</v>
      </c>
      <c r="F9" s="145">
        <f>('Entrada de dados'!L9-'Entrada de dados'!F9)-0.01</f>
        <v>0.10780000000000257</v>
      </c>
      <c r="G9" s="139"/>
      <c r="H9" s="161">
        <f t="shared" ref="H9:H32" si="0">(E9)*20</f>
        <v>0.5299999999999726</v>
      </c>
      <c r="I9" s="85">
        <f t="shared" ref="I9:I32" si="1">(F9)*20</f>
        <v>2.1560000000000517</v>
      </c>
      <c r="J9" s="147">
        <f>C9+H9+I9</f>
        <v>9.2060000000000244</v>
      </c>
      <c r="K9" s="139"/>
      <c r="L9" s="46">
        <f>'Entrada de dados'!B9</f>
        <v>0</v>
      </c>
      <c r="M9" s="85">
        <f>'Entrada de dados'!Q9-'Entrada de dados'!P9</f>
        <v>10</v>
      </c>
      <c r="N9" s="87">
        <f>'Entrada de dados'!R9-'Entrada de dados'!P9</f>
        <v>9.8990000000000009</v>
      </c>
      <c r="O9" s="152">
        <f t="shared" ref="O9:O32" si="2">M9/N9</f>
        <v>1.0102030508132134</v>
      </c>
      <c r="P9" s="139"/>
      <c r="Q9" s="46">
        <f>'Entrada de dados'!$B$9</f>
        <v>0</v>
      </c>
      <c r="R9" s="50">
        <f>C9*(1000/'Entrada de dados'!M9)*'Qualidade dos Dados'!O9</f>
        <v>658.65238913021517</v>
      </c>
      <c r="S9" s="50">
        <f>D9*(1000/'Entrada de dados'!M9)*'Qualidade dos Dados'!O9</f>
        <v>69.400949590867882</v>
      </c>
      <c r="T9" s="50">
        <f>H9*(1000/'Entrada de dados'!M9)*'Qualidade dos Dados'!O9</f>
        <v>53.540761693097537</v>
      </c>
      <c r="U9" s="155">
        <f>I9*(1000/'Entrada de dados'!M9)*'Qualidade dos Dados'!O9</f>
        <v>217.79977775533402</v>
      </c>
      <c r="V9" s="141"/>
      <c r="W9" s="46">
        <f>'Entrada de dados'!$B$9</f>
        <v>0</v>
      </c>
      <c r="X9" s="23">
        <f t="shared" ref="X9:X32" si="3">SUM(R9:U9)/10</f>
        <v>99.939387816951466</v>
      </c>
      <c r="Y9" s="23" t="str">
        <f>IF(OR(AH9 = "Siltosa", AH9= "Arenosa"),"Verificar Triangulo", "Classificada")</f>
        <v>Classificada</v>
      </c>
      <c r="Z9" s="157" t="str">
        <f>IF(AND(92&lt;X9,X9&lt;102,T9&gt;=0,U9&gt;=0,R9&gt;=0,'Qualidade dos Dados'!O9&gt;=1),"PROSSEGUIR","Verificar insconsistências")</f>
        <v>PROSSEGUIR</v>
      </c>
      <c r="AA9" s="141"/>
      <c r="AB9" s="46">
        <f>'Entrada de dados'!$B$9</f>
        <v>0</v>
      </c>
      <c r="AC9" s="24">
        <f>'Classificação Textural'!C8*10</f>
        <v>659.05185484685967</v>
      </c>
      <c r="AD9" s="24">
        <f>'Classificação Textural'!D8*10</f>
        <v>69.443040533710644</v>
      </c>
      <c r="AE9" s="24">
        <f>'Classificação Textural'!F8*10</f>
        <v>53.573233599511894</v>
      </c>
      <c r="AF9" s="24">
        <f>'Classificação Textural'!G8*10</f>
        <v>217.93187101991771</v>
      </c>
      <c r="AG9" s="56">
        <f t="shared" ref="AG9:AG32" si="4">AC9+AE9+AF9+AD9</f>
        <v>1000</v>
      </c>
      <c r="AH9" s="36" t="str">
        <f>'Classificação Textural'!I8</f>
        <v>Média</v>
      </c>
    </row>
    <row r="10" spans="1:34" x14ac:dyDescent="0.25">
      <c r="A10" s="19">
        <v>2</v>
      </c>
      <c r="B10" s="35">
        <f>'Entrada de dados'!$B$10</f>
        <v>0</v>
      </c>
      <c r="C10" s="69">
        <f>'Entrada de dados'!I10-'Entrada de dados'!C10</f>
        <v>2.2300000000000004</v>
      </c>
      <c r="D10" s="69">
        <f>'Entrada de dados'!J10-'Entrada de dados'!D10</f>
        <v>1.9989999999999988</v>
      </c>
      <c r="E10" s="90">
        <f>('Entrada de dados'!K10-'Entrada de dados'!E10-F10)-0.01</f>
        <v>4.4899999999998393E-2</v>
      </c>
      <c r="F10" s="146">
        <f>('Entrada de dados'!L10-'Entrada de dados'!F10)-0.01</f>
        <v>0.21930000000000205</v>
      </c>
      <c r="G10" s="139"/>
      <c r="H10" s="162">
        <f t="shared" si="0"/>
        <v>0.89799999999996782</v>
      </c>
      <c r="I10" s="86">
        <f t="shared" si="1"/>
        <v>4.386000000000041</v>
      </c>
      <c r="J10" s="148">
        <f t="shared" ref="J10:J32" si="5">C10+H10+I10</f>
        <v>7.5140000000000091</v>
      </c>
      <c r="K10" s="139"/>
      <c r="L10" s="33">
        <f>'Entrada de dados'!B10</f>
        <v>0</v>
      </c>
      <c r="M10" s="86">
        <f>'Entrada de dados'!Q10-'Entrada de dados'!P10</f>
        <v>10</v>
      </c>
      <c r="N10" s="88">
        <f>'Entrada de dados'!R10-'Entrada de dados'!P10</f>
        <v>9.82</v>
      </c>
      <c r="O10" s="153">
        <f t="shared" si="2"/>
        <v>1.0183299389002036</v>
      </c>
      <c r="P10" s="139"/>
      <c r="Q10" s="33">
        <f>'Entrada de dados'!$B$10</f>
        <v>0</v>
      </c>
      <c r="R10" s="49">
        <f>C10*(1000/'Entrada de dados'!M10)*'Qualidade dos Dados'!O10</f>
        <v>227.08757637474545</v>
      </c>
      <c r="S10" s="49">
        <f>D10*(1000/'Entrada de dados'!M10)*'Qualidade dos Dados'!O10</f>
        <v>203.56415478615057</v>
      </c>
      <c r="T10" s="49">
        <f>H10*(1000/'Entrada de dados'!M10)*'Qualidade dos Dados'!O10</f>
        <v>91.446028513235007</v>
      </c>
      <c r="U10" s="156">
        <f>I10*(1000/'Entrada de dados'!M10)*'Qualidade dos Dados'!O10</f>
        <v>446.63951120163352</v>
      </c>
      <c r="V10" s="141"/>
      <c r="W10" s="33">
        <f>'Entrada de dados'!$B$10</f>
        <v>0</v>
      </c>
      <c r="X10" s="51">
        <f t="shared" si="3"/>
        <v>96.873727087576455</v>
      </c>
      <c r="Y10" s="51" t="str">
        <f t="shared" ref="Y10:Y32" si="6">IF(OR(AH10 = "Siltosa", AH10= "Arenosa"),"Verificar Triangulo", "Classificada")</f>
        <v>Classificada</v>
      </c>
      <c r="Z10" s="158" t="str">
        <f>IF(AND(92&lt;X10,X10&lt;102,T10&gt;=0,U10&gt;=0,R10&gt;=0,'Qualidade dos Dados'!O10&gt;=1),"PROSSEGUIR","Verificar insconsistências")</f>
        <v>PROSSEGUIR</v>
      </c>
      <c r="AA10" s="141"/>
      <c r="AB10" s="33">
        <f>'Entrada de dados'!$B$10</f>
        <v>0</v>
      </c>
      <c r="AC10" s="15">
        <f>'Classificação Textural'!C9*10</f>
        <v>234.41606223063161</v>
      </c>
      <c r="AD10" s="15">
        <f>'Classificação Textural'!D9*10</f>
        <v>210.1335015242297</v>
      </c>
      <c r="AE10" s="15">
        <f>'Classificação Textural'!F9*10</f>
        <v>94.397140754753195</v>
      </c>
      <c r="AF10" s="15">
        <f>'Classificação Textural'!G9*10</f>
        <v>461.05329549038561</v>
      </c>
      <c r="AG10" s="57">
        <f t="shared" si="4"/>
        <v>1000.0000000000001</v>
      </c>
      <c r="AH10" s="51" t="str">
        <f>'Classificação Textural'!I9</f>
        <v>Argilosa</v>
      </c>
    </row>
    <row r="11" spans="1:34" x14ac:dyDescent="0.25">
      <c r="A11" s="27">
        <v>3</v>
      </c>
      <c r="B11" s="37">
        <f>'Entrada de dados'!$B$11</f>
        <v>0</v>
      </c>
      <c r="C11" s="68">
        <f>'Entrada de dados'!I11-'Entrada de dados'!C11</f>
        <v>3.4380000000000024</v>
      </c>
      <c r="D11" s="68">
        <f>'Entrada de dados'!J11-'Entrada de dados'!D11</f>
        <v>0.92999999999999972</v>
      </c>
      <c r="E11" s="89">
        <f>('Entrada de dados'!K11-'Entrada de dados'!E11-F11)-0.01</f>
        <v>2.0700000000005055E-2</v>
      </c>
      <c r="F11" s="145">
        <f>('Entrada de dados'!L11-'Entrada de dados'!F11)-0.01</f>
        <v>0.24909999999999655</v>
      </c>
      <c r="G11" s="139"/>
      <c r="H11" s="161">
        <f t="shared" si="0"/>
        <v>0.41400000000010106</v>
      </c>
      <c r="I11" s="85">
        <f t="shared" si="1"/>
        <v>4.9819999999999309</v>
      </c>
      <c r="J11" s="149">
        <f t="shared" si="5"/>
        <v>8.8340000000000352</v>
      </c>
      <c r="K11" s="139"/>
      <c r="L11" s="46">
        <f>'Entrada de dados'!B11</f>
        <v>0</v>
      </c>
      <c r="M11" s="85">
        <f>'Entrada de dados'!Q11-'Entrada de dados'!P11</f>
        <v>10</v>
      </c>
      <c r="N11" s="87">
        <f>'Entrada de dados'!R11-'Entrada de dados'!P11</f>
        <v>9.8260000000000005</v>
      </c>
      <c r="O11" s="152">
        <f t="shared" si="2"/>
        <v>1.0177081213108079</v>
      </c>
      <c r="P11" s="139"/>
      <c r="Q11" s="47">
        <f>'Entrada de dados'!$B$11</f>
        <v>0</v>
      </c>
      <c r="R11" s="50">
        <f>C11*(1000/'Entrada de dados'!M11)*'Qualidade dos Dados'!O11</f>
        <v>349.888052106656</v>
      </c>
      <c r="S11" s="50">
        <f>D11*(1000/'Entrada de dados'!M11)*'Qualidade dos Dados'!O11</f>
        <v>94.646855281905104</v>
      </c>
      <c r="T11" s="50">
        <f>H11*(1000/'Entrada de dados'!M11)*'Qualidade dos Dados'!O11</f>
        <v>42.133116222277735</v>
      </c>
      <c r="U11" s="155">
        <f>I11*(1000/'Entrada de dados'!M11)*'Qualidade dos Dados'!O11</f>
        <v>507.0221860370375</v>
      </c>
      <c r="V11" s="141"/>
      <c r="W11" s="47">
        <f>'Entrada de dados'!$B$11</f>
        <v>0</v>
      </c>
      <c r="X11" s="23">
        <f t="shared" si="3"/>
        <v>99.369020964787637</v>
      </c>
      <c r="Y11" s="23" t="str">
        <f t="shared" si="6"/>
        <v>Classificada</v>
      </c>
      <c r="Z11" s="159" t="str">
        <f>IF(AND(92&lt;X11,X11&lt;102,T11&gt;=0,U11&gt;=0,R11&gt;=0,'Qualidade dos Dados'!O11&gt;=1),"PROSSEGUIR","Verificar insconsistências")</f>
        <v>PROSSEGUIR</v>
      </c>
      <c r="AA11" s="141"/>
      <c r="AB11" s="47">
        <f>'Entrada de dados'!$B$11</f>
        <v>0</v>
      </c>
      <c r="AC11" s="38">
        <f>'Classificação Textural'!C10*10</f>
        <v>352.10979106923287</v>
      </c>
      <c r="AD11" s="38">
        <f>'Classificação Textural'!D10*10</f>
        <v>95.247849242113517</v>
      </c>
      <c r="AE11" s="38">
        <f>'Classificação Textural'!F10*10</f>
        <v>42.400655469080263</v>
      </c>
      <c r="AF11" s="38">
        <f>'Classificação Textural'!G10*10</f>
        <v>510.24170421957331</v>
      </c>
      <c r="AG11" s="58">
        <f t="shared" si="4"/>
        <v>1000</v>
      </c>
      <c r="AH11" s="36" t="str">
        <f>'Classificação Textural'!I10</f>
        <v>Argilosa</v>
      </c>
    </row>
    <row r="12" spans="1:34" x14ac:dyDescent="0.25">
      <c r="A12" s="19">
        <v>4</v>
      </c>
      <c r="B12" s="35">
        <f>'Entrada de dados'!$B$12</f>
        <v>0</v>
      </c>
      <c r="C12" s="69">
        <f>'Entrada de dados'!I12-'Entrada de dados'!C12</f>
        <v>4.2290000000000028</v>
      </c>
      <c r="D12" s="69">
        <f>'Entrada de dados'!J12-'Entrada de dados'!D12</f>
        <v>1.3939999999999984</v>
      </c>
      <c r="E12" s="90">
        <f>('Entrada de dados'!K12-'Entrada de dados'!E12-F12)-0.01</f>
        <v>4.6399999999998449E-2</v>
      </c>
      <c r="F12" s="146">
        <f>('Entrada de dados'!L12-'Entrada de dados'!F12)-0.01</f>
        <v>0.12750000000000283</v>
      </c>
      <c r="G12" s="139"/>
      <c r="H12" s="162">
        <f t="shared" si="0"/>
        <v>0.92799999999996896</v>
      </c>
      <c r="I12" s="86">
        <f t="shared" si="1"/>
        <v>2.5500000000000567</v>
      </c>
      <c r="J12" s="150">
        <f t="shared" si="5"/>
        <v>7.7070000000000283</v>
      </c>
      <c r="K12" s="139"/>
      <c r="L12" s="33">
        <f>'Entrada de dados'!B12</f>
        <v>0</v>
      </c>
      <c r="M12" s="86">
        <f>'Entrada de dados'!Q12-'Entrada de dados'!P12</f>
        <v>10</v>
      </c>
      <c r="N12" s="88">
        <f>'Entrada de dados'!R12-'Entrada de dados'!P12</f>
        <v>9.8550000000000004</v>
      </c>
      <c r="O12" s="153">
        <f t="shared" si="2"/>
        <v>1.0147133434804667</v>
      </c>
      <c r="P12" s="139"/>
      <c r="Q12" s="33">
        <f>'Entrada de dados'!$B$12</f>
        <v>0</v>
      </c>
      <c r="R12" s="49">
        <f>C12*(1000/'Entrada de dados'!M12)*'Qualidade dos Dados'!O12</f>
        <v>429.12227295788966</v>
      </c>
      <c r="S12" s="49">
        <f>D12*(1000/'Entrada de dados'!M12)*'Qualidade dos Dados'!O12</f>
        <v>141.4510400811769</v>
      </c>
      <c r="T12" s="49">
        <f>H12*(1000/'Entrada de dados'!M12)*'Qualidade dos Dados'!O12</f>
        <v>94.16539827498417</v>
      </c>
      <c r="U12" s="156">
        <f>I12*(1000/'Entrada de dados'!M12)*'Qualidade dos Dados'!O12</f>
        <v>258.75190258752474</v>
      </c>
      <c r="V12" s="141"/>
      <c r="W12" s="33">
        <f>'Entrada de dados'!$B$12</f>
        <v>0</v>
      </c>
      <c r="X12" s="51">
        <f t="shared" si="3"/>
        <v>92.349061390157544</v>
      </c>
      <c r="Y12" s="51" t="str">
        <f t="shared" si="6"/>
        <v>Classificada</v>
      </c>
      <c r="Z12" s="158" t="str">
        <f>IF(AND(92&lt;X12,X12&lt;102,T12&gt;=0,U12&gt;=0,R12&gt;=0,'Qualidade dos Dados'!O12&gt;=1),"PROSSEGUIR","Verificar insconsistências")</f>
        <v>PROSSEGUIR</v>
      </c>
      <c r="AA12" s="141"/>
      <c r="AB12" s="33">
        <f>'Entrada de dados'!$B$12</f>
        <v>0</v>
      </c>
      <c r="AC12" s="15">
        <f>'Classificação Textural'!C11*10</f>
        <v>464.6742116250951</v>
      </c>
      <c r="AD12" s="15">
        <f>'Classificação Textural'!D11*10</f>
        <v>153.16998132073337</v>
      </c>
      <c r="AE12" s="15">
        <f>'Classificação Textural'!F11*10</f>
        <v>101.96681683331133</v>
      </c>
      <c r="AF12" s="15">
        <f>'Classificação Textural'!G11*10</f>
        <v>280.18899022086026</v>
      </c>
      <c r="AG12" s="57">
        <f t="shared" si="4"/>
        <v>1000</v>
      </c>
      <c r="AH12" s="51" t="str">
        <f>'Classificação Textural'!I11</f>
        <v>Média</v>
      </c>
    </row>
    <row r="13" spans="1:34" x14ac:dyDescent="0.25">
      <c r="A13" s="27">
        <v>5</v>
      </c>
      <c r="B13" s="37">
        <f>'Entrada de dados'!$B$13</f>
        <v>0</v>
      </c>
      <c r="C13" s="68">
        <f>'Entrada de dados'!I13-'Entrada de dados'!C13</f>
        <v>5.0350000000000001</v>
      </c>
      <c r="D13" s="68">
        <f>'Entrada de dados'!J13-'Entrada de dados'!D13</f>
        <v>1.2709999999999972</v>
      </c>
      <c r="E13" s="89">
        <f>('Entrada de dados'!K13-'Entrada de dados'!E13-F13)-0.01</f>
        <v>4.8700000000003733E-2</v>
      </c>
      <c r="F13" s="145">
        <f>('Entrada de dados'!L13-'Entrada de dados'!F13)-0.01</f>
        <v>0.11349999999999995</v>
      </c>
      <c r="G13" s="139"/>
      <c r="H13" s="161">
        <f t="shared" si="0"/>
        <v>0.97400000000007469</v>
      </c>
      <c r="I13" s="85">
        <f t="shared" si="1"/>
        <v>2.2699999999999991</v>
      </c>
      <c r="J13" s="147">
        <f t="shared" si="5"/>
        <v>8.2790000000000745</v>
      </c>
      <c r="K13" s="139"/>
      <c r="L13" s="46">
        <f>'Entrada de dados'!B13</f>
        <v>0</v>
      </c>
      <c r="M13" s="85">
        <f>'Entrada de dados'!Q13-'Entrada de dados'!P13</f>
        <v>10</v>
      </c>
      <c r="N13" s="87">
        <f>'Entrada de dados'!R13-'Entrada de dados'!P13</f>
        <v>9.8960000000000008</v>
      </c>
      <c r="O13" s="152">
        <f t="shared" si="2"/>
        <v>1.0105092966855294</v>
      </c>
      <c r="P13" s="139"/>
      <c r="Q13" s="47">
        <f>'Entrada de dados'!$B$13</f>
        <v>0</v>
      </c>
      <c r="R13" s="50">
        <f>C13*(1000/'Entrada de dados'!M13)*'Qualidade dos Dados'!O13</f>
        <v>508.79143088116405</v>
      </c>
      <c r="S13" s="50">
        <f>D13*(1000/'Entrada de dados'!M13)*'Qualidade dos Dados'!O13</f>
        <v>128.43573160873049</v>
      </c>
      <c r="T13" s="50">
        <f>H13*(1000/'Entrada de dados'!M13)*'Qualidade dos Dados'!O13</f>
        <v>98.423605497178102</v>
      </c>
      <c r="U13" s="155">
        <f>I13*(1000/'Entrada de dados'!M13)*'Qualidade dos Dados'!O13</f>
        <v>229.38561034761508</v>
      </c>
      <c r="V13" s="141"/>
      <c r="W13" s="47">
        <f>'Entrada de dados'!$B$13</f>
        <v>0</v>
      </c>
      <c r="X13" s="23">
        <f t="shared" si="3"/>
        <v>96.503637833468773</v>
      </c>
      <c r="Y13" s="23" t="str">
        <f t="shared" si="6"/>
        <v>Classificada</v>
      </c>
      <c r="Z13" s="157" t="str">
        <f>IF(AND(92&lt;X13,X13&lt;102,T13&gt;=0,U13&gt;=0,R13&gt;=0,'Qualidade dos Dados'!O13&gt;=1),"PROSSEGUIR","Verificar insconsistências")</f>
        <v>PROSSEGUIR</v>
      </c>
      <c r="AA13" s="141"/>
      <c r="AB13" s="47">
        <f>'Entrada de dados'!$B$13</f>
        <v>0</v>
      </c>
      <c r="AC13" s="38">
        <f>'Classificação Textural'!C12*10</f>
        <v>527.22513089004849</v>
      </c>
      <c r="AD13" s="38">
        <f>'Classificação Textural'!D12*10</f>
        <v>133.08900523560081</v>
      </c>
      <c r="AE13" s="38">
        <f>'Classificação Textural'!F12*10</f>
        <v>101.98952879581856</v>
      </c>
      <c r="AF13" s="38">
        <f>'Classificação Textural'!G12*10</f>
        <v>237.69633507853214</v>
      </c>
      <c r="AG13" s="58">
        <f t="shared" si="4"/>
        <v>999.99999999999989</v>
      </c>
      <c r="AH13" s="36" t="str">
        <f>'Classificação Textural'!I12</f>
        <v>Média</v>
      </c>
    </row>
    <row r="14" spans="1:34" x14ac:dyDescent="0.25">
      <c r="A14" s="19">
        <v>6</v>
      </c>
      <c r="B14" s="35">
        <f>'Entrada de dados'!$B$14</f>
        <v>0</v>
      </c>
      <c r="C14" s="69">
        <f>'Entrada de dados'!I14-'Entrada de dados'!C14</f>
        <v>4.7579999999999991</v>
      </c>
      <c r="D14" s="69">
        <f>'Entrada de dados'!J14-'Entrada de dados'!D14</f>
        <v>0.69999999999999929</v>
      </c>
      <c r="E14" s="90">
        <f>('Entrada de dados'!K14-'Entrada de dados'!E14-F14)-0.01</f>
        <v>2.3099999999995909E-2</v>
      </c>
      <c r="F14" s="146">
        <f>('Entrada de dados'!L14-'Entrada de dados'!F14)-0.01</f>
        <v>0.18940000000000068</v>
      </c>
      <c r="G14" s="139"/>
      <c r="H14" s="162">
        <f t="shared" si="0"/>
        <v>0.46199999999991814</v>
      </c>
      <c r="I14" s="86">
        <f t="shared" si="1"/>
        <v>3.7880000000000136</v>
      </c>
      <c r="J14" s="150">
        <f t="shared" si="5"/>
        <v>9.0079999999999316</v>
      </c>
      <c r="K14" s="139"/>
      <c r="L14" s="33">
        <f>'Entrada de dados'!B14</f>
        <v>0</v>
      </c>
      <c r="M14" s="86">
        <f>'Entrada de dados'!Q14-'Entrada de dados'!P14</f>
        <v>10</v>
      </c>
      <c r="N14" s="88">
        <f>'Entrada de dados'!R14-'Entrada de dados'!P14</f>
        <v>9.8659999999999997</v>
      </c>
      <c r="O14" s="153">
        <f t="shared" si="2"/>
        <v>1.0135819987837016</v>
      </c>
      <c r="P14" s="139"/>
      <c r="Q14" s="33">
        <f>'Entrada de dados'!$B$14</f>
        <v>0</v>
      </c>
      <c r="R14" s="49">
        <f>C14*(1000/'Entrada de dados'!M14)*'Qualidade dos Dados'!O14</f>
        <v>482.26231502128513</v>
      </c>
      <c r="S14" s="49">
        <f>D14*(1000/'Entrada de dados'!M14)*'Qualidade dos Dados'!O14</f>
        <v>70.950739914859042</v>
      </c>
      <c r="T14" s="49">
        <f>H14*(1000/'Entrada de dados'!M14)*'Qualidade dos Dados'!O14</f>
        <v>46.82748834379872</v>
      </c>
      <c r="U14" s="156">
        <f>I14*(1000/'Entrada de dados'!M14)*'Qualidade dos Dados'!O14</f>
        <v>383.94486113926757</v>
      </c>
      <c r="V14" s="141"/>
      <c r="W14" s="33">
        <f>'Entrada de dados'!$B$14</f>
        <v>0</v>
      </c>
      <c r="X14" s="51">
        <f t="shared" si="3"/>
        <v>98.398540441921043</v>
      </c>
      <c r="Y14" s="51" t="str">
        <f t="shared" si="6"/>
        <v>Classificada</v>
      </c>
      <c r="Z14" s="158" t="str">
        <f>IF(AND(92&lt;X14,X14&lt;102,T14&gt;=0,U14&gt;=0,R14&gt;=0,'Qualidade dos Dados'!O14&gt;=1),"PROSSEGUIR","Verificar insconsistências")</f>
        <v>PROSSEGUIR</v>
      </c>
      <c r="AA14" s="141"/>
      <c r="AB14" s="33">
        <f>'Entrada de dados'!$B$14</f>
        <v>0</v>
      </c>
      <c r="AC14" s="15">
        <f>'Classificação Textural'!C13*10</f>
        <v>490.11124845488604</v>
      </c>
      <c r="AD14" s="15">
        <f>'Classificação Textural'!D13*10</f>
        <v>72.105480016481707</v>
      </c>
      <c r="AE14" s="15">
        <f>'Classificação Textural'!F13*10</f>
        <v>47.589616810869543</v>
      </c>
      <c r="AF14" s="15">
        <f>'Classificação Textural'!G13*10</f>
        <v>390.19365471776274</v>
      </c>
      <c r="AG14" s="57">
        <f t="shared" si="4"/>
        <v>1000.0000000000001</v>
      </c>
      <c r="AH14" s="51" t="str">
        <f>'Classificação Textural'!I13</f>
        <v>Argilosa</v>
      </c>
    </row>
    <row r="15" spans="1:34" x14ac:dyDescent="0.25">
      <c r="A15" s="27">
        <v>7</v>
      </c>
      <c r="B15" s="37">
        <f>'Entrada de dados'!$B$15</f>
        <v>0</v>
      </c>
      <c r="C15" s="68">
        <f>'Entrada de dados'!I15-'Entrada de dados'!C15</f>
        <v>2.3830000000000027</v>
      </c>
      <c r="D15" s="68">
        <f>'Entrada de dados'!J15-'Entrada de dados'!D15</f>
        <v>1.6059999999999981</v>
      </c>
      <c r="E15" s="89">
        <f>('Entrada de dados'!K15-'Entrada de dados'!E15-F15)-0.01</f>
        <v>5.1499999999997222E-2</v>
      </c>
      <c r="F15" s="145">
        <f>('Entrada de dados'!L15-'Entrada de dados'!F15)-0.01</f>
        <v>0.24659999999999882</v>
      </c>
      <c r="G15" s="139"/>
      <c r="H15" s="161">
        <f t="shared" si="0"/>
        <v>1.0299999999999445</v>
      </c>
      <c r="I15" s="85">
        <f t="shared" si="1"/>
        <v>4.9319999999999764</v>
      </c>
      <c r="J15" s="147">
        <f t="shared" si="5"/>
        <v>8.3449999999999243</v>
      </c>
      <c r="K15" s="139"/>
      <c r="L15" s="46">
        <f>'Entrada de dados'!B15</f>
        <v>0</v>
      </c>
      <c r="M15" s="85">
        <f>'Entrada de dados'!Q15-'Entrada de dados'!P15</f>
        <v>10</v>
      </c>
      <c r="N15" s="87">
        <f>'Entrada de dados'!R15-'Entrada de dados'!P15</f>
        <v>9.8460000000000001</v>
      </c>
      <c r="O15" s="152">
        <f t="shared" si="2"/>
        <v>1.0156408693885841</v>
      </c>
      <c r="P15" s="139"/>
      <c r="Q15" s="47">
        <f>'Entrada de dados'!$B$15</f>
        <v>0</v>
      </c>
      <c r="R15" s="50">
        <f>C15*(1000/'Entrada de dados'!M15)*'Qualidade dos Dados'!O15</f>
        <v>242.02721917529988</v>
      </c>
      <c r="S15" s="50">
        <f>D15*(1000/'Entrada de dados'!M15)*'Qualidade dos Dados'!O15</f>
        <v>163.1119236238064</v>
      </c>
      <c r="T15" s="50">
        <f>H15*(1000/'Entrada de dados'!M15)*'Qualidade dos Dados'!O15</f>
        <v>104.61100954701854</v>
      </c>
      <c r="U15" s="155">
        <f>I15*(1000/'Entrada de dados'!M15)*'Qualidade dos Dados'!O15</f>
        <v>500.9140767824473</v>
      </c>
      <c r="V15" s="141"/>
      <c r="W15" s="47">
        <f>'Entrada de dados'!$B$15</f>
        <v>0</v>
      </c>
      <c r="X15" s="23">
        <f t="shared" si="3"/>
        <v>101.06642291285721</v>
      </c>
      <c r="Y15" s="23" t="str">
        <f t="shared" si="6"/>
        <v>Classificada</v>
      </c>
      <c r="Z15" s="157" t="str">
        <f>IF(AND(92&lt;X15,X15&lt;102,T15&gt;=0,U15&gt;=0,R15&gt;=0,'Qualidade dos Dados'!O15&gt;=1),"PROSSEGUIR","Verificar insconsistências")</f>
        <v>PROSSEGUIR</v>
      </c>
      <c r="AA15" s="141"/>
      <c r="AB15" s="47">
        <f>'Entrada de dados'!$B$15</f>
        <v>0</v>
      </c>
      <c r="AC15" s="38">
        <f>'Classificação Textural'!C14*10</f>
        <v>239.47341975681053</v>
      </c>
      <c r="AD15" s="38">
        <f>'Classificação Textural'!D14*10</f>
        <v>161.39081499346906</v>
      </c>
      <c r="AE15" s="38">
        <f>'Classificação Textural'!F14*10</f>
        <v>103.50718520751208</v>
      </c>
      <c r="AF15" s="38">
        <f>'Classificação Textural'!G14*10</f>
        <v>495.62858004220834</v>
      </c>
      <c r="AG15" s="58">
        <f t="shared" si="4"/>
        <v>1000</v>
      </c>
      <c r="AH15" s="36" t="str">
        <f>'Classificação Textural'!I14</f>
        <v>Argilosa</v>
      </c>
    </row>
    <row r="16" spans="1:34" x14ac:dyDescent="0.25">
      <c r="A16" s="19">
        <v>8</v>
      </c>
      <c r="B16" s="35">
        <f>'Entrada de dados'!$B$16</f>
        <v>0</v>
      </c>
      <c r="C16" s="69">
        <f>'Entrada de dados'!I16-'Entrada de dados'!C16</f>
        <v>3.0339999999999989</v>
      </c>
      <c r="D16" s="69">
        <f>'Entrada de dados'!J16-'Entrada de dados'!D16</f>
        <v>0.59199999999999875</v>
      </c>
      <c r="E16" s="90">
        <f>('Entrada de dados'!K16-'Entrada de dados'!E16-F16)-0.01</f>
        <v>1.9300000000001212E-2</v>
      </c>
      <c r="F16" s="146">
        <f>('Entrada de dados'!L16-'Entrada de dados'!F16)-0.01</f>
        <v>0.27170000000000072</v>
      </c>
      <c r="G16" s="139"/>
      <c r="H16" s="162">
        <f t="shared" si="0"/>
        <v>0.38600000000002421</v>
      </c>
      <c r="I16" s="86">
        <f t="shared" si="1"/>
        <v>5.4340000000000144</v>
      </c>
      <c r="J16" s="150">
        <f t="shared" si="5"/>
        <v>8.8540000000000383</v>
      </c>
      <c r="K16" s="139"/>
      <c r="L16" s="33">
        <f>'Entrada de dados'!B16</f>
        <v>0</v>
      </c>
      <c r="M16" s="86">
        <f>'Entrada de dados'!Q16-'Entrada de dados'!P16</f>
        <v>10</v>
      </c>
      <c r="N16" s="88">
        <f>'Entrada de dados'!R16-'Entrada de dados'!P16</f>
        <v>9.8890000000000029</v>
      </c>
      <c r="O16" s="153">
        <f t="shared" si="2"/>
        <v>1.0112245929821011</v>
      </c>
      <c r="P16" s="139"/>
      <c r="Q16" s="33">
        <f>'Entrada de dados'!$B$16</f>
        <v>0</v>
      </c>
      <c r="R16" s="49">
        <f>C16*(1000/'Entrada de dados'!M16)*'Qualidade dos Dados'!O16</f>
        <v>306.80554151076933</v>
      </c>
      <c r="S16" s="49">
        <f>D16*(1000/'Entrada de dados'!M16)*'Qualidade dos Dados'!O16</f>
        <v>59.864495904540256</v>
      </c>
      <c r="T16" s="49">
        <f>H16*(1000/'Entrada de dados'!M16)*'Qualidade dos Dados'!O16</f>
        <v>39.033269289111551</v>
      </c>
      <c r="U16" s="156">
        <f>I16*(1000/'Entrada de dados'!M16)*'Qualidade dos Dados'!O16</f>
        <v>549.49944382647516</v>
      </c>
      <c r="V16" s="141"/>
      <c r="W16" s="33">
        <f>'Entrada de dados'!$B$16</f>
        <v>0</v>
      </c>
      <c r="X16" s="51">
        <f t="shared" si="3"/>
        <v>95.520275053089634</v>
      </c>
      <c r="Y16" s="51" t="str">
        <f t="shared" si="6"/>
        <v>Classificada</v>
      </c>
      <c r="Z16" s="158" t="str">
        <f>IF(AND(92&lt;X16,X16&lt;102,T16&gt;=0,U16&gt;=0,R16&gt;=0,'Qualidade dos Dados'!O16&gt;=1),"PROSSEGUIR","Verificar insconsistências")</f>
        <v>PROSSEGUIR</v>
      </c>
      <c r="AA16" s="141"/>
      <c r="AB16" s="33">
        <f>'Entrada de dados'!$B$16</f>
        <v>0</v>
      </c>
      <c r="AC16" s="15">
        <f>'Classificação Textural'!C15*10</f>
        <v>321.1941562566152</v>
      </c>
      <c r="AD16" s="15">
        <f>'Classificação Textural'!D15*10</f>
        <v>62.67203048909554</v>
      </c>
      <c r="AE16" s="15">
        <f>'Classificação Textural'!F15*10</f>
        <v>40.863857717554815</v>
      </c>
      <c r="AF16" s="15">
        <f>'Classificação Textural'!G15*10</f>
        <v>575.26995553673441</v>
      </c>
      <c r="AG16" s="57">
        <f t="shared" si="4"/>
        <v>1000</v>
      </c>
      <c r="AH16" s="51" t="str">
        <f>'Classificação Textural'!I15</f>
        <v>Argilosa</v>
      </c>
    </row>
    <row r="17" spans="1:34" x14ac:dyDescent="0.25">
      <c r="A17" s="27">
        <v>9</v>
      </c>
      <c r="B17" s="22">
        <f>'Entrada de dados'!$B$17</f>
        <v>0</v>
      </c>
      <c r="C17" s="68">
        <f>'Entrada de dados'!I17-'Entrada de dados'!C17</f>
        <v>5.0279999999999987</v>
      </c>
      <c r="D17" s="68">
        <f>'Entrada de dados'!J17-'Entrada de dados'!D17</f>
        <v>0.8680000000000021</v>
      </c>
      <c r="E17" s="89">
        <f>('Entrada de dados'!K17-'Entrada de dados'!E17-F17)-0.01</f>
        <v>3.9000000000001485E-2</v>
      </c>
      <c r="F17" s="145">
        <f>('Entrada de dados'!L17-'Entrada de dados'!F17)-0.01</f>
        <v>0.16029999999999744</v>
      </c>
      <c r="G17" s="139"/>
      <c r="H17" s="161">
        <f t="shared" si="0"/>
        <v>0.78000000000002967</v>
      </c>
      <c r="I17" s="85">
        <f t="shared" si="1"/>
        <v>3.2059999999999489</v>
      </c>
      <c r="J17" s="147">
        <f t="shared" si="5"/>
        <v>9.013999999999978</v>
      </c>
      <c r="K17" s="139"/>
      <c r="L17" s="46">
        <f>'Entrada de dados'!B17</f>
        <v>0</v>
      </c>
      <c r="M17" s="85">
        <f>'Entrada de dados'!Q17-'Entrada de dados'!P17</f>
        <v>9.9999999999999964</v>
      </c>
      <c r="N17" s="87">
        <f>'Entrada de dados'!R17-'Entrada de dados'!P17</f>
        <v>9.833000000000002</v>
      </c>
      <c r="O17" s="152">
        <f t="shared" ref="O17" si="7">M17/N17</f>
        <v>1.0169836265636119</v>
      </c>
      <c r="P17" s="139"/>
      <c r="Q17" s="46">
        <f>'Entrada de dados'!$B$17</f>
        <v>0</v>
      </c>
      <c r="R17" s="50">
        <f>C17*(1000/'Entrada de dados'!M17)*'Qualidade dos Dados'!O17</f>
        <v>511.33936743618386</v>
      </c>
      <c r="S17" s="50">
        <f>D17*(1000/'Entrada de dados'!M17)*'Qualidade dos Dados'!O17</f>
        <v>88.274178785721716</v>
      </c>
      <c r="T17" s="50">
        <f>H17*(1000/'Entrada de dados'!M17)*'Qualidade dos Dados'!O17</f>
        <v>79.324722871964738</v>
      </c>
      <c r="U17" s="155">
        <f>I17*(1000/'Entrada de dados'!M17)*'Qualidade dos Dados'!O17</f>
        <v>326.04495067628881</v>
      </c>
      <c r="V17" s="141"/>
      <c r="W17" s="46">
        <f>'Entrada de dados'!$B$17</f>
        <v>0</v>
      </c>
      <c r="X17" s="23">
        <f t="shared" si="3"/>
        <v>100.49832197701592</v>
      </c>
      <c r="Y17" s="23" t="str">
        <f t="shared" si="6"/>
        <v>Classificada</v>
      </c>
      <c r="Z17" s="157" t="str">
        <f>IF(AND(92&lt;X17,X17&lt;102,T17&gt;=0,U17&gt;=0,R17&gt;=0,'Qualidade dos Dados'!O17&gt;=1),"PROSSEGUIR","Verificar insconsistências")</f>
        <v>PROSSEGUIR</v>
      </c>
      <c r="AA17" s="141"/>
      <c r="AB17" s="46">
        <f>'Entrada de dados'!$B$17</f>
        <v>0</v>
      </c>
      <c r="AC17" s="38">
        <f>'Classificação Textural'!C16*10</f>
        <v>508.80388585306707</v>
      </c>
      <c r="AD17" s="38">
        <f>'Classificação Textural'!D16*10</f>
        <v>87.836470350131918</v>
      </c>
      <c r="AE17" s="38">
        <f>'Classificação Textural'!F16*10</f>
        <v>78.931390406803402</v>
      </c>
      <c r="AF17" s="38">
        <f>'Classificação Textural'!G16*10</f>
        <v>324.42825338999751</v>
      </c>
      <c r="AG17" s="58">
        <f t="shared" si="4"/>
        <v>999.99999999999989</v>
      </c>
      <c r="AH17" s="36" t="str">
        <f>'Classificação Textural'!I16</f>
        <v>Média</v>
      </c>
    </row>
    <row r="18" spans="1:34" x14ac:dyDescent="0.25">
      <c r="A18" s="19">
        <v>10</v>
      </c>
      <c r="B18" s="35">
        <f>'Entrada de dados'!$B$18</f>
        <v>0</v>
      </c>
      <c r="C18" s="69">
        <f>'Entrada de dados'!I18-'Entrada de dados'!C18</f>
        <v>2.732999999999997</v>
      </c>
      <c r="D18" s="69">
        <f>'Entrada de dados'!J18-'Entrada de dados'!D18</f>
        <v>0.81599999999999895</v>
      </c>
      <c r="E18" s="90">
        <f>('Entrada de dados'!K18-'Entrada de dados'!E18-F18)-0.01</f>
        <v>2.2200000000005111E-2</v>
      </c>
      <c r="F18" s="146">
        <f>('Entrada de dados'!L18-'Entrada de dados'!F18)-0.01</f>
        <v>0.28429999999999978</v>
      </c>
      <c r="G18" s="139"/>
      <c r="H18" s="162">
        <f t="shared" si="0"/>
        <v>0.4440000000001022</v>
      </c>
      <c r="I18" s="86">
        <f t="shared" si="1"/>
        <v>5.6859999999999955</v>
      </c>
      <c r="J18" s="150">
        <f t="shared" si="5"/>
        <v>8.8630000000000955</v>
      </c>
      <c r="K18" s="139"/>
      <c r="L18" s="33">
        <f>'Entrada de dados'!B18</f>
        <v>0</v>
      </c>
      <c r="M18" s="86">
        <f>'Entrada de dados'!Q18-'Entrada de dados'!P18</f>
        <v>10</v>
      </c>
      <c r="N18" s="88">
        <f>'Entrada de dados'!R18-'Entrada de dados'!P18</f>
        <v>9.5720000000000027</v>
      </c>
      <c r="O18" s="153">
        <f t="shared" si="2"/>
        <v>1.0447137484329292</v>
      </c>
      <c r="P18" s="139"/>
      <c r="Q18" s="33">
        <f>'Entrada de dados'!$B$18</f>
        <v>0</v>
      </c>
      <c r="R18" s="49">
        <f>C18*(1000/'Entrada de dados'!M18)*'Qualidade dos Dados'!O18</f>
        <v>285.52026744671929</v>
      </c>
      <c r="S18" s="49">
        <f>D18*(1000/'Entrada de dados'!M18)*'Qualidade dos Dados'!O18</f>
        <v>85.24864187212691</v>
      </c>
      <c r="T18" s="49">
        <f>H18*(1000/'Entrada de dados'!M18)*'Qualidade dos Dados'!O18</f>
        <v>46.38529043043274</v>
      </c>
      <c r="U18" s="156">
        <f>I18*(1000/'Entrada de dados'!M18)*'Qualidade dos Dados'!O18</f>
        <v>594.02423735896309</v>
      </c>
      <c r="V18" s="141"/>
      <c r="W18" s="33">
        <f>'Entrada de dados'!$B$18</f>
        <v>0</v>
      </c>
      <c r="X18" s="51">
        <f t="shared" si="3"/>
        <v>101.1178437108242</v>
      </c>
      <c r="Y18" s="51" t="str">
        <f t="shared" si="6"/>
        <v>Classificada</v>
      </c>
      <c r="Z18" s="158" t="str">
        <f>IF(AND(92&lt;X18,X18&lt;102,T18&gt;=0,U18&gt;=0,R18&gt;=0,'Qualidade dos Dados'!O18&gt;=1),"PROSSEGUIR","Verificar insconsistências")</f>
        <v>PROSSEGUIR</v>
      </c>
      <c r="AA18" s="141"/>
      <c r="AB18" s="33">
        <f>'Entrada de dados'!$B$18</f>
        <v>0</v>
      </c>
      <c r="AC18" s="15">
        <f>'Classificação Textural'!C17*10</f>
        <v>282.36388056617119</v>
      </c>
      <c r="AD18" s="15">
        <f>'Classificação Textural'!D17*10</f>
        <v>84.306229982435269</v>
      </c>
      <c r="AE18" s="15">
        <f>'Classificação Textural'!F17*10</f>
        <v>45.872507490453344</v>
      </c>
      <c r="AF18" s="15">
        <f>'Classificação Textural'!G17*10</f>
        <v>587.45738196094021</v>
      </c>
      <c r="AG18" s="57">
        <f t="shared" si="4"/>
        <v>1000</v>
      </c>
      <c r="AH18" s="51" t="str">
        <f>'Classificação Textural'!I17</f>
        <v>Argilosa</v>
      </c>
    </row>
    <row r="19" spans="1:34" x14ac:dyDescent="0.25">
      <c r="A19" s="27">
        <v>11</v>
      </c>
      <c r="B19" s="37">
        <f>'Entrada de dados'!$B$19</f>
        <v>0</v>
      </c>
      <c r="C19" s="68">
        <f>'Entrada de dados'!I19-'Entrada de dados'!C19</f>
        <v>6.43</v>
      </c>
      <c r="D19" s="68">
        <f>'Entrada de dados'!J19-'Entrada de dados'!D19</f>
        <v>0.6839999999999975</v>
      </c>
      <c r="E19" s="89">
        <f>('Entrada de dados'!K19-'Entrada de dados'!E19-F19)-0.01</f>
        <v>3.0999999999998799E-2</v>
      </c>
      <c r="F19" s="145">
        <f>('Entrada de dados'!L19-'Entrada de dados'!F19)-0.01</f>
        <v>0.1097000000000017</v>
      </c>
      <c r="G19" s="139"/>
      <c r="H19" s="161">
        <f t="shared" si="0"/>
        <v>0.61999999999997601</v>
      </c>
      <c r="I19" s="85">
        <f t="shared" si="1"/>
        <v>2.1940000000000341</v>
      </c>
      <c r="J19" s="147">
        <f t="shared" si="5"/>
        <v>9.2440000000000104</v>
      </c>
      <c r="K19" s="139"/>
      <c r="L19" s="46">
        <f>'Entrada de dados'!B19</f>
        <v>0</v>
      </c>
      <c r="M19" s="85">
        <f>'Entrada de dados'!Q19-'Entrada de dados'!P19</f>
        <v>10</v>
      </c>
      <c r="N19" s="87">
        <f>'Entrada de dados'!R19-'Entrada de dados'!P19</f>
        <v>9.8990000000000009</v>
      </c>
      <c r="O19" s="152">
        <f>AVERAGE(O18,O20)</f>
        <v>1.0315218436665665</v>
      </c>
      <c r="P19" s="139"/>
      <c r="Q19" s="47">
        <f>'Entrada de dados'!$B$19</f>
        <v>0</v>
      </c>
      <c r="R19" s="50">
        <f>C19*(1000/'Entrada de dados'!M19)*'Qualidade dos Dados'!O19</f>
        <v>663.26854547760229</v>
      </c>
      <c r="S19" s="50">
        <f>D19*(1000/'Entrada de dados'!M19)*'Qualidade dos Dados'!O19</f>
        <v>70.556094106792898</v>
      </c>
      <c r="T19" s="50">
        <f>H19*(1000/'Entrada de dados'!M19)*'Qualidade dos Dados'!O19</f>
        <v>63.95435430732465</v>
      </c>
      <c r="U19" s="155">
        <f>I19*(1000/'Entrada de dados'!M19)*'Qualidade dos Dados'!O19</f>
        <v>226.31589250044823</v>
      </c>
      <c r="V19" s="141"/>
      <c r="W19" s="47">
        <f>'Entrada de dados'!$B$19</f>
        <v>0</v>
      </c>
      <c r="X19" s="23">
        <f t="shared" si="3"/>
        <v>102.4094886392168</v>
      </c>
      <c r="Y19" s="23" t="str">
        <f t="shared" si="6"/>
        <v>Classificada</v>
      </c>
      <c r="Z19" s="157" t="str">
        <f>IF(AND(92&lt;X19,X19&lt;102,T19&gt;=0,U19&gt;=0,R19&gt;=0,'Qualidade dos Dados'!O19&gt;=1),"PROSSEGUIR","Verificar insconsistências")</f>
        <v>Verificar insconsistências</v>
      </c>
      <c r="AA19" s="141"/>
      <c r="AB19" s="47">
        <f>'Entrada de dados'!$B$19</f>
        <v>0</v>
      </c>
      <c r="AC19" s="38">
        <f>'Classificação Textural'!C18*10</f>
        <v>647.66317485898412</v>
      </c>
      <c r="AD19" s="38">
        <f>'Classificação Textural'!D18*10</f>
        <v>68.896051571313151</v>
      </c>
      <c r="AE19" s="38">
        <f>'Classificação Textural'!F18*10</f>
        <v>62.449637389199793</v>
      </c>
      <c r="AF19" s="38">
        <f>'Classificação Textural'!G18*10</f>
        <v>220.99113618050285</v>
      </c>
      <c r="AG19" s="58">
        <f t="shared" si="4"/>
        <v>999.99999999999989</v>
      </c>
      <c r="AH19" s="36" t="str">
        <f>'Classificação Textural'!I18</f>
        <v>Média</v>
      </c>
    </row>
    <row r="20" spans="1:34" x14ac:dyDescent="0.25">
      <c r="A20" s="19">
        <v>12</v>
      </c>
      <c r="B20" s="35">
        <f>'Entrada de dados'!$B$20</f>
        <v>0</v>
      </c>
      <c r="C20" s="69">
        <f>'Entrada de dados'!I20-'Entrada de dados'!C20</f>
        <v>2.1879999999999988</v>
      </c>
      <c r="D20" s="69">
        <f>'Entrada de dados'!J20-'Entrada de dados'!D20</f>
        <v>2.0500000000000007</v>
      </c>
      <c r="E20" s="90">
        <f>('Entrada de dados'!K20-'Entrada de dados'!E20-F20)-0.01</f>
        <v>5.7700000000000536E-2</v>
      </c>
      <c r="F20" s="146">
        <f>('Entrada de dados'!L20-'Entrada de dados'!F20)-0.01</f>
        <v>0.21869999999999989</v>
      </c>
      <c r="G20" s="139"/>
      <c r="H20" s="162">
        <f t="shared" si="0"/>
        <v>1.1540000000000108</v>
      </c>
      <c r="I20" s="86">
        <f t="shared" si="1"/>
        <v>4.3739999999999979</v>
      </c>
      <c r="J20" s="150">
        <f t="shared" si="5"/>
        <v>7.7160000000000073</v>
      </c>
      <c r="K20" s="139"/>
      <c r="L20" s="33">
        <f>'Entrada de dados'!B20</f>
        <v>0</v>
      </c>
      <c r="M20" s="86">
        <f>'Entrada de dados'!Q20-'Entrada de dados'!P20</f>
        <v>10</v>
      </c>
      <c r="N20" s="88">
        <f>'Entrada de dados'!R20-'Entrada de dados'!P20</f>
        <v>9.82</v>
      </c>
      <c r="O20" s="153">
        <f t="shared" si="2"/>
        <v>1.0183299389002036</v>
      </c>
      <c r="P20" s="139"/>
      <c r="Q20" s="33">
        <f>'Entrada de dados'!$B$20</f>
        <v>0</v>
      </c>
      <c r="R20" s="49">
        <f>C20*(1000/'Entrada de dados'!M20)*'Qualidade dos Dados'!O20</f>
        <v>222.81059063136445</v>
      </c>
      <c r="S20" s="49">
        <f>D20*(1000/'Entrada de dados'!M20)*'Qualidade dos Dados'!O20</f>
        <v>208.75763747454181</v>
      </c>
      <c r="T20" s="49">
        <f>H20*(1000/'Entrada de dados'!M20)*'Qualidade dos Dados'!O20</f>
        <v>117.5152749490846</v>
      </c>
      <c r="U20" s="156">
        <f>I20*(1000/'Entrada de dados'!M20)*'Qualidade dos Dados'!O20</f>
        <v>445.41751527494887</v>
      </c>
      <c r="V20" s="141"/>
      <c r="W20" s="33">
        <f>'Entrada de dados'!$B$20</f>
        <v>0</v>
      </c>
      <c r="X20" s="51">
        <f t="shared" si="3"/>
        <v>99.450101832993965</v>
      </c>
      <c r="Y20" s="51" t="str">
        <f t="shared" si="6"/>
        <v>Classificada</v>
      </c>
      <c r="Z20" s="158" t="str">
        <f>IF(AND(92&lt;X20,X20&lt;102,T20&gt;=0,U20&gt;=0,R20&gt;=0,'Qualidade dos Dados'!O20&gt;=1),"PROSSEGUIR","Verificar insconsistências")</f>
        <v>PROSSEGUIR</v>
      </c>
      <c r="AA20" s="141"/>
      <c r="AB20" s="33">
        <f>'Entrada de dados'!$B$20</f>
        <v>0</v>
      </c>
      <c r="AC20" s="15">
        <f>'Classificação Textural'!C19*10</f>
        <v>224.04259676428396</v>
      </c>
      <c r="AD20" s="15">
        <f>'Classificação Textural'!D19*10</f>
        <v>209.91193938152762</v>
      </c>
      <c r="AE20" s="15">
        <f>'Classificação Textural'!F19*10</f>
        <v>118.16506246160247</v>
      </c>
      <c r="AF20" s="15">
        <f>'Classificação Textural'!G19*10</f>
        <v>447.88040139258601</v>
      </c>
      <c r="AG20" s="57">
        <f t="shared" si="4"/>
        <v>1000.0000000000001</v>
      </c>
      <c r="AH20" s="51" t="str">
        <f>'Classificação Textural'!I19</f>
        <v>Argilosa</v>
      </c>
    </row>
    <row r="21" spans="1:34" x14ac:dyDescent="0.25">
      <c r="A21" s="27">
        <v>13</v>
      </c>
      <c r="B21" s="37">
        <f>'Entrada de dados'!$B$21</f>
        <v>0</v>
      </c>
      <c r="C21" s="68">
        <f>'Entrada de dados'!I21-'Entrada de dados'!C21</f>
        <v>3.3740000000000023</v>
      </c>
      <c r="D21" s="68">
        <f>'Entrada de dados'!J21-'Entrada de dados'!D21</f>
        <v>0.90399999999999991</v>
      </c>
      <c r="E21" s="89">
        <f>('Entrada de dados'!K21-'Entrada de dados'!E21-F21)-0.01</f>
        <v>2.3699999999998063E-2</v>
      </c>
      <c r="F21" s="145">
        <f>('Entrada de dados'!L21-'Entrada de dados'!F21)-0.01</f>
        <v>0.24990000000000179</v>
      </c>
      <c r="G21" s="139"/>
      <c r="H21" s="161">
        <f t="shared" si="0"/>
        <v>0.47399999999996123</v>
      </c>
      <c r="I21" s="85">
        <f t="shared" si="1"/>
        <v>4.9980000000000357</v>
      </c>
      <c r="J21" s="147">
        <f t="shared" si="5"/>
        <v>8.8460000000000001</v>
      </c>
      <c r="K21" s="139"/>
      <c r="L21" s="46">
        <f>'Entrada de dados'!B21</f>
        <v>0</v>
      </c>
      <c r="M21" s="85">
        <f>'Entrada de dados'!Q21-'Entrada de dados'!P21</f>
        <v>10</v>
      </c>
      <c r="N21" s="87">
        <f>'Entrada de dados'!R21-'Entrada de dados'!P21</f>
        <v>9.8260000000000005</v>
      </c>
      <c r="O21" s="152">
        <f t="shared" si="2"/>
        <v>1.0177081213108079</v>
      </c>
      <c r="P21" s="139"/>
      <c r="Q21" s="47">
        <f>'Entrada de dados'!$B$21</f>
        <v>0</v>
      </c>
      <c r="R21" s="50">
        <f>C21*(1000/'Entrada de dados'!M21)*'Qualidade dos Dados'!O21</f>
        <v>343.37472013026678</v>
      </c>
      <c r="S21" s="50">
        <f>D21*(1000/'Entrada de dados'!M21)*'Qualidade dos Dados'!O21</f>
        <v>92.000814166497022</v>
      </c>
      <c r="T21" s="50">
        <f>H21*(1000/'Entrada de dados'!M21)*'Qualidade dos Dados'!O21</f>
        <v>48.239364950128355</v>
      </c>
      <c r="U21" s="155">
        <f>I21*(1000/'Entrada de dados'!M21)*'Qualidade dos Dados'!O21</f>
        <v>508.65051903114545</v>
      </c>
      <c r="V21" s="141"/>
      <c r="W21" s="47">
        <f>'Entrada de dados'!$B$21</f>
        <v>0</v>
      </c>
      <c r="X21" s="23">
        <f t="shared" si="3"/>
        <v>99.226541827803757</v>
      </c>
      <c r="Y21" s="23" t="str">
        <f t="shared" si="6"/>
        <v>Classificada</v>
      </c>
      <c r="Z21" s="157" t="str">
        <f>IF(AND(92&lt;X21,X21&lt;102,T21&gt;=0,U21&gt;=0,R21&gt;=0,'Qualidade dos Dados'!O21&gt;=1),"PROSSEGUIR","Verificar insconsistências")</f>
        <v>PROSSEGUIR</v>
      </c>
      <c r="AA21" s="141"/>
      <c r="AB21" s="47">
        <f>'Entrada de dados'!$B$21</f>
        <v>0</v>
      </c>
      <c r="AC21" s="38">
        <f>'Classificação Textural'!C20*10</f>
        <v>346.05128205128233</v>
      </c>
      <c r="AD21" s="38">
        <f>'Classificação Textural'!D20*10</f>
        <v>92.717948717948701</v>
      </c>
      <c r="AE21" s="38">
        <f>'Classificação Textural'!F20*10</f>
        <v>48.615384615380648</v>
      </c>
      <c r="AF21" s="38">
        <f>'Classificação Textural'!G20*10</f>
        <v>512.61538461538839</v>
      </c>
      <c r="AG21" s="58">
        <f t="shared" si="4"/>
        <v>1000.0000000000001</v>
      </c>
      <c r="AH21" s="36" t="str">
        <f>'Classificação Textural'!I20</f>
        <v>Argilosa</v>
      </c>
    </row>
    <row r="22" spans="1:34" x14ac:dyDescent="0.25">
      <c r="A22" s="19">
        <v>14</v>
      </c>
      <c r="B22" s="35">
        <f>'Entrada de dados'!$B$22</f>
        <v>0</v>
      </c>
      <c r="C22" s="69">
        <f>'Entrada de dados'!I22-'Entrada de dados'!C22</f>
        <v>5.009999999999998</v>
      </c>
      <c r="D22" s="69">
        <f>'Entrada de dados'!J22-'Entrada de dados'!D22</f>
        <v>1.2409999999999997</v>
      </c>
      <c r="E22" s="90">
        <f>('Entrada de dados'!K22-'Entrada de dados'!E22-F22)-0.01</f>
        <v>5.0100000000000484E-2</v>
      </c>
      <c r="F22" s="146">
        <f>('Entrada de dados'!L22-'Entrada de dados'!F22)-0.01</f>
        <v>0.13309999999999689</v>
      </c>
      <c r="G22" s="139"/>
      <c r="H22" s="162">
        <f t="shared" si="0"/>
        <v>1.0020000000000098</v>
      </c>
      <c r="I22" s="86">
        <f t="shared" si="1"/>
        <v>2.6619999999999377</v>
      </c>
      <c r="J22" s="150">
        <f t="shared" si="5"/>
        <v>8.6739999999999462</v>
      </c>
      <c r="K22" s="139"/>
      <c r="L22" s="33">
        <f>'Entrada de dados'!B22</f>
        <v>0</v>
      </c>
      <c r="M22" s="86">
        <f>'Entrada de dados'!Q22-'Entrada de dados'!P22</f>
        <v>10</v>
      </c>
      <c r="N22" s="88">
        <f>'Entrada de dados'!R22-'Entrada de dados'!P22</f>
        <v>9.8550000000000004</v>
      </c>
      <c r="O22" s="153">
        <f t="shared" si="2"/>
        <v>1.0147133434804667</v>
      </c>
      <c r="P22" s="139"/>
      <c r="Q22" s="33">
        <f>'Entrada de dados'!$B$22</f>
        <v>0</v>
      </c>
      <c r="R22" s="49">
        <f>C22*(1000/'Entrada de dados'!M22)*'Qualidade dos Dados'!O22</f>
        <v>508.37138508371362</v>
      </c>
      <c r="S22" s="49">
        <f>D22*(1000/'Entrada de dados'!M22)*'Qualidade dos Dados'!O22</f>
        <v>125.92592592592588</v>
      </c>
      <c r="T22" s="49">
        <f>H22*(1000/'Entrada de dados'!M22)*'Qualidade dos Dados'!O22</f>
        <v>101.67427701674376</v>
      </c>
      <c r="U22" s="156">
        <f>I22*(1000/'Entrada de dados'!M22)*'Qualidade dos Dados'!O22</f>
        <v>270.11669203449395</v>
      </c>
      <c r="V22" s="141"/>
      <c r="W22" s="33">
        <f>'Entrada de dados'!$B$22</f>
        <v>0</v>
      </c>
      <c r="X22" s="51">
        <f t="shared" si="3"/>
        <v>100.60882800608772</v>
      </c>
      <c r="Y22" s="51" t="str">
        <f t="shared" si="6"/>
        <v>Classificada</v>
      </c>
      <c r="Z22" s="158" t="str">
        <f>IF(AND(92&lt;X22,X22&lt;102,T22&gt;=0,U22&gt;=0,R22&gt;=0,'Qualidade dos Dados'!O22&gt;=1),"PROSSEGUIR","Verificar insconsistências")</f>
        <v>PROSSEGUIR</v>
      </c>
      <c r="AA22" s="141"/>
      <c r="AB22" s="33">
        <f>'Entrada de dados'!$B$22</f>
        <v>0</v>
      </c>
      <c r="AC22" s="15">
        <f>'Classificação Textural'!C21*10</f>
        <v>505.29500756429911</v>
      </c>
      <c r="AD22" s="15">
        <f>'Classificação Textural'!D21*10</f>
        <v>125.16389309127649</v>
      </c>
      <c r="AE22" s="15">
        <f>'Classificação Textural'!F21*10</f>
        <v>101.05900151286085</v>
      </c>
      <c r="AF22" s="15">
        <f>'Classificação Textural'!G21*10</f>
        <v>268.48209783156358</v>
      </c>
      <c r="AG22" s="57">
        <f t="shared" si="4"/>
        <v>1000</v>
      </c>
      <c r="AH22" s="51" t="str">
        <f>'Classificação Textural'!I21</f>
        <v>Média</v>
      </c>
    </row>
    <row r="23" spans="1:34" x14ac:dyDescent="0.25">
      <c r="A23" s="27">
        <v>15</v>
      </c>
      <c r="B23" s="37">
        <f>'Entrada de dados'!$B$23</f>
        <v>0</v>
      </c>
      <c r="C23" s="68">
        <f>'Entrada de dados'!I23-'Entrada de dados'!C23</f>
        <v>5.3069999999999986</v>
      </c>
      <c r="D23" s="68">
        <f>'Entrada de dados'!J23-'Entrada de dados'!D23</f>
        <v>1.1939999999999991</v>
      </c>
      <c r="E23" s="89">
        <f>('Entrada de dados'!K23-'Entrada de dados'!E23-F23)-0.01</f>
        <v>4.1299999999999663E-2</v>
      </c>
      <c r="F23" s="145">
        <f>('Entrada de dados'!L23-'Entrada de dados'!F23)-0.01</f>
        <v>0.11340000000000373</v>
      </c>
      <c r="G23" s="139"/>
      <c r="H23" s="161">
        <f t="shared" si="0"/>
        <v>0.8259999999999933</v>
      </c>
      <c r="I23" s="85">
        <f t="shared" si="1"/>
        <v>2.2680000000000748</v>
      </c>
      <c r="J23" s="147">
        <f t="shared" si="5"/>
        <v>8.4010000000000673</v>
      </c>
      <c r="K23" s="139"/>
      <c r="L23" s="46">
        <f>'Entrada de dados'!B23</f>
        <v>0</v>
      </c>
      <c r="M23" s="85">
        <f>'Entrada de dados'!Q23-'Entrada de dados'!P23</f>
        <v>10</v>
      </c>
      <c r="N23" s="87">
        <f>'Entrada de dados'!R23-'Entrada de dados'!P23</f>
        <v>9.8960000000000008</v>
      </c>
      <c r="O23" s="152">
        <f t="shared" si="2"/>
        <v>1.0105092966855294</v>
      </c>
      <c r="P23" s="139"/>
      <c r="Q23" s="47">
        <f>'Entrada de dados'!$B$23</f>
        <v>0</v>
      </c>
      <c r="R23" s="50">
        <f>C23*(1000/'Entrada de dados'!M23)*'Qualidade dos Dados'!O23</f>
        <v>536.27728375101026</v>
      </c>
      <c r="S23" s="50">
        <f>D23*(1000/'Entrada de dados'!M23)*'Qualidade dos Dados'!O23</f>
        <v>120.65481002425211</v>
      </c>
      <c r="T23" s="50">
        <f>H23*(1000/'Entrada de dados'!M23)*'Qualidade dos Dados'!O23</f>
        <v>83.46806790622405</v>
      </c>
      <c r="U23" s="155">
        <f>I23*(1000/'Entrada de dados'!M23)*'Qualidade dos Dados'!O23</f>
        <v>229.18350848828561</v>
      </c>
      <c r="V23" s="141"/>
      <c r="W23" s="47">
        <f>'Entrada de dados'!$B$23</f>
        <v>0</v>
      </c>
      <c r="X23" s="23">
        <f t="shared" si="3"/>
        <v>96.958367016977206</v>
      </c>
      <c r="Y23" s="23" t="str">
        <f t="shared" si="6"/>
        <v>Classificada</v>
      </c>
      <c r="Z23" s="157" t="str">
        <f>IF(AND(92&lt;X23,X23&lt;102,T23&gt;=0,U23&gt;=0,R23&gt;=0,'Qualidade dos Dados'!O23&gt;=1),"PROSSEGUIR","Verificar insconsistências")</f>
        <v>PROSSEGUIR</v>
      </c>
      <c r="AA23" s="141"/>
      <c r="AB23" s="47">
        <f>'Entrada de dados'!$B$23</f>
        <v>0</v>
      </c>
      <c r="AC23" s="38">
        <f>'Classificação Textural'!C22*10</f>
        <v>553.10057321521231</v>
      </c>
      <c r="AD23" s="38">
        <f>'Classificação Textural'!D22*10</f>
        <v>124.43981240229192</v>
      </c>
      <c r="AE23" s="38">
        <f>'Classificação Textural'!F22*10</f>
        <v>86.086503387179533</v>
      </c>
      <c r="AF23" s="38">
        <f>'Classificação Textural'!G22*10</f>
        <v>236.37311099531621</v>
      </c>
      <c r="AG23" s="58">
        <f t="shared" si="4"/>
        <v>1000</v>
      </c>
      <c r="AH23" s="36" t="str">
        <f>'Classificação Textural'!I22</f>
        <v>Média</v>
      </c>
    </row>
    <row r="24" spans="1:34" x14ac:dyDescent="0.25">
      <c r="A24" s="19">
        <v>16</v>
      </c>
      <c r="B24" s="35">
        <f>'Entrada de dados'!$B$24</f>
        <v>0</v>
      </c>
      <c r="C24" s="69">
        <f>'Entrada de dados'!I24-'Entrada de dados'!C24</f>
        <v>4.2669999999999995</v>
      </c>
      <c r="D24" s="69">
        <f>'Entrada de dados'!J24-'Entrada de dados'!D24</f>
        <v>0.89300000000000068</v>
      </c>
      <c r="E24" s="90">
        <f>('Entrada de dados'!K24-'Entrada de dados'!E24-F24)-0.01</f>
        <v>2.4700000000002838E-2</v>
      </c>
      <c r="F24" s="146">
        <f>('Entrada de dados'!L24-'Entrada de dados'!F24)-0.01</f>
        <v>0.20300000000000096</v>
      </c>
      <c r="G24" s="139"/>
      <c r="H24" s="162">
        <f t="shared" si="0"/>
        <v>0.49400000000005673</v>
      </c>
      <c r="I24" s="86">
        <f t="shared" si="1"/>
        <v>4.0600000000000191</v>
      </c>
      <c r="J24" s="150">
        <f t="shared" si="5"/>
        <v>8.8210000000000761</v>
      </c>
      <c r="K24" s="139"/>
      <c r="L24" s="33">
        <f>'Entrada de dados'!B24</f>
        <v>0</v>
      </c>
      <c r="M24" s="86">
        <f>'Entrada de dados'!Q24-'Entrada de dados'!P24</f>
        <v>10</v>
      </c>
      <c r="N24" s="88">
        <f>'Entrada de dados'!R24-'Entrada de dados'!P24</f>
        <v>9.8659999999999997</v>
      </c>
      <c r="O24" s="153">
        <f t="shared" si="2"/>
        <v>1.0135819987837016</v>
      </c>
      <c r="P24" s="139"/>
      <c r="Q24" s="33">
        <f>'Entrada de dados'!$B$24</f>
        <v>0</v>
      </c>
      <c r="R24" s="49">
        <f>C24*(1000/'Entrada de dados'!M24)*'Qualidade dos Dados'!O24</f>
        <v>432.49543888100538</v>
      </c>
      <c r="S24" s="49">
        <f>D24*(1000/'Entrada de dados'!M24)*'Qualidade dos Dados'!O24</f>
        <v>90.512872491384627</v>
      </c>
      <c r="T24" s="49">
        <f>H24*(1000/'Entrada de dados'!M24)*'Qualidade dos Dados'!O24</f>
        <v>50.070950739920612</v>
      </c>
      <c r="U24" s="156">
        <f>I24*(1000/'Entrada de dados'!M24)*'Qualidade dos Dados'!O24</f>
        <v>411.5142915061848</v>
      </c>
      <c r="V24" s="141"/>
      <c r="W24" s="33">
        <f>'Entrada de dados'!$B$24</f>
        <v>0</v>
      </c>
      <c r="X24" s="51">
        <f t="shared" si="3"/>
        <v>98.459355361849546</v>
      </c>
      <c r="Y24" s="51" t="str">
        <f t="shared" si="6"/>
        <v>Classificada</v>
      </c>
      <c r="Z24" s="158" t="str">
        <f>IF(AND(92&lt;X24,X24&lt;102,T24&gt;=0,U24&gt;=0,R24&gt;=0,'Qualidade dos Dados'!O24&gt;=1),"PROSSEGUIR","Verificar insconsistências")</f>
        <v>PROSSEGUIR</v>
      </c>
      <c r="AA24" s="141"/>
      <c r="AB24" s="33">
        <f>'Entrada de dados'!$B$24</f>
        <v>0</v>
      </c>
      <c r="AC24" s="15">
        <f>'Classificação Textural'!C23*10</f>
        <v>439.26291949762867</v>
      </c>
      <c r="AD24" s="15">
        <f>'Classificação Textural'!D23*10</f>
        <v>91.929174387481339</v>
      </c>
      <c r="AE24" s="15">
        <f>'Classificação Textural'!F23*10</f>
        <v>50.854436895208238</v>
      </c>
      <c r="AF24" s="15">
        <f>'Classificação Textural'!G23*10</f>
        <v>417.95346921968166</v>
      </c>
      <c r="AG24" s="57">
        <f t="shared" si="4"/>
        <v>999.99999999999989</v>
      </c>
      <c r="AH24" s="51" t="str">
        <f>'Classificação Textural'!I23</f>
        <v>Argilosa</v>
      </c>
    </row>
    <row r="25" spans="1:34" x14ac:dyDescent="0.25">
      <c r="A25" s="27">
        <v>17</v>
      </c>
      <c r="B25" s="39">
        <f>'Entrada de dados'!$B$25</f>
        <v>0</v>
      </c>
      <c r="C25" s="68">
        <f>'Entrada de dados'!I25-'Entrada de dados'!C25</f>
        <v>2.3960000000000008</v>
      </c>
      <c r="D25" s="68">
        <f>'Entrada de dados'!J25-'Entrada de dados'!D25</f>
        <v>1.5190000000000019</v>
      </c>
      <c r="E25" s="89">
        <f>('Entrada de dados'!K25-'Entrada de dados'!E25-F25)-0.01</f>
        <v>4.960000000000165E-2</v>
      </c>
      <c r="F25" s="145">
        <f>('Entrada de dados'!L25-'Entrada de dados'!F25)-0.01</f>
        <v>0.24869999999999748</v>
      </c>
      <c r="G25" s="139"/>
      <c r="H25" s="161">
        <f t="shared" si="0"/>
        <v>0.99200000000003297</v>
      </c>
      <c r="I25" s="85">
        <f t="shared" si="1"/>
        <v>4.9739999999999496</v>
      </c>
      <c r="J25" s="147">
        <f t="shared" si="5"/>
        <v>8.3619999999999841</v>
      </c>
      <c r="K25" s="139"/>
      <c r="L25" s="46">
        <f>'Entrada de dados'!B25</f>
        <v>0</v>
      </c>
      <c r="M25" s="85">
        <f>'Entrada de dados'!Q25-'Entrada de dados'!P25</f>
        <v>10</v>
      </c>
      <c r="N25" s="87">
        <f>'Entrada de dados'!R25-'Entrada de dados'!P25</f>
        <v>9.8460000000000001</v>
      </c>
      <c r="O25" s="152">
        <f t="shared" si="2"/>
        <v>1.0156408693885841</v>
      </c>
      <c r="P25" s="139"/>
      <c r="Q25" s="48">
        <f>'Entrada de dados'!$B$25</f>
        <v>0</v>
      </c>
      <c r="R25" s="50">
        <f>C25*(1000/'Entrada de dados'!M25)*'Qualidade dos Dados'!O25</f>
        <v>243.34755230550482</v>
      </c>
      <c r="S25" s="50">
        <f>D25*(1000/'Entrada de dados'!M25)*'Qualidade dos Dados'!O25</f>
        <v>154.27584806012612</v>
      </c>
      <c r="T25" s="50">
        <f>H25*(1000/'Entrada de dados'!M25)*'Qualidade dos Dados'!O25</f>
        <v>100.7515742433509</v>
      </c>
      <c r="U25" s="155">
        <f>I25*(1000/'Entrada de dados'!M25)*'Qualidade dos Dados'!O25</f>
        <v>505.17976843387663</v>
      </c>
      <c r="V25" s="141"/>
      <c r="W25" s="48">
        <f>'Entrada de dados'!$B$25</f>
        <v>0</v>
      </c>
      <c r="X25" s="23">
        <f t="shared" si="3"/>
        <v>100.35547430428585</v>
      </c>
      <c r="Y25" s="23" t="str">
        <f t="shared" si="6"/>
        <v>Classificada</v>
      </c>
      <c r="Z25" s="157" t="str">
        <f>IF(AND(92&lt;X25,X25&lt;102,T25&gt;=0,U25&gt;=0,R25&gt;=0,'Qualidade dos Dados'!O25&gt;=1),"PROSSEGUIR","Verificar insconsistências")</f>
        <v>PROSSEGUIR</v>
      </c>
      <c r="AA25" s="141"/>
      <c r="AB25" s="48">
        <f>'Entrada de dados'!$B$25</f>
        <v>0</v>
      </c>
      <c r="AC25" s="38">
        <f>'Classificação Textural'!C24*10</f>
        <v>242.48557838275525</v>
      </c>
      <c r="AD25" s="38">
        <f>'Classificação Textural'!D24*10</f>
        <v>153.72937961744805</v>
      </c>
      <c r="AE25" s="38">
        <f>'Classificação Textural'!F24*10</f>
        <v>100.3946968930305</v>
      </c>
      <c r="AF25" s="38">
        <f>'Classificação Textural'!G24*10</f>
        <v>503.39034510676618</v>
      </c>
      <c r="AG25" s="58">
        <f t="shared" si="4"/>
        <v>1000</v>
      </c>
      <c r="AH25" s="36" t="str">
        <f>'Classificação Textural'!I24</f>
        <v>Argilosa</v>
      </c>
    </row>
    <row r="26" spans="1:34" x14ac:dyDescent="0.25">
      <c r="A26" s="19">
        <v>18</v>
      </c>
      <c r="B26" s="45">
        <f>'Entrada de dados'!$B$26</f>
        <v>0</v>
      </c>
      <c r="C26" s="69">
        <f>'Entrada de dados'!I26-'Entrada de dados'!C26</f>
        <v>2.7940000000000005</v>
      </c>
      <c r="D26" s="69">
        <f>'Entrada de dados'!J26-'Entrada de dados'!D26</f>
        <v>0.62900000000000134</v>
      </c>
      <c r="E26" s="90">
        <f>('Entrada de dados'!K26-'Entrada de dados'!E26-F26)-0.01</f>
        <v>1.7300000000005873E-2</v>
      </c>
      <c r="F26" s="146">
        <f>('Entrada de dados'!L26-'Entrada de dados'!F26)-0.01</f>
        <v>0.27039999999999309</v>
      </c>
      <c r="G26" s="139"/>
      <c r="H26" s="162">
        <f t="shared" si="0"/>
        <v>0.34600000000011744</v>
      </c>
      <c r="I26" s="86">
        <f t="shared" si="1"/>
        <v>5.4079999999998618</v>
      </c>
      <c r="J26" s="150">
        <f t="shared" si="5"/>
        <v>8.5479999999999805</v>
      </c>
      <c r="K26" s="139"/>
      <c r="L26" s="33">
        <f>'Entrada de dados'!B26</f>
        <v>0</v>
      </c>
      <c r="M26" s="86">
        <f>'Entrada de dados'!Q26-'Entrada de dados'!P26</f>
        <v>10</v>
      </c>
      <c r="N26" s="88">
        <f>'Entrada de dados'!R26-'Entrada de dados'!P26</f>
        <v>9.8890000000000029</v>
      </c>
      <c r="O26" s="153">
        <f t="shared" si="2"/>
        <v>1.0112245929821011</v>
      </c>
      <c r="P26" s="139"/>
      <c r="Q26" s="34">
        <f>'Entrada de dados'!$B$26</f>
        <v>0</v>
      </c>
      <c r="R26" s="49">
        <f>C26*(1000/'Entrada de dados'!M26)*'Qualidade dos Dados'!O26</f>
        <v>282.53615127919909</v>
      </c>
      <c r="S26" s="49">
        <f>D26*(1000/'Entrada de dados'!M26)*'Qualidade dos Dados'!O26</f>
        <v>63.606026898574292</v>
      </c>
      <c r="T26" s="49">
        <f>H26*(1000/'Entrada de dados'!M26)*'Qualidade dos Dados'!O26</f>
        <v>34.988370917192576</v>
      </c>
      <c r="U26" s="156">
        <f>I26*(1000/'Entrada de dados'!M26)*'Qualidade dos Dados'!O26</f>
        <v>546.87025988470634</v>
      </c>
      <c r="V26" s="141"/>
      <c r="W26" s="34">
        <f>'Entrada de dados'!$B$26</f>
        <v>0</v>
      </c>
      <c r="X26" s="51">
        <f t="shared" si="3"/>
        <v>92.80008089796722</v>
      </c>
      <c r="Y26" s="51" t="str">
        <f t="shared" si="6"/>
        <v>Classificada</v>
      </c>
      <c r="Z26" s="158" t="str">
        <f>IF(AND(92&lt;X26,X26&lt;102,T26&gt;=0,U26&gt;=0,R26&gt;=0,'Qualidade dos Dados'!O26&gt;=1),"PROSSEGUIR","Verificar insconsistências")</f>
        <v>PROSSEGUIR</v>
      </c>
      <c r="AA26" s="141"/>
      <c r="AB26" s="34">
        <f>'Entrada de dados'!$B$26</f>
        <v>0</v>
      </c>
      <c r="AC26" s="16">
        <f>'Classificação Textural'!C25*10</f>
        <v>304.45679415931204</v>
      </c>
      <c r="AD26" s="16">
        <f>'Classificação Textural'!D25*10</f>
        <v>68.540917511169525</v>
      </c>
      <c r="AE26" s="16">
        <f>'Classificação Textural'!F25*10</f>
        <v>37.702953034773692</v>
      </c>
      <c r="AF26" s="16">
        <f>'Classificação Textural'!G25*10</f>
        <v>589.29933529474488</v>
      </c>
      <c r="AG26" s="59">
        <f t="shared" si="4"/>
        <v>1000.0000000000001</v>
      </c>
      <c r="AH26" s="51" t="str">
        <f>'Classificação Textural'!I25</f>
        <v>Argilosa</v>
      </c>
    </row>
    <row r="27" spans="1:34" x14ac:dyDescent="0.25">
      <c r="A27" s="27">
        <v>19</v>
      </c>
      <c r="B27" s="39">
        <f>'Entrada de dados'!$B$27</f>
        <v>0</v>
      </c>
      <c r="C27" s="68">
        <f>'Entrada de dados'!I27-'Entrada de dados'!C27</f>
        <v>5.1559999999999988</v>
      </c>
      <c r="D27" s="68">
        <f>'Entrada de dados'!J27-'Entrada de dados'!D27</f>
        <v>0.77500000000000213</v>
      </c>
      <c r="E27" s="89">
        <f>('Entrada de dados'!K27-'Entrada de dados'!E27-F27)-0.01</f>
        <v>2.3699999999998063E-2</v>
      </c>
      <c r="F27" s="145">
        <f>('Entrada de dados'!L27-'Entrada de dados'!F27)-0.01</f>
        <v>0.17440000000000366</v>
      </c>
      <c r="G27" s="139"/>
      <c r="H27" s="161">
        <f t="shared" si="0"/>
        <v>0.47399999999996123</v>
      </c>
      <c r="I27" s="85">
        <f t="shared" si="1"/>
        <v>3.4880000000000733</v>
      </c>
      <c r="J27" s="147">
        <f t="shared" si="5"/>
        <v>9.1180000000000341</v>
      </c>
      <c r="K27" s="139"/>
      <c r="L27" s="46">
        <f>'Entrada de dados'!B27</f>
        <v>0</v>
      </c>
      <c r="M27" s="85">
        <f>'Entrada de dados'!Q27-'Entrada de dados'!P27</f>
        <v>9.9999999999999964</v>
      </c>
      <c r="N27" s="87">
        <f>'Entrada de dados'!R27-'Entrada de dados'!P27</f>
        <v>9.833000000000002</v>
      </c>
      <c r="O27" s="152">
        <f t="shared" si="2"/>
        <v>1.0169836265636119</v>
      </c>
      <c r="P27" s="139"/>
      <c r="Q27" s="48">
        <f>'Entrada de dados'!$B$27</f>
        <v>0</v>
      </c>
      <c r="R27" s="50">
        <f>C27*(1000/'Entrada de dados'!M27)*'Qualidade dos Dados'!O27</f>
        <v>524.35675785619821</v>
      </c>
      <c r="S27" s="50">
        <f>D27*(1000/'Entrada de dados'!M27)*'Qualidade dos Dados'!O27</f>
        <v>78.816231058680131</v>
      </c>
      <c r="T27" s="50">
        <f>H27*(1000/'Entrada de dados'!M27)*'Qualidade dos Dados'!O27</f>
        <v>48.205023899111261</v>
      </c>
      <c r="U27" s="155">
        <f>I27*(1000/'Entrada de dados'!M27)*'Qualidade dos Dados'!O27</f>
        <v>354.72388894539529</v>
      </c>
      <c r="V27" s="141"/>
      <c r="W27" s="48">
        <f>'Entrada de dados'!$B$27</f>
        <v>0</v>
      </c>
      <c r="X27" s="23">
        <f t="shared" si="3"/>
        <v>100.61019017593848</v>
      </c>
      <c r="Y27" s="23" t="str">
        <f t="shared" si="6"/>
        <v>Classificada</v>
      </c>
      <c r="Z27" s="157" t="str">
        <f>IF(AND(92&lt;X27,X27&lt;102,T27&gt;=0,U27&gt;=0,R27&gt;=0,'Qualidade dos Dados'!O27&gt;=1),"PROSSEGUIR","Verificar insconsistências")</f>
        <v>PROSSEGUIR</v>
      </c>
      <c r="AA27" s="141"/>
      <c r="AB27" s="48">
        <f>'Entrada de dados'!$B$27</f>
        <v>0</v>
      </c>
      <c r="AC27" s="38">
        <f>'Classificação Textural'!C26*10</f>
        <v>521.1765895077308</v>
      </c>
      <c r="AD27" s="38">
        <f>'Classificação Textural'!D26*10</f>
        <v>78.33821894268668</v>
      </c>
      <c r="AE27" s="38">
        <f>'Classificação Textural'!F26*10</f>
        <v>47.912665521071418</v>
      </c>
      <c r="AF27" s="38">
        <f>'Classificação Textural'!G26*10</f>
        <v>352.57252602851116</v>
      </c>
      <c r="AG27" s="58">
        <f t="shared" si="4"/>
        <v>1000.0000000000001</v>
      </c>
      <c r="AH27" s="36" t="str">
        <f>'Classificação Textural'!I26</f>
        <v>Argilosa</v>
      </c>
    </row>
    <row r="28" spans="1:34" x14ac:dyDescent="0.25">
      <c r="A28" s="19">
        <v>20</v>
      </c>
      <c r="B28" s="45">
        <f>'Entrada de dados'!$B$28</f>
        <v>0</v>
      </c>
      <c r="C28" s="69">
        <f>'Entrada de dados'!I28-'Entrada de dados'!C28</f>
        <v>1.4830000000000005</v>
      </c>
      <c r="D28" s="69">
        <f>'Entrada de dados'!J28-'Entrada de dados'!D28</f>
        <v>2.254999999999999</v>
      </c>
      <c r="E28" s="90">
        <f>('Entrada de dados'!K28-'Entrada de dados'!E28-F28)-0.01</f>
        <v>1.2300000000003317E-2</v>
      </c>
      <c r="F28" s="146">
        <f>('Entrada de dados'!L28-'Entrada de dados'!F28)-0.01</f>
        <v>0.28179999999999494</v>
      </c>
      <c r="G28" s="139"/>
      <c r="H28" s="162">
        <f t="shared" si="0"/>
        <v>0.24600000000006633</v>
      </c>
      <c r="I28" s="86">
        <f t="shared" si="1"/>
        <v>5.6359999999998989</v>
      </c>
      <c r="J28" s="150">
        <f t="shared" si="5"/>
        <v>7.3649999999999656</v>
      </c>
      <c r="K28" s="139"/>
      <c r="L28" s="33">
        <f>'Entrada de dados'!B28</f>
        <v>0</v>
      </c>
      <c r="M28" s="86">
        <f>'Entrada de dados'!Q28-'Entrada de dados'!P28</f>
        <v>10</v>
      </c>
      <c r="N28" s="88">
        <f>'Entrada de dados'!R28-'Entrada de dados'!P28</f>
        <v>9.5720000000000027</v>
      </c>
      <c r="O28" s="153">
        <f t="shared" si="2"/>
        <v>1.0447137484329292</v>
      </c>
      <c r="P28" s="139"/>
      <c r="Q28" s="34">
        <f>'Entrada de dados'!$B$28</f>
        <v>0</v>
      </c>
      <c r="R28" s="49">
        <f>C28*(1000/'Entrada de dados'!M28)*'Qualidade dos Dados'!O28</f>
        <v>154.93104889260346</v>
      </c>
      <c r="S28" s="49">
        <f>D28*(1000/'Entrada de dados'!M28)*'Qualidade dos Dados'!O28</f>
        <v>235.58295027162541</v>
      </c>
      <c r="T28" s="49">
        <f>H28*(1000/'Entrada de dados'!M28)*'Qualidade dos Dados'!O28</f>
        <v>25.699958211456988</v>
      </c>
      <c r="U28" s="156">
        <f>I28*(1000/'Entrada de dados'!M28)*'Qualidade dos Dados'!O28</f>
        <v>588.80066861678836</v>
      </c>
      <c r="V28" s="141"/>
      <c r="W28" s="34">
        <f>'Entrada de dados'!$B$28</f>
        <v>0</v>
      </c>
      <c r="X28" s="51">
        <f t="shared" si="3"/>
        <v>100.50146259924742</v>
      </c>
      <c r="Y28" s="51" t="str">
        <f t="shared" si="6"/>
        <v>Classificada</v>
      </c>
      <c r="Z28" s="158" t="str">
        <f>IF(AND(92&lt;X28,X28&lt;102,T28&gt;=0,U28&gt;=0,R28&gt;=0,'Qualidade dos Dados'!O28&gt;=1),"PROSSEGUIR","Verificar insconsistências")</f>
        <v>PROSSEGUIR</v>
      </c>
      <c r="AA28" s="141"/>
      <c r="AB28" s="34">
        <f>'Entrada de dados'!$B$28</f>
        <v>0</v>
      </c>
      <c r="AC28" s="16">
        <f>'Classificação Textural'!C27*10</f>
        <v>154.15800415800479</v>
      </c>
      <c r="AD28" s="16">
        <f>'Classificação Textural'!D27*10</f>
        <v>234.40748440748513</v>
      </c>
      <c r="AE28" s="16">
        <f>'Classificação Textural'!F27*10</f>
        <v>25.571725571732564</v>
      </c>
      <c r="AF28" s="16">
        <f>'Classificação Textural'!G27*10</f>
        <v>585.86278586277763</v>
      </c>
      <c r="AG28" s="59">
        <f t="shared" si="4"/>
        <v>1000</v>
      </c>
      <c r="AH28" s="51" t="str">
        <f>'Classificação Textural'!I27</f>
        <v>Argilosa</v>
      </c>
    </row>
    <row r="29" spans="1:34" x14ac:dyDescent="0.25">
      <c r="A29" s="27">
        <v>21</v>
      </c>
      <c r="B29" s="39">
        <f>'Entrada de dados'!$B$29</f>
        <v>0</v>
      </c>
      <c r="C29" s="68">
        <f>'Entrada de dados'!I29-'Entrada de dados'!C29</f>
        <v>6.4749999999999979</v>
      </c>
      <c r="D29" s="68">
        <f>'Entrada de dados'!J29-'Entrada de dados'!D29</f>
        <v>0.66400000000000148</v>
      </c>
      <c r="E29" s="89">
        <f>('Entrada de dados'!K29-'Entrada de dados'!E29-F29)-0.01</f>
        <v>2.3600000000001835E-2</v>
      </c>
      <c r="F29" s="145">
        <f>('Entrada de dados'!L29-'Entrada de dados'!F29)-0.01</f>
        <v>0.10959999999999838</v>
      </c>
      <c r="G29" s="139"/>
      <c r="H29" s="161">
        <f t="shared" si="0"/>
        <v>0.47200000000003672</v>
      </c>
      <c r="I29" s="85">
        <f t="shared" si="1"/>
        <v>2.1919999999999678</v>
      </c>
      <c r="J29" s="147">
        <f t="shared" si="5"/>
        <v>9.1390000000000029</v>
      </c>
      <c r="K29" s="139"/>
      <c r="L29" s="46">
        <f>'Entrada de dados'!B29</f>
        <v>0</v>
      </c>
      <c r="M29" s="85">
        <f>'Entrada de dados'!Q29-'Entrada de dados'!P29</f>
        <v>10</v>
      </c>
      <c r="N29" s="87">
        <f>'Entrada de dados'!R29-'Entrada de dados'!P29</f>
        <v>9.8990000000000009</v>
      </c>
      <c r="O29" s="152">
        <f t="shared" si="2"/>
        <v>1.0102030508132134</v>
      </c>
      <c r="P29" s="139"/>
      <c r="Q29" s="48">
        <f>'Entrada de dados'!$B$29</f>
        <v>0</v>
      </c>
      <c r="R29" s="50">
        <f>C29*(1000/'Entrada de dados'!M29)*'Qualidade dos Dados'!O29</f>
        <v>654.10647540155549</v>
      </c>
      <c r="S29" s="50">
        <f>D29*(1000/'Entrada de dados'!M29)*'Qualidade dos Dados'!O29</f>
        <v>67.077482573997514</v>
      </c>
      <c r="T29" s="50">
        <f>H29*(1000/'Entrada de dados'!M29)*'Qualidade dos Dados'!O29</f>
        <v>47.681583998387381</v>
      </c>
      <c r="U29" s="155">
        <f>I29*(1000/'Entrada de dados'!M29)*'Qualidade dos Dados'!O29</f>
        <v>221.43650873825311</v>
      </c>
      <c r="V29" s="141"/>
      <c r="W29" s="48">
        <f>'Entrada de dados'!$B$29</f>
        <v>0</v>
      </c>
      <c r="X29" s="23">
        <f t="shared" si="3"/>
        <v>99.030205071219342</v>
      </c>
      <c r="Y29" s="23" t="str">
        <f t="shared" si="6"/>
        <v>Classificada</v>
      </c>
      <c r="Z29" s="157" t="str">
        <f>IF(AND(92&lt;X29,X29&lt;102,T29&gt;=0,U29&gt;=0,R29&gt;=0,'Qualidade dos Dados'!O29&gt;=1),"PROSSEGUIR","Verificar insconsistências")</f>
        <v>PROSSEGUIR</v>
      </c>
      <c r="AA29" s="141"/>
      <c r="AB29" s="48">
        <f>'Entrada de dados'!$B$29</f>
        <v>0</v>
      </c>
      <c r="AC29" s="38">
        <f>'Classificação Textural'!C28*10</f>
        <v>660.51208813628455</v>
      </c>
      <c r="AD29" s="38">
        <f>'Classificação Textural'!D28*10</f>
        <v>67.734367030500977</v>
      </c>
      <c r="AE29" s="38">
        <f>'Classificação Textural'!F28*10</f>
        <v>48.148525961444108</v>
      </c>
      <c r="AF29" s="38">
        <f>'Classificação Textural'!G28*10</f>
        <v>223.60501887177054</v>
      </c>
      <c r="AG29" s="58">
        <f t="shared" si="4"/>
        <v>1000.0000000000001</v>
      </c>
      <c r="AH29" s="36" t="str">
        <f>'Classificação Textural'!I28</f>
        <v>Média</v>
      </c>
    </row>
    <row r="30" spans="1:34" x14ac:dyDescent="0.25">
      <c r="A30" s="19">
        <v>22</v>
      </c>
      <c r="B30" s="45">
        <f>'Entrada de dados'!$B$30</f>
        <v>0</v>
      </c>
      <c r="C30" s="69">
        <f>'Entrada de dados'!I30-'Entrada de dados'!C30</f>
        <v>2.1020000000000003</v>
      </c>
      <c r="D30" s="69">
        <f>'Entrada de dados'!J30-'Entrada de dados'!D30</f>
        <v>2.1810000000000009</v>
      </c>
      <c r="E30" s="90">
        <f>('Entrada de dados'!K30-'Entrada de dados'!E30-F30)-0.01</f>
        <v>5.3399999999996346E-2</v>
      </c>
      <c r="F30" s="146">
        <f>('Entrada de dados'!L30-'Entrada de dados'!F30)-0.01</f>
        <v>0.21910000000000251</v>
      </c>
      <c r="G30" s="139"/>
      <c r="H30" s="162">
        <f t="shared" si="0"/>
        <v>1.067999999999927</v>
      </c>
      <c r="I30" s="86">
        <f t="shared" si="1"/>
        <v>4.3820000000000503</v>
      </c>
      <c r="J30" s="150">
        <f t="shared" si="5"/>
        <v>7.5519999999999774</v>
      </c>
      <c r="K30" s="139"/>
      <c r="L30" s="33">
        <f>'Entrada de dados'!B30</f>
        <v>0</v>
      </c>
      <c r="M30" s="86">
        <f>'Entrada de dados'!Q30-'Entrada de dados'!P30</f>
        <v>10</v>
      </c>
      <c r="N30" s="88">
        <f>'Entrada de dados'!R30-'Entrada de dados'!P30</f>
        <v>9.82</v>
      </c>
      <c r="O30" s="153">
        <f t="shared" si="2"/>
        <v>1.0183299389002036</v>
      </c>
      <c r="P30" s="139"/>
      <c r="Q30" s="34">
        <f>'Entrada de dados'!$B$30</f>
        <v>0</v>
      </c>
      <c r="R30" s="49">
        <f>C30*(1000/'Entrada de dados'!M30)*'Qualidade dos Dados'!O30</f>
        <v>214.05295315682284</v>
      </c>
      <c r="S30" s="49">
        <f>D30*(1000/'Entrada de dados'!M30)*'Qualidade dos Dados'!O30</f>
        <v>222.09775967413449</v>
      </c>
      <c r="T30" s="49">
        <f>H30*(1000/'Entrada de dados'!M30)*'Qualidade dos Dados'!O30</f>
        <v>108.75763747453432</v>
      </c>
      <c r="U30" s="156">
        <f>I30*(1000/'Entrada de dados'!M30)*'Qualidade dos Dados'!O30</f>
        <v>446.23217922607438</v>
      </c>
      <c r="V30" s="141"/>
      <c r="W30" s="34">
        <f>'Entrada de dados'!$B$30</f>
        <v>0</v>
      </c>
      <c r="X30" s="51">
        <f t="shared" si="3"/>
        <v>99.114052953156602</v>
      </c>
      <c r="Y30" s="51" t="str">
        <f t="shared" si="6"/>
        <v>Classificada</v>
      </c>
      <c r="Z30" s="158" t="str">
        <f>IF(AND(92&lt;X30,X30&lt;102,T30&gt;=0,U30&gt;=0,R30&gt;=0,'Qualidade dos Dados'!O30&gt;=1),"PROSSEGUIR","Verificar insconsistências")</f>
        <v>PROSSEGUIR</v>
      </c>
      <c r="AA30" s="141"/>
      <c r="AB30" s="34">
        <f>'Entrada de dados'!$B$30</f>
        <v>0</v>
      </c>
      <c r="AC30" s="16">
        <f>'Classificação Textural'!C29*10</f>
        <v>215.96630021576132</v>
      </c>
      <c r="AD30" s="16">
        <f>'Classificação Textural'!D29*10</f>
        <v>224.08301654166294</v>
      </c>
      <c r="AE30" s="16">
        <f>'Classificação Textural'!F29*10</f>
        <v>109.72978526661146</v>
      </c>
      <c r="AF30" s="16">
        <f>'Classificação Textural'!G29*10</f>
        <v>450.22089797596431</v>
      </c>
      <c r="AG30" s="59">
        <f t="shared" si="4"/>
        <v>1000</v>
      </c>
      <c r="AH30" s="51" t="str">
        <f>'Classificação Textural'!I29</f>
        <v>Argilosa</v>
      </c>
    </row>
    <row r="31" spans="1:34" x14ac:dyDescent="0.25">
      <c r="A31" s="27">
        <v>23</v>
      </c>
      <c r="B31" s="39">
        <f>'Entrada de dados'!$B$31</f>
        <v>0</v>
      </c>
      <c r="C31" s="68">
        <f>'Entrada de dados'!I31-'Entrada de dados'!C31</f>
        <v>3.5829999999999984</v>
      </c>
      <c r="D31" s="68">
        <f>'Entrada de dados'!J31-'Entrada de dados'!D31</f>
        <v>0.82500000000000284</v>
      </c>
      <c r="E31" s="89">
        <f>('Entrada de dados'!K31-'Entrada de dados'!E31-F31)-0.01</f>
        <v>2.4900000000002372E-2</v>
      </c>
      <c r="F31" s="145">
        <f>('Entrada de dados'!L31-'Entrada de dados'!F31)-0.01</f>
        <v>0.24849999999999794</v>
      </c>
      <c r="G31" s="139"/>
      <c r="H31" s="161">
        <f t="shared" si="0"/>
        <v>0.4980000000000474</v>
      </c>
      <c r="I31" s="85">
        <f t="shared" si="1"/>
        <v>4.9699999999999589</v>
      </c>
      <c r="J31" s="147">
        <f t="shared" si="5"/>
        <v>9.0510000000000055</v>
      </c>
      <c r="K31" s="139"/>
      <c r="L31" s="46">
        <f>'Entrada de dados'!B31</f>
        <v>0</v>
      </c>
      <c r="M31" s="85">
        <f>'Entrada de dados'!Q31-'Entrada de dados'!P31</f>
        <v>10</v>
      </c>
      <c r="N31" s="87">
        <f>'Entrada de dados'!R31-'Entrada de dados'!P31</f>
        <v>9.8260000000000005</v>
      </c>
      <c r="O31" s="152">
        <f t="shared" si="2"/>
        <v>1.0177081213108079</v>
      </c>
      <c r="P31" s="139"/>
      <c r="Q31" s="48">
        <f>'Entrada de dados'!$B$31</f>
        <v>0</v>
      </c>
      <c r="R31" s="50">
        <f>C31*(1000/'Entrada de dados'!M31)*'Qualidade dos Dados'!O31</f>
        <v>364.64481986566233</v>
      </c>
      <c r="S31" s="50">
        <f>D31*(1000/'Entrada de dados'!M31)*'Qualidade dos Dados'!O31</f>
        <v>83.96092000814194</v>
      </c>
      <c r="T31" s="50">
        <f>H31*(1000/'Entrada de dados'!M31)*'Qualidade dos Dados'!O31</f>
        <v>50.681864441283061</v>
      </c>
      <c r="U31" s="155">
        <f>I31*(1000/'Entrada de dados'!M31)*'Qualidade dos Dados'!O31</f>
        <v>505.80093629146734</v>
      </c>
      <c r="V31" s="141"/>
      <c r="W31" s="48">
        <f>'Entrada de dados'!$B$31</f>
        <v>0</v>
      </c>
      <c r="X31" s="23">
        <f t="shared" si="3"/>
        <v>100.50885406065547</v>
      </c>
      <c r="Y31" s="23" t="str">
        <f t="shared" si="6"/>
        <v>Classificada</v>
      </c>
      <c r="Z31" s="157" t="str">
        <f>IF(AND(92&lt;X31,X31&lt;102,T31&gt;=0,U31&gt;=0,R31&gt;=0,'Qualidade dos Dados'!O31&gt;=1),"PROSSEGUIR","Verificar insconsistências")</f>
        <v>PROSSEGUIR</v>
      </c>
      <c r="AA31" s="141"/>
      <c r="AB31" s="48">
        <f>'Entrada de dados'!$B$31</f>
        <v>0</v>
      </c>
      <c r="AC31" s="38">
        <f>'Classificação Textural'!C30*10</f>
        <v>362.79870392871567</v>
      </c>
      <c r="AD31" s="38">
        <f>'Classificação Textural'!D30*10</f>
        <v>83.535844471446154</v>
      </c>
      <c r="AE31" s="38">
        <f>'Classificação Textural'!F30*10</f>
        <v>50.425273390041212</v>
      </c>
      <c r="AF31" s="38">
        <f>'Classificação Textural'!G30*10</f>
        <v>503.24017820979697</v>
      </c>
      <c r="AG31" s="58">
        <f t="shared" si="4"/>
        <v>1000</v>
      </c>
      <c r="AH31" s="36" t="str">
        <f>'Classificação Textural'!I30</f>
        <v>Argilosa</v>
      </c>
    </row>
    <row r="32" spans="1:34" x14ac:dyDescent="0.25">
      <c r="A32" s="19">
        <v>24</v>
      </c>
      <c r="B32" s="45">
        <f>'Entrada de dados'!$B$32</f>
        <v>0</v>
      </c>
      <c r="C32" s="69">
        <f>'Entrada de dados'!I32-'Entrada de dados'!C32</f>
        <v>4.7729999999999997</v>
      </c>
      <c r="D32" s="69">
        <f>'Entrada de dados'!J32-'Entrada de dados'!D32</f>
        <v>1.3540000000000028</v>
      </c>
      <c r="E32" s="90">
        <f>('Entrada de dados'!K32-'Entrada de dados'!E32-F32)-0.01</f>
        <v>4.9200000000002582E-2</v>
      </c>
      <c r="F32" s="146">
        <f>('Entrada de dados'!L32-'Entrada de dados'!F32)-0.01</f>
        <v>0.12870000000000004</v>
      </c>
      <c r="G32" s="140"/>
      <c r="H32" s="162">
        <f t="shared" si="0"/>
        <v>0.98400000000005161</v>
      </c>
      <c r="I32" s="86">
        <f t="shared" si="1"/>
        <v>2.5740000000000007</v>
      </c>
      <c r="J32" s="150">
        <f t="shared" si="5"/>
        <v>8.3310000000000528</v>
      </c>
      <c r="K32" s="140"/>
      <c r="L32" s="33">
        <f>'Entrada de dados'!B32</f>
        <v>0</v>
      </c>
      <c r="M32" s="86">
        <f>'Entrada de dados'!Q32-'Entrada de dados'!P32</f>
        <v>10</v>
      </c>
      <c r="N32" s="88">
        <f>'Entrada de dados'!R32-'Entrada de dados'!P32</f>
        <v>9.8550000000000004</v>
      </c>
      <c r="O32" s="153">
        <f t="shared" si="2"/>
        <v>1.0147133434804667</v>
      </c>
      <c r="P32" s="140"/>
      <c r="Q32" s="34">
        <f>'Entrada de dados'!$B$32</f>
        <v>0</v>
      </c>
      <c r="R32" s="49">
        <f>C32*(1000/'Entrada de dados'!M32)*'Qualidade dos Dados'!O32</f>
        <v>484.3226788432267</v>
      </c>
      <c r="S32" s="49">
        <f>D32*(1000/'Entrada de dados'!M32)*'Qualidade dos Dados'!O32</f>
        <v>137.39218670725546</v>
      </c>
      <c r="T32" s="49">
        <f>H32*(1000/'Entrada de dados'!M32)*'Qualidade dos Dados'!O32</f>
        <v>99.847792998483158</v>
      </c>
      <c r="U32" s="156">
        <f>I32*(1000/'Entrada de dados'!M32)*'Qualidade dos Dados'!O32</f>
        <v>261.18721461187221</v>
      </c>
      <c r="V32" s="142"/>
      <c r="W32" s="34">
        <f>'Entrada de dados'!$B$32</f>
        <v>0</v>
      </c>
      <c r="X32" s="51">
        <f t="shared" si="3"/>
        <v>98.274987316083752</v>
      </c>
      <c r="Y32" s="51" t="str">
        <f t="shared" si="6"/>
        <v>Classificada</v>
      </c>
      <c r="Z32" s="158" t="str">
        <f>IF(AND(92&lt;X32,X32&lt;102,T32&gt;=0,U32&gt;=0,R32&gt;=0,'Qualidade dos Dados'!O32&gt;=1),"PROSSEGUIR","Verificar insconsistências")</f>
        <v>PROSSEGUIR</v>
      </c>
      <c r="AA32" s="142"/>
      <c r="AB32" s="34">
        <f>'Entrada de dados'!$B$32</f>
        <v>0</v>
      </c>
      <c r="AC32" s="16">
        <f>'Classificação Textural'!C31*10</f>
        <v>492.82395456891811</v>
      </c>
      <c r="AD32" s="16">
        <f>'Classificação Textural'!D31*10</f>
        <v>139.80382034073259</v>
      </c>
      <c r="AE32" s="16">
        <f>'Classificação Textural'!F31*10</f>
        <v>101.60041300981374</v>
      </c>
      <c r="AF32" s="16">
        <f>'Classificação Textural'!G31*10</f>
        <v>265.77181208053554</v>
      </c>
      <c r="AG32" s="59">
        <f t="shared" si="4"/>
        <v>999.99999999999989</v>
      </c>
      <c r="AH32" s="51" t="str">
        <f>'Classificação Textural'!I31</f>
        <v>Média</v>
      </c>
    </row>
    <row r="33" spans="2:27" hidden="1" x14ac:dyDescent="0.25">
      <c r="B33" s="8"/>
      <c r="C33" s="4"/>
      <c r="D33" s="4"/>
      <c r="E33" s="4"/>
      <c r="F33" s="4"/>
      <c r="G33" s="4"/>
      <c r="H33" s="4"/>
      <c r="I33" s="4"/>
      <c r="J33" s="4"/>
      <c r="K33" s="4"/>
      <c r="L33" s="7"/>
      <c r="M33" s="6"/>
      <c r="N33" s="6"/>
      <c r="O33" s="6"/>
      <c r="P33" s="4"/>
      <c r="Q33" s="6"/>
      <c r="R33" s="7"/>
      <c r="S33" s="7"/>
      <c r="T33" s="7"/>
      <c r="W33" s="7"/>
      <c r="X33" s="7"/>
      <c r="Y33" s="6"/>
      <c r="Z33" s="7"/>
      <c r="AA33" s="5"/>
    </row>
    <row r="34" spans="2:27" hidden="1" x14ac:dyDescent="0.25">
      <c r="B34" s="8"/>
      <c r="C34" s="4"/>
      <c r="D34" s="4"/>
      <c r="E34" s="4"/>
      <c r="F34" s="4"/>
      <c r="G34" s="4"/>
      <c r="H34" s="4"/>
      <c r="I34" s="4"/>
      <c r="J34" s="4"/>
      <c r="K34" s="4"/>
      <c r="L34" s="7"/>
      <c r="M34" s="6"/>
      <c r="N34" s="6"/>
      <c r="O34" s="6"/>
      <c r="P34" s="4"/>
      <c r="Q34" s="6"/>
      <c r="R34" s="7"/>
      <c r="S34" s="7"/>
      <c r="T34" s="7"/>
      <c r="W34" s="7"/>
      <c r="X34" s="7"/>
      <c r="Y34" s="6"/>
      <c r="Z34" s="7"/>
      <c r="AA34" s="5"/>
    </row>
    <row r="35" spans="2:27" hidden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W35" s="5"/>
      <c r="X35" s="5"/>
      <c r="Y35" s="5"/>
      <c r="Z35" s="5"/>
      <c r="AA35" s="5"/>
    </row>
    <row r="36" spans="2:27" hidden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W36" s="5"/>
      <c r="X36" s="5"/>
      <c r="Y36" s="5"/>
      <c r="Z36" s="5"/>
      <c r="AA36" s="5"/>
    </row>
    <row r="37" spans="2:27" hidden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W37" s="5"/>
      <c r="X37" s="5"/>
      <c r="Y37" s="5"/>
      <c r="Z37" s="5"/>
      <c r="AA37" s="5"/>
    </row>
    <row r="38" spans="2:27" hidden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W38" s="5"/>
      <c r="X38" s="5"/>
      <c r="Y38" s="5"/>
      <c r="Z38" s="5"/>
      <c r="AA38" s="5"/>
    </row>
    <row r="39" spans="2:27" hidden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W39" s="5"/>
      <c r="X39" s="5"/>
      <c r="Y39" s="5"/>
      <c r="Z39" s="5"/>
      <c r="AA39" s="5"/>
    </row>
    <row r="40" spans="2:27" hidden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W40" s="5"/>
      <c r="X40" s="5"/>
      <c r="Y40" s="5"/>
      <c r="Z40" s="5"/>
      <c r="AA40" s="5"/>
    </row>
  </sheetData>
  <sheetProtection sheet="1" objects="1" scenarios="1" selectLockedCells="1" selectUnlockedCells="1"/>
  <mergeCells count="7">
    <mergeCell ref="H7:I7"/>
    <mergeCell ref="C6:I6"/>
    <mergeCell ref="AC7:AF7"/>
    <mergeCell ref="AC6:AF6"/>
    <mergeCell ref="L6:O7"/>
    <mergeCell ref="R6:U7"/>
    <mergeCell ref="X6:Z7"/>
  </mergeCells>
  <conditionalFormatting sqref="Z9:Z32">
    <cfRule type="expression" dxfId="22" priority="30">
      <formula xml:space="preserve"> Z9 = "Verificar insconsistências"</formula>
    </cfRule>
  </conditionalFormatting>
  <conditionalFormatting sqref="X9">
    <cfRule type="expression" dxfId="21" priority="26">
      <formula xml:space="preserve"> OR(X9&lt;92,X9&gt;102)</formula>
    </cfRule>
  </conditionalFormatting>
  <conditionalFormatting sqref="X10">
    <cfRule type="expression" dxfId="20" priority="25">
      <formula xml:space="preserve"> OR(X10&lt;92,X10&gt;102)</formula>
    </cfRule>
  </conditionalFormatting>
  <conditionalFormatting sqref="X11 X13 X15 X17 X19 X21 X23 X25 X27 X29 X31">
    <cfRule type="expression" dxfId="19" priority="24">
      <formula xml:space="preserve"> OR(X11&lt;92,X11&gt;102)</formula>
    </cfRule>
  </conditionalFormatting>
  <conditionalFormatting sqref="X12 X14 X16 X18 X20 X22 X24 X26 X28 X30 X32">
    <cfRule type="expression" dxfId="18" priority="23">
      <formula xml:space="preserve"> OR(X12&lt;92,X12&gt;102)</formula>
    </cfRule>
  </conditionalFormatting>
  <conditionalFormatting sqref="R9:S9">
    <cfRule type="expression" dxfId="17" priority="22">
      <formula xml:space="preserve"> AND(R9&lt;0)</formula>
    </cfRule>
  </conditionalFormatting>
  <conditionalFormatting sqref="T9:U9">
    <cfRule type="expression" dxfId="16" priority="21">
      <formula xml:space="preserve"> AND(T9&lt;0)</formula>
    </cfRule>
  </conditionalFormatting>
  <conditionalFormatting sqref="R10:U10">
    <cfRule type="expression" dxfId="15" priority="20">
      <formula>AND(R10&lt;0)</formula>
    </cfRule>
  </conditionalFormatting>
  <conditionalFormatting sqref="R11:S11 R13:S13 R15:S15 R17:S17 R19:S19 R21:S21 R23:S23 R25:S25 R27:S27 R29:S29 R31:S31">
    <cfRule type="expression" dxfId="14" priority="19">
      <formula xml:space="preserve"> AND(R11&lt;0)</formula>
    </cfRule>
  </conditionalFormatting>
  <conditionalFormatting sqref="T11:U11 T13:U13 T15:U15 T17:U17 T19:U19 T21:U21 T23:U23 T25:U25 T27:U27 T29:U29 T31:U31">
    <cfRule type="expression" dxfId="13" priority="18">
      <formula xml:space="preserve"> AND(T11&lt;0)</formula>
    </cfRule>
  </conditionalFormatting>
  <conditionalFormatting sqref="R12:U12 R14:U14 R16:U16 R18:U18 R20:U20 R22:U22 R24:U24 R26:U26 R28:U28 R30:U30 R32:U32">
    <cfRule type="expression" dxfId="12" priority="17">
      <formula>AND(R12&lt;0)</formula>
    </cfRule>
  </conditionalFormatting>
  <conditionalFormatting sqref="O9">
    <cfRule type="expression" dxfId="11" priority="12">
      <formula xml:space="preserve"> AND(O9&lt;1)</formula>
    </cfRule>
  </conditionalFormatting>
  <conditionalFormatting sqref="O10">
    <cfRule type="expression" dxfId="10" priority="11">
      <formula xml:space="preserve"> AND(O10&lt;1)</formula>
    </cfRule>
  </conditionalFormatting>
  <conditionalFormatting sqref="O11 O13 O15 O17 O19 O21 O23 O25 O27 O29 O31">
    <cfRule type="expression" dxfId="9" priority="10">
      <formula xml:space="preserve"> AND(O11&lt;1)</formula>
    </cfRule>
  </conditionalFormatting>
  <conditionalFormatting sqref="O12 O14 O16 O18 O20 O22 O24 O26 O28 O30 O32">
    <cfRule type="expression" dxfId="8" priority="9">
      <formula xml:space="preserve"> AND(O12&lt;1)</formula>
    </cfRule>
  </conditionalFormatting>
  <conditionalFormatting sqref="Y9">
    <cfRule type="expression" dxfId="7" priority="8">
      <formula xml:space="preserve"> Y9 = "Verificar Triangulo"</formula>
    </cfRule>
  </conditionalFormatting>
  <conditionalFormatting sqref="Y10">
    <cfRule type="expression" dxfId="6" priority="7">
      <formula xml:space="preserve"> Y10 = "Verificar Triangulo"</formula>
    </cfRule>
  </conditionalFormatting>
  <conditionalFormatting sqref="Y11 Y13 Y15 Y17 Y19 Y21 Y23 Y25 Y27 Y29 Y31">
    <cfRule type="expression" dxfId="5" priority="6">
      <formula xml:space="preserve"> Y11 = "Verificar Triangulo"</formula>
    </cfRule>
  </conditionalFormatting>
  <conditionalFormatting sqref="Y12 Y14 Y16 Y18 Y20 Y22 Y24 Y26 Y28 Y30 Y32">
    <cfRule type="expression" dxfId="4" priority="5">
      <formula xml:space="preserve"> Y12 = "Verificar Triangulo"</formula>
    </cfRule>
  </conditionalFormatting>
  <conditionalFormatting sqref="C9:F9">
    <cfRule type="expression" dxfId="3" priority="4">
      <formula xml:space="preserve"> AND(C9&lt;0)</formula>
    </cfRule>
  </conditionalFormatting>
  <conditionalFormatting sqref="C10:F10">
    <cfRule type="expression" dxfId="2" priority="3">
      <formula xml:space="preserve"> AND(C10&lt;0)</formula>
    </cfRule>
  </conditionalFormatting>
  <conditionalFormatting sqref="C11:F11 C13:F13 C15:F15 C17:F17 C19:F19 C21:F21 C23:F23 C25:F25 C27:F27 C29:F29 C31:F31">
    <cfRule type="expression" dxfId="1" priority="2">
      <formula xml:space="preserve"> AND(C11&lt;0)</formula>
    </cfRule>
  </conditionalFormatting>
  <conditionalFormatting sqref="C12:F12 C14:F14 C16:F16 C18:F18 C20:F20 C22:F22 C24:F24 C26:F26 C28:F28 C30:F30 C32:F32">
    <cfRule type="expression" dxfId="0" priority="1">
      <formula xml:space="preserve"> AND(C12&lt;0)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ignoredErrors>
    <ignoredError sqref="E10:F28 E29:F32 C29:C32 C9:C28 D9 D10:D32 E9:F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P39"/>
  <sheetViews>
    <sheetView showGridLines="0" showRowColHeaders="0" tabSelected="1" zoomScale="90" zoomScaleNormal="90" workbookViewId="0"/>
  </sheetViews>
  <sheetFormatPr defaultColWidth="0" defaultRowHeight="15" zeroHeight="1" x14ac:dyDescent="0.25"/>
  <cols>
    <col min="1" max="1" width="13.42578125" bestFit="1" customWidth="1"/>
    <col min="2" max="2" width="13.42578125" customWidth="1"/>
    <col min="3" max="3" width="12.28515625" bestFit="1" customWidth="1"/>
    <col min="4" max="5" width="12.28515625" customWidth="1"/>
    <col min="6" max="6" width="13.140625" customWidth="1"/>
    <col min="7" max="7" width="11.85546875" customWidth="1"/>
    <col min="8" max="8" width="10.85546875" customWidth="1"/>
    <col min="9" max="9" width="14" customWidth="1"/>
    <col min="10" max="10" width="15.7109375" style="133" customWidth="1"/>
    <col min="11" max="11" width="11.42578125" style="133" customWidth="1"/>
    <col min="12" max="13" width="9.140625" style="133" customWidth="1"/>
    <col min="14" max="14" width="9" style="133" customWidth="1"/>
    <col min="15" max="16" width="9.140625" style="133" customWidth="1"/>
    <col min="17" max="16384" width="9.140625" hidden="1"/>
  </cols>
  <sheetData>
    <row r="1" spans="1:16" x14ac:dyDescent="0.25">
      <c r="A1" s="129"/>
      <c r="B1" s="129"/>
      <c r="C1" s="129"/>
      <c r="D1" s="129"/>
      <c r="E1" s="129"/>
      <c r="F1" s="129"/>
      <c r="G1" s="129"/>
      <c r="H1" s="129"/>
      <c r="I1" s="129"/>
    </row>
    <row r="2" spans="1:16" x14ac:dyDescent="0.25">
      <c r="A2" s="129"/>
      <c r="B2" s="129"/>
      <c r="C2" s="129"/>
      <c r="D2" s="129"/>
      <c r="E2" s="129"/>
      <c r="F2" s="129"/>
      <c r="G2" s="129"/>
      <c r="H2" s="129"/>
      <c r="I2" s="129"/>
    </row>
    <row r="3" spans="1:16" x14ac:dyDescent="0.25">
      <c r="A3" s="129"/>
      <c r="B3" s="129"/>
      <c r="C3" s="129"/>
      <c r="D3" s="129"/>
      <c r="E3" s="129"/>
      <c r="F3" s="129"/>
      <c r="G3" s="129"/>
      <c r="H3" s="129"/>
      <c r="I3" s="129"/>
      <c r="K3" s="188" t="s">
        <v>42</v>
      </c>
      <c r="L3" s="189" t="s">
        <v>8</v>
      </c>
      <c r="M3" s="189" t="s">
        <v>34</v>
      </c>
      <c r="N3" s="189" t="s">
        <v>15</v>
      </c>
      <c r="O3" s="189" t="s">
        <v>10</v>
      </c>
    </row>
    <row r="4" spans="1:16" x14ac:dyDescent="0.25">
      <c r="A4" s="129"/>
      <c r="B4" s="129"/>
      <c r="C4" s="129"/>
      <c r="D4" s="129"/>
      <c r="E4" s="129"/>
      <c r="F4" s="129"/>
      <c r="G4" s="129"/>
      <c r="H4" s="129"/>
      <c r="I4" s="129"/>
      <c r="K4" s="190">
        <v>24</v>
      </c>
      <c r="L4" s="191">
        <f>VLOOKUP($K$4,$A$7:$G$31,3,FALSE)</f>
        <v>49.282395456891813</v>
      </c>
      <c r="M4" s="191">
        <f>VLOOKUP($K$4,$A$7:$G$31,4,FALSE)</f>
        <v>13.980382034073259</v>
      </c>
      <c r="N4" s="191">
        <f>VLOOKUP($K$4,$A$7:$G$31,6,FALSE)</f>
        <v>10.160041300981373</v>
      </c>
      <c r="O4" s="191">
        <f>VLOOKUP($K$4,$A$7:$G$31,7,FALSE)</f>
        <v>26.577181208053553</v>
      </c>
    </row>
    <row r="5" spans="1:16" x14ac:dyDescent="0.25">
      <c r="A5" s="129"/>
      <c r="B5" s="129"/>
      <c r="C5" s="129"/>
      <c r="D5" s="129"/>
      <c r="E5" s="129"/>
      <c r="F5" s="129"/>
      <c r="G5" s="129"/>
      <c r="H5" s="129"/>
      <c r="I5" s="129"/>
    </row>
    <row r="6" spans="1:16" x14ac:dyDescent="0.25">
      <c r="A6" s="131"/>
      <c r="B6" s="131"/>
      <c r="C6" s="266" t="s">
        <v>6</v>
      </c>
      <c r="D6" s="266"/>
      <c r="E6" s="266"/>
      <c r="F6" s="267"/>
      <c r="G6" s="267"/>
      <c r="H6" s="132"/>
      <c r="I6" s="133"/>
    </row>
    <row r="7" spans="1:16" x14ac:dyDescent="0.25">
      <c r="A7" s="74" t="s">
        <v>42</v>
      </c>
      <c r="B7" s="100" t="s">
        <v>19</v>
      </c>
      <c r="C7" s="77" t="s">
        <v>8</v>
      </c>
      <c r="D7" s="184" t="s">
        <v>34</v>
      </c>
      <c r="E7" s="184" t="s">
        <v>36</v>
      </c>
      <c r="F7" s="52" t="s">
        <v>15</v>
      </c>
      <c r="G7" s="26" t="s">
        <v>10</v>
      </c>
      <c r="H7" s="184" t="s">
        <v>16</v>
      </c>
      <c r="I7" s="184" t="s">
        <v>18</v>
      </c>
      <c r="N7" s="134" t="s">
        <v>46</v>
      </c>
    </row>
    <row r="8" spans="1:16" x14ac:dyDescent="0.25">
      <c r="A8" s="75">
        <v>1</v>
      </c>
      <c r="B8" s="30">
        <f>'Entrada de dados'!B9</f>
        <v>0</v>
      </c>
      <c r="C8" s="78">
        <f>('Qualidade dos Dados'!R9/'Qualidade dos Dados'!X9)*10</f>
        <v>65.905185484685973</v>
      </c>
      <c r="D8" s="91">
        <f>('Qualidade dos Dados'!S9/'Qualidade dos Dados'!X9)*10</f>
        <v>6.9443040533710647</v>
      </c>
      <c r="E8" s="91">
        <f>C8+D8</f>
        <v>72.849489538057043</v>
      </c>
      <c r="F8" s="60">
        <f>('Qualidade dos Dados'!T9/'Qualidade dos Dados'!X9)*10</f>
        <v>5.3573233599511898</v>
      </c>
      <c r="G8" s="61">
        <f>('Qualidade dos Dados'!U9/'Qualidade dos Dados'!X9)*10</f>
        <v>21.793187101991769</v>
      </c>
      <c r="H8" s="53">
        <f>C8+D8+F8+G8</f>
        <v>100</v>
      </c>
      <c r="I8" s="25" t="str">
        <f>IF(AND(G8&gt;35,G8&lt;60),"Argilosa",IF(G8&gt;60,"Muito Argilosa",IF(AND(G8&lt;35,(C8+D8)&lt;15),"Siltosa",IF(AND(G8&lt;35,(C8+D8)&gt;15),"Média","Arenosa"))))</f>
        <v>Média</v>
      </c>
    </row>
    <row r="9" spans="1:16" x14ac:dyDescent="0.25">
      <c r="A9" s="76">
        <v>2</v>
      </c>
      <c r="B9" s="101">
        <f>'Entrada de dados'!B10</f>
        <v>0</v>
      </c>
      <c r="C9" s="79">
        <f>('Qualidade dos Dados'!R10/'Qualidade dos Dados'!X10)*10</f>
        <v>23.441606223063161</v>
      </c>
      <c r="D9" s="92">
        <f>('Qualidade dos Dados'!S10/'Qualidade dos Dados'!X10)*10</f>
        <v>21.013350152422969</v>
      </c>
      <c r="E9" s="92">
        <f t="shared" ref="E9:E31" si="0">C9+D9</f>
        <v>44.454956375486134</v>
      </c>
      <c r="F9" s="62">
        <f>('Qualidade dos Dados'!T10/'Qualidade dos Dados'!X10)*10</f>
        <v>9.4397140754753188</v>
      </c>
      <c r="G9" s="63">
        <f>('Qualidade dos Dados'!U10/'Qualidade dos Dados'!X10)*10</f>
        <v>46.105329549038558</v>
      </c>
      <c r="H9" s="54">
        <f t="shared" ref="H9:H31" si="1">C9+D9+F9+G9</f>
        <v>100.00000000000001</v>
      </c>
      <c r="I9" s="13" t="str">
        <f t="shared" ref="I9:I31" si="2">IF(AND(G9&gt;35,G9&lt;60),"Argilosa",IF(G9&gt;60,"Muito Argilosa",IF(AND(G9&lt;35,(C9+D9)&lt;15),"Siltosa",IF(AND(G9&lt;35,(C9+D9)&gt;15),"Média","Arenosa"))))</f>
        <v>Argilosa</v>
      </c>
      <c r="J9" s="185"/>
    </row>
    <row r="10" spans="1:16" x14ac:dyDescent="0.25">
      <c r="A10" s="75">
        <v>3</v>
      </c>
      <c r="B10" s="30">
        <f>'Entrada de dados'!B11</f>
        <v>0</v>
      </c>
      <c r="C10" s="78">
        <f>('Qualidade dos Dados'!R11/'Qualidade dos Dados'!X11)*10</f>
        <v>35.21097910692329</v>
      </c>
      <c r="D10" s="91">
        <f>('Qualidade dos Dados'!S11/'Qualidade dos Dados'!X11)*10</f>
        <v>9.5247849242113514</v>
      </c>
      <c r="E10" s="91">
        <f t="shared" si="0"/>
        <v>44.735764031134643</v>
      </c>
      <c r="F10" s="64">
        <f>('Qualidade dos Dados'!T11/'Qualidade dos Dados'!X11)*10</f>
        <v>4.240065546908026</v>
      </c>
      <c r="G10" s="65">
        <f>('Qualidade dos Dados'!U11/'Qualidade dos Dados'!X11)*10</f>
        <v>51.024170421957329</v>
      </c>
      <c r="H10" s="55">
        <f t="shared" si="1"/>
        <v>100</v>
      </c>
      <c r="I10" s="25" t="str">
        <f t="shared" si="2"/>
        <v>Argilosa</v>
      </c>
    </row>
    <row r="11" spans="1:16" x14ac:dyDescent="0.25">
      <c r="A11" s="76">
        <v>4</v>
      </c>
      <c r="B11" s="101">
        <f>'Entrada de dados'!B12</f>
        <v>0</v>
      </c>
      <c r="C11" s="79">
        <f>('Qualidade dos Dados'!R12/'Qualidade dos Dados'!X12)*10</f>
        <v>46.46742116250951</v>
      </c>
      <c r="D11" s="92">
        <f>('Qualidade dos Dados'!S12/'Qualidade dos Dados'!X12)*10</f>
        <v>15.316998132073337</v>
      </c>
      <c r="E11" s="92">
        <f t="shared" si="0"/>
        <v>61.784419294582847</v>
      </c>
      <c r="F11" s="62">
        <f>('Qualidade dos Dados'!T12/'Qualidade dos Dados'!X12)*10</f>
        <v>10.196681683331132</v>
      </c>
      <c r="G11" s="63">
        <f>('Qualidade dos Dados'!U12/'Qualidade dos Dados'!X12)*10</f>
        <v>28.018899022086025</v>
      </c>
      <c r="H11" s="54">
        <f t="shared" si="1"/>
        <v>100</v>
      </c>
      <c r="I11" s="13" t="str">
        <f t="shared" si="2"/>
        <v>Média</v>
      </c>
      <c r="K11" s="134"/>
    </row>
    <row r="12" spans="1:16" x14ac:dyDescent="0.25">
      <c r="A12" s="75">
        <v>5</v>
      </c>
      <c r="B12" s="30">
        <f>'Entrada de dados'!B13</f>
        <v>0</v>
      </c>
      <c r="C12" s="78">
        <f>('Qualidade dos Dados'!R13/'Qualidade dos Dados'!X13)*10</f>
        <v>52.722513089004849</v>
      </c>
      <c r="D12" s="91">
        <f>('Qualidade dos Dados'!S13/'Qualidade dos Dados'!X13)*10</f>
        <v>13.30890052356008</v>
      </c>
      <c r="E12" s="91">
        <f t="shared" si="0"/>
        <v>66.031413612564933</v>
      </c>
      <c r="F12" s="64">
        <f>('Qualidade dos Dados'!T13/'Qualidade dos Dados'!X13)*10</f>
        <v>10.198952879581856</v>
      </c>
      <c r="G12" s="65">
        <f>('Qualidade dos Dados'!U13/'Qualidade dos Dados'!X13)*10</f>
        <v>23.769633507853214</v>
      </c>
      <c r="H12" s="55">
        <f t="shared" si="1"/>
        <v>100</v>
      </c>
      <c r="I12" s="25" t="str">
        <f t="shared" si="2"/>
        <v>Média</v>
      </c>
      <c r="K12" s="186"/>
      <c r="P12" s="192"/>
    </row>
    <row r="13" spans="1:16" x14ac:dyDescent="0.25">
      <c r="A13" s="76">
        <v>6</v>
      </c>
      <c r="B13" s="101">
        <f>'Entrada de dados'!B14</f>
        <v>0</v>
      </c>
      <c r="C13" s="79">
        <f>('Qualidade dos Dados'!R14/'Qualidade dos Dados'!X14)*10</f>
        <v>49.011124845488602</v>
      </c>
      <c r="D13" s="92">
        <f>('Qualidade dos Dados'!S14/'Qualidade dos Dados'!X14)*10</f>
        <v>7.2105480016481707</v>
      </c>
      <c r="E13" s="92">
        <f t="shared" si="0"/>
        <v>56.221672847136773</v>
      </c>
      <c r="F13" s="62">
        <f>('Qualidade dos Dados'!T14/'Qualidade dos Dados'!X14)*10</f>
        <v>4.7589616810869542</v>
      </c>
      <c r="G13" s="63">
        <f>('Qualidade dos Dados'!U14/'Qualidade dos Dados'!X14)*10</f>
        <v>39.019365471776275</v>
      </c>
      <c r="H13" s="54">
        <f t="shared" si="1"/>
        <v>100</v>
      </c>
      <c r="I13" s="13" t="str">
        <f t="shared" si="2"/>
        <v>Argilosa</v>
      </c>
      <c r="K13" s="186"/>
    </row>
    <row r="14" spans="1:16" x14ac:dyDescent="0.25">
      <c r="A14" s="75">
        <v>7</v>
      </c>
      <c r="B14" s="30">
        <f>'Entrada de dados'!B15</f>
        <v>0</v>
      </c>
      <c r="C14" s="78">
        <f>('Qualidade dos Dados'!R15/'Qualidade dos Dados'!X15)*10</f>
        <v>23.947341975681052</v>
      </c>
      <c r="D14" s="91">
        <f>('Qualidade dos Dados'!S15/'Qualidade dos Dados'!X15)*10</f>
        <v>16.139081499346908</v>
      </c>
      <c r="E14" s="91">
        <f t="shared" si="0"/>
        <v>40.086423475027956</v>
      </c>
      <c r="F14" s="64">
        <f>('Qualidade dos Dados'!T15/'Qualidade dos Dados'!X15)*10</f>
        <v>10.350718520751208</v>
      </c>
      <c r="G14" s="65">
        <f>('Qualidade dos Dados'!U15/'Qualidade dos Dados'!X15)*10</f>
        <v>49.562858004220836</v>
      </c>
      <c r="H14" s="55">
        <f t="shared" si="1"/>
        <v>100</v>
      </c>
      <c r="I14" s="25" t="str">
        <f t="shared" si="2"/>
        <v>Argilosa</v>
      </c>
      <c r="J14" s="134"/>
      <c r="K14" s="186"/>
    </row>
    <row r="15" spans="1:16" x14ac:dyDescent="0.25">
      <c r="A15" s="76">
        <v>8</v>
      </c>
      <c r="B15" s="101">
        <f>'Entrada de dados'!B16</f>
        <v>0</v>
      </c>
      <c r="C15" s="79">
        <f>('Qualidade dos Dados'!R16/'Qualidade dos Dados'!X16)*10</f>
        <v>32.119415625661517</v>
      </c>
      <c r="D15" s="92">
        <f>('Qualidade dos Dados'!S16/'Qualidade dos Dados'!X16)*10</f>
        <v>6.267203048909554</v>
      </c>
      <c r="E15" s="92">
        <f t="shared" si="0"/>
        <v>38.386618674571068</v>
      </c>
      <c r="F15" s="62">
        <f>('Qualidade dos Dados'!T16/'Qualidade dos Dados'!X16)*10</f>
        <v>4.0863857717554817</v>
      </c>
      <c r="G15" s="63">
        <f>('Qualidade dos Dados'!U16/'Qualidade dos Dados'!X16)*10</f>
        <v>57.526995553673437</v>
      </c>
      <c r="H15" s="54">
        <f t="shared" si="1"/>
        <v>99.999999999999986</v>
      </c>
      <c r="I15" s="13" t="str">
        <f t="shared" si="2"/>
        <v>Argilosa</v>
      </c>
      <c r="K15" s="186"/>
    </row>
    <row r="16" spans="1:16" x14ac:dyDescent="0.25">
      <c r="A16" s="75">
        <v>9</v>
      </c>
      <c r="B16" s="30">
        <f>'Entrada de dados'!B17</f>
        <v>0</v>
      </c>
      <c r="C16" s="78">
        <f>('Qualidade dos Dados'!R17/'Qualidade dos Dados'!X17)*10</f>
        <v>50.880388585306704</v>
      </c>
      <c r="D16" s="91">
        <f>('Qualidade dos Dados'!S17/'Qualidade dos Dados'!X17)*10</f>
        <v>8.7836470350131925</v>
      </c>
      <c r="E16" s="91">
        <f t="shared" si="0"/>
        <v>59.664035620319893</v>
      </c>
      <c r="F16" s="64">
        <f>('Qualidade dos Dados'!T17/'Qualidade dos Dados'!X17)*10</f>
        <v>7.8931390406803406</v>
      </c>
      <c r="G16" s="65">
        <f>('Qualidade dos Dados'!U17/'Qualidade dos Dados'!X17)*10</f>
        <v>32.442825338999754</v>
      </c>
      <c r="H16" s="55">
        <f t="shared" si="1"/>
        <v>99.999999999999986</v>
      </c>
      <c r="I16" s="25" t="str">
        <f t="shared" si="2"/>
        <v>Média</v>
      </c>
      <c r="K16" s="187"/>
    </row>
    <row r="17" spans="1:11" x14ac:dyDescent="0.25">
      <c r="A17" s="76">
        <v>10</v>
      </c>
      <c r="B17" s="101">
        <f>'Entrada de dados'!B18</f>
        <v>0</v>
      </c>
      <c r="C17" s="79">
        <f>('Qualidade dos Dados'!R18/'Qualidade dos Dados'!X18)*10</f>
        <v>28.23638805661712</v>
      </c>
      <c r="D17" s="92">
        <f>('Qualidade dos Dados'!S18/'Qualidade dos Dados'!X18)*10</f>
        <v>8.4306229982435266</v>
      </c>
      <c r="E17" s="92">
        <f t="shared" si="0"/>
        <v>36.667011054860644</v>
      </c>
      <c r="F17" s="62">
        <f>('Qualidade dos Dados'!T18/'Qualidade dos Dados'!X18)*10</f>
        <v>4.5872507490453343</v>
      </c>
      <c r="G17" s="63">
        <f>('Qualidade dos Dados'!U18/'Qualidade dos Dados'!X18)*10</f>
        <v>58.745738196094024</v>
      </c>
      <c r="H17" s="54">
        <f t="shared" si="1"/>
        <v>100</v>
      </c>
      <c r="I17" s="13" t="str">
        <f t="shared" si="2"/>
        <v>Argilosa</v>
      </c>
      <c r="K17" s="134"/>
    </row>
    <row r="18" spans="1:11" x14ac:dyDescent="0.25">
      <c r="A18" s="75">
        <v>11</v>
      </c>
      <c r="B18" s="30">
        <f>'Entrada de dados'!B19</f>
        <v>0</v>
      </c>
      <c r="C18" s="78">
        <f>('Qualidade dos Dados'!R19/'Qualidade dos Dados'!X19)*10</f>
        <v>64.766317485898412</v>
      </c>
      <c r="D18" s="91">
        <f>('Qualidade dos Dados'!S19/'Qualidade dos Dados'!X19)*10</f>
        <v>6.8896051571313155</v>
      </c>
      <c r="E18" s="91">
        <f t="shared" si="0"/>
        <v>71.655922643029726</v>
      </c>
      <c r="F18" s="64">
        <f>('Qualidade dos Dados'!T19/'Qualidade dos Dados'!X19)*10</f>
        <v>6.2449637389199797</v>
      </c>
      <c r="G18" s="65">
        <f>('Qualidade dos Dados'!U19/'Qualidade dos Dados'!X19)*10</f>
        <v>22.099113618050286</v>
      </c>
      <c r="H18" s="55">
        <f t="shared" si="1"/>
        <v>99.999999999999986</v>
      </c>
      <c r="I18" s="25" t="str">
        <f t="shared" si="2"/>
        <v>Média</v>
      </c>
      <c r="K18" s="186"/>
    </row>
    <row r="19" spans="1:11" x14ac:dyDescent="0.25">
      <c r="A19" s="76">
        <v>12</v>
      </c>
      <c r="B19" s="101">
        <f>'Entrada de dados'!B20</f>
        <v>0</v>
      </c>
      <c r="C19" s="80">
        <f>('Qualidade dos Dados'!R20/'Qualidade dos Dados'!X20)*10</f>
        <v>22.404259676428396</v>
      </c>
      <c r="D19" s="93">
        <f>('Qualidade dos Dados'!S20/'Qualidade dos Dados'!X20)*10</f>
        <v>20.991193938152762</v>
      </c>
      <c r="E19" s="93">
        <f t="shared" si="0"/>
        <v>43.395453614581157</v>
      </c>
      <c r="F19" s="62">
        <f>('Qualidade dos Dados'!T20/'Qualidade dos Dados'!X20)*10</f>
        <v>11.816506246160248</v>
      </c>
      <c r="G19" s="63">
        <f>('Qualidade dos Dados'!U20/'Qualidade dos Dados'!X20)*10</f>
        <v>44.788040139258598</v>
      </c>
      <c r="H19" s="54">
        <f t="shared" si="1"/>
        <v>100</v>
      </c>
      <c r="I19" s="13" t="str">
        <f t="shared" si="2"/>
        <v>Argilosa</v>
      </c>
      <c r="K19" s="186"/>
    </row>
    <row r="20" spans="1:11" x14ac:dyDescent="0.25">
      <c r="A20" s="75">
        <v>13</v>
      </c>
      <c r="B20" s="30">
        <f>'Entrada de dados'!B21</f>
        <v>0</v>
      </c>
      <c r="C20" s="78">
        <f>('Qualidade dos Dados'!R21/'Qualidade dos Dados'!X21)*10</f>
        <v>34.605128205128231</v>
      </c>
      <c r="D20" s="91">
        <f>('Qualidade dos Dados'!S21/'Qualidade dos Dados'!X21)*10</f>
        <v>9.2717948717948708</v>
      </c>
      <c r="E20" s="91">
        <f t="shared" si="0"/>
        <v>43.876923076923106</v>
      </c>
      <c r="F20" s="64">
        <f>('Qualidade dos Dados'!T21/'Qualidade dos Dados'!X21)*10</f>
        <v>4.861538461538065</v>
      </c>
      <c r="G20" s="65">
        <f>('Qualidade dos Dados'!U21/'Qualidade dos Dados'!X21)*10</f>
        <v>51.261538461538834</v>
      </c>
      <c r="H20" s="55">
        <f t="shared" si="1"/>
        <v>100</v>
      </c>
      <c r="I20" s="25" t="str">
        <f t="shared" si="2"/>
        <v>Argilosa</v>
      </c>
      <c r="K20" s="186"/>
    </row>
    <row r="21" spans="1:11" x14ac:dyDescent="0.25">
      <c r="A21" s="76">
        <v>14</v>
      </c>
      <c r="B21" s="101">
        <f>'Entrada de dados'!B22</f>
        <v>0</v>
      </c>
      <c r="C21" s="79">
        <f>('Qualidade dos Dados'!R22/'Qualidade dos Dados'!X22)*10</f>
        <v>50.529500756429911</v>
      </c>
      <c r="D21" s="92">
        <f>('Qualidade dos Dados'!S22/'Qualidade dos Dados'!X22)*10</f>
        <v>12.51638930912765</v>
      </c>
      <c r="E21" s="92">
        <f t="shared" si="0"/>
        <v>63.045890065557558</v>
      </c>
      <c r="F21" s="62">
        <f>('Qualidade dos Dados'!T22/'Qualidade dos Dados'!X22)*10</f>
        <v>10.105900151286084</v>
      </c>
      <c r="G21" s="63">
        <f>('Qualidade dos Dados'!U22/'Qualidade dos Dados'!X22)*10</f>
        <v>26.848209783156356</v>
      </c>
      <c r="H21" s="54">
        <f t="shared" si="1"/>
        <v>100</v>
      </c>
      <c r="I21" s="13" t="str">
        <f t="shared" si="2"/>
        <v>Média</v>
      </c>
      <c r="K21" s="186"/>
    </row>
    <row r="22" spans="1:11" x14ac:dyDescent="0.25">
      <c r="A22" s="75">
        <v>15</v>
      </c>
      <c r="B22" s="30">
        <f>'Entrada de dados'!B23</f>
        <v>0</v>
      </c>
      <c r="C22" s="78">
        <f>('Qualidade dos Dados'!R23/'Qualidade dos Dados'!X23)*10</f>
        <v>55.310057321521235</v>
      </c>
      <c r="D22" s="91">
        <f>('Qualidade dos Dados'!S23/'Qualidade dos Dados'!X23)*10</f>
        <v>12.443981240229192</v>
      </c>
      <c r="E22" s="91">
        <f t="shared" si="0"/>
        <v>67.754038561750434</v>
      </c>
      <c r="F22" s="64">
        <f>('Qualidade dos Dados'!T23/'Qualidade dos Dados'!X23)*10</f>
        <v>8.608650338717954</v>
      </c>
      <c r="G22" s="65">
        <f>('Qualidade dos Dados'!U23/'Qualidade dos Dados'!X23)*10</f>
        <v>23.637311099531622</v>
      </c>
      <c r="H22" s="55">
        <f t="shared" si="1"/>
        <v>100</v>
      </c>
      <c r="I22" s="25" t="str">
        <f t="shared" si="2"/>
        <v>Média</v>
      </c>
      <c r="J22" s="134"/>
      <c r="K22" s="186"/>
    </row>
    <row r="23" spans="1:11" x14ac:dyDescent="0.25">
      <c r="A23" s="76">
        <v>16</v>
      </c>
      <c r="B23" s="101">
        <f>'Entrada de dados'!B24</f>
        <v>0</v>
      </c>
      <c r="C23" s="79">
        <f>('Qualidade dos Dados'!R24/'Qualidade dos Dados'!X24)*10</f>
        <v>43.92629194976287</v>
      </c>
      <c r="D23" s="92">
        <f>('Qualidade dos Dados'!S24/'Qualidade dos Dados'!X24)*10</f>
        <v>9.1929174387481343</v>
      </c>
      <c r="E23" s="92">
        <f t="shared" si="0"/>
        <v>53.119209388511003</v>
      </c>
      <c r="F23" s="62">
        <f>('Qualidade dos Dados'!T24/'Qualidade dos Dados'!X24)*10</f>
        <v>5.0854436895208242</v>
      </c>
      <c r="G23" s="63">
        <f>('Qualidade dos Dados'!U24/'Qualidade dos Dados'!X24)*10</f>
        <v>41.795346921968168</v>
      </c>
      <c r="H23" s="54">
        <f t="shared" si="1"/>
        <v>100</v>
      </c>
      <c r="I23" s="13" t="str">
        <f t="shared" si="2"/>
        <v>Argilosa</v>
      </c>
      <c r="K23" s="186"/>
    </row>
    <row r="24" spans="1:11" x14ac:dyDescent="0.25">
      <c r="A24" s="75">
        <v>17</v>
      </c>
      <c r="B24" s="30">
        <f>'Entrada de dados'!B25</f>
        <v>0</v>
      </c>
      <c r="C24" s="78">
        <f>('Qualidade dos Dados'!R25/'Qualidade dos Dados'!X25)*10</f>
        <v>24.248557838275524</v>
      </c>
      <c r="D24" s="91">
        <f>('Qualidade dos Dados'!S25/'Qualidade dos Dados'!X25)*10</f>
        <v>15.372937961744803</v>
      </c>
      <c r="E24" s="91">
        <f t="shared" si="0"/>
        <v>39.621495800020327</v>
      </c>
      <c r="F24" s="64">
        <f>('Qualidade dos Dados'!T25/'Qualidade dos Dados'!X25)*10</f>
        <v>10.039469689303051</v>
      </c>
      <c r="G24" s="65">
        <f>('Qualidade dos Dados'!U25/'Qualidade dos Dados'!X25)*10</f>
        <v>50.339034510676619</v>
      </c>
      <c r="H24" s="55">
        <f t="shared" si="1"/>
        <v>100</v>
      </c>
      <c r="I24" s="25" t="str">
        <f t="shared" si="2"/>
        <v>Argilosa</v>
      </c>
      <c r="K24" s="186"/>
    </row>
    <row r="25" spans="1:11" x14ac:dyDescent="0.25">
      <c r="A25" s="76">
        <v>18</v>
      </c>
      <c r="B25" s="101">
        <f>'Entrada de dados'!B26</f>
        <v>0</v>
      </c>
      <c r="C25" s="79">
        <f>('Qualidade dos Dados'!R26/'Qualidade dos Dados'!X26)*10</f>
        <v>30.445679415931203</v>
      </c>
      <c r="D25" s="92">
        <f>('Qualidade dos Dados'!S26/'Qualidade dos Dados'!X26)*10</f>
        <v>6.8540917511169521</v>
      </c>
      <c r="E25" s="92">
        <f t="shared" si="0"/>
        <v>37.299771167048156</v>
      </c>
      <c r="F25" s="62">
        <f>('Qualidade dos Dados'!T26/'Qualidade dos Dados'!X26)*10</f>
        <v>3.7702953034773694</v>
      </c>
      <c r="G25" s="63">
        <f>('Qualidade dos Dados'!U26/'Qualidade dos Dados'!X26)*10</f>
        <v>58.929933529474489</v>
      </c>
      <c r="H25" s="54">
        <f t="shared" si="1"/>
        <v>100.00000000000001</v>
      </c>
      <c r="I25" s="13" t="str">
        <f t="shared" si="2"/>
        <v>Argilosa</v>
      </c>
      <c r="K25" s="186"/>
    </row>
    <row r="26" spans="1:11" x14ac:dyDescent="0.25">
      <c r="A26" s="75">
        <v>19</v>
      </c>
      <c r="B26" s="30">
        <f>'Entrada de dados'!B27</f>
        <v>0</v>
      </c>
      <c r="C26" s="78">
        <f>('Qualidade dos Dados'!R27/'Qualidade dos Dados'!X27)*10</f>
        <v>52.117658950773077</v>
      </c>
      <c r="D26" s="91">
        <f>('Qualidade dos Dados'!S27/'Qualidade dos Dados'!X27)*10</f>
        <v>7.8338218942686675</v>
      </c>
      <c r="E26" s="91">
        <f t="shared" si="0"/>
        <v>59.951480845041743</v>
      </c>
      <c r="F26" s="64">
        <f>('Qualidade dos Dados'!T27/'Qualidade dos Dados'!X27)*10</f>
        <v>4.7912665521071416</v>
      </c>
      <c r="G26" s="65">
        <f>('Qualidade dos Dados'!U27/'Qualidade dos Dados'!X27)*10</f>
        <v>35.257252602851118</v>
      </c>
      <c r="H26" s="55">
        <f t="shared" si="1"/>
        <v>100</v>
      </c>
      <c r="I26" s="25" t="str">
        <f t="shared" si="2"/>
        <v>Argilosa</v>
      </c>
    </row>
    <row r="27" spans="1:11" x14ac:dyDescent="0.25">
      <c r="A27" s="76">
        <v>20</v>
      </c>
      <c r="B27" s="101">
        <f>'Entrada de dados'!B28</f>
        <v>0</v>
      </c>
      <c r="C27" s="79">
        <f>('Qualidade dos Dados'!R28/'Qualidade dos Dados'!X28)*10</f>
        <v>15.415800415800478</v>
      </c>
      <c r="D27" s="92">
        <f>('Qualidade dos Dados'!S28/'Qualidade dos Dados'!X28)*10</f>
        <v>23.440748440748514</v>
      </c>
      <c r="E27" s="92">
        <f t="shared" si="0"/>
        <v>38.85654885654899</v>
      </c>
      <c r="F27" s="62">
        <f>('Qualidade dos Dados'!T28/'Qualidade dos Dados'!X28)*10</f>
        <v>2.5571725571732564</v>
      </c>
      <c r="G27" s="63">
        <f>('Qualidade dos Dados'!U28/'Qualidade dos Dados'!X28)*10</f>
        <v>58.586278586277757</v>
      </c>
      <c r="H27" s="54">
        <f t="shared" si="1"/>
        <v>100</v>
      </c>
      <c r="I27" s="13" t="str">
        <f t="shared" si="2"/>
        <v>Argilosa</v>
      </c>
    </row>
    <row r="28" spans="1:11" x14ac:dyDescent="0.25">
      <c r="A28" s="75">
        <v>21</v>
      </c>
      <c r="B28" s="30">
        <f>'Entrada de dados'!B29</f>
        <v>0</v>
      </c>
      <c r="C28" s="78">
        <f>('Qualidade dos Dados'!R29/'Qualidade dos Dados'!X29)*10</f>
        <v>66.051208813628449</v>
      </c>
      <c r="D28" s="91">
        <f>('Qualidade dos Dados'!S29/'Qualidade dos Dados'!X29)*10</f>
        <v>6.7734367030500984</v>
      </c>
      <c r="E28" s="91">
        <f t="shared" si="0"/>
        <v>72.824645516678544</v>
      </c>
      <c r="F28" s="64">
        <f>('Qualidade dos Dados'!T29/'Qualidade dos Dados'!X29)*10</f>
        <v>4.8148525961444104</v>
      </c>
      <c r="G28" s="65">
        <f>('Qualidade dos Dados'!U29/'Qualidade dos Dados'!X29)*10</f>
        <v>22.360501887177055</v>
      </c>
      <c r="H28" s="55">
        <f t="shared" si="1"/>
        <v>100</v>
      </c>
      <c r="I28" s="25" t="str">
        <f t="shared" si="2"/>
        <v>Média</v>
      </c>
    </row>
    <row r="29" spans="1:11" x14ac:dyDescent="0.25">
      <c r="A29" s="76">
        <v>22</v>
      </c>
      <c r="B29" s="101">
        <f>'Entrada de dados'!B30</f>
        <v>0</v>
      </c>
      <c r="C29" s="79">
        <f>('Qualidade dos Dados'!R30/'Qualidade dos Dados'!X30)*10</f>
        <v>21.596630021576132</v>
      </c>
      <c r="D29" s="92">
        <f>('Qualidade dos Dados'!S30/'Qualidade dos Dados'!X30)*10</f>
        <v>22.408301654166294</v>
      </c>
      <c r="E29" s="92">
        <f t="shared" si="0"/>
        <v>44.004931675742426</v>
      </c>
      <c r="F29" s="62">
        <f>('Qualidade dos Dados'!T30/'Qualidade dos Dados'!X30)*10</f>
        <v>10.972978526661146</v>
      </c>
      <c r="G29" s="63">
        <f>('Qualidade dos Dados'!U30/'Qualidade dos Dados'!X30)*10</f>
        <v>45.022089797596429</v>
      </c>
      <c r="H29" s="54">
        <f t="shared" si="1"/>
        <v>100</v>
      </c>
      <c r="I29" s="13" t="str">
        <f t="shared" si="2"/>
        <v>Argilosa</v>
      </c>
    </row>
    <row r="30" spans="1:11" x14ac:dyDescent="0.25">
      <c r="A30" s="75">
        <v>23</v>
      </c>
      <c r="B30" s="30">
        <f>'Entrada de dados'!B31</f>
        <v>0</v>
      </c>
      <c r="C30" s="78">
        <f>('Qualidade dos Dados'!R31/'Qualidade dos Dados'!X31)*10</f>
        <v>36.279870392871565</v>
      </c>
      <c r="D30" s="91">
        <f>('Qualidade dos Dados'!S31/'Qualidade dos Dados'!X31)*10</f>
        <v>8.3535844471446161</v>
      </c>
      <c r="E30" s="91">
        <f t="shared" si="0"/>
        <v>44.633454840016185</v>
      </c>
      <c r="F30" s="64">
        <f>('Qualidade dos Dados'!T31/'Qualidade dos Dados'!X31)*10</f>
        <v>5.0425273390041214</v>
      </c>
      <c r="G30" s="65">
        <f>('Qualidade dos Dados'!U31/'Qualidade dos Dados'!X31)*10</f>
        <v>50.324017820979698</v>
      </c>
      <c r="H30" s="55">
        <f t="shared" si="1"/>
        <v>100</v>
      </c>
      <c r="I30" s="25" t="str">
        <f t="shared" si="2"/>
        <v>Argilosa</v>
      </c>
    </row>
    <row r="31" spans="1:11" x14ac:dyDescent="0.25">
      <c r="A31" s="76">
        <v>24</v>
      </c>
      <c r="B31" s="101">
        <f>'Entrada de dados'!B32</f>
        <v>0</v>
      </c>
      <c r="C31" s="81">
        <f>('Qualidade dos Dados'!R32/'Qualidade dos Dados'!X32)*10</f>
        <v>49.282395456891813</v>
      </c>
      <c r="D31" s="92">
        <f>('Qualidade dos Dados'!S32/'Qualidade dos Dados'!X32)*10</f>
        <v>13.980382034073259</v>
      </c>
      <c r="E31" s="92">
        <f t="shared" si="0"/>
        <v>63.262777490965071</v>
      </c>
      <c r="F31" s="62">
        <f>('Qualidade dos Dados'!T32/'Qualidade dos Dados'!X32)*10</f>
        <v>10.160041300981373</v>
      </c>
      <c r="G31" s="63">
        <f>('Qualidade dos Dados'!U32/'Qualidade dos Dados'!X32)*10</f>
        <v>26.577181208053553</v>
      </c>
      <c r="H31" s="54">
        <f t="shared" si="1"/>
        <v>100</v>
      </c>
      <c r="I31" s="13" t="str">
        <f t="shared" si="2"/>
        <v>Média</v>
      </c>
    </row>
    <row r="32" spans="1:11" hidden="1" x14ac:dyDescent="0.25">
      <c r="A32" s="7"/>
      <c r="B32" s="7"/>
      <c r="C32" s="7"/>
      <c r="D32" s="7"/>
      <c r="E32" s="7"/>
      <c r="F32" s="7"/>
      <c r="G32" s="7"/>
      <c r="H32" s="6"/>
      <c r="I32" s="7"/>
    </row>
    <row r="33" spans="1:9" hidden="1" x14ac:dyDescent="0.25">
      <c r="A33" s="7"/>
      <c r="B33" s="7"/>
      <c r="C33" s="7"/>
      <c r="D33" s="7"/>
      <c r="E33" s="7"/>
      <c r="F33" s="7"/>
      <c r="G33" s="7"/>
      <c r="H33" s="6"/>
      <c r="I33" s="7"/>
    </row>
    <row r="34" spans="1:9" hidden="1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hidden="1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hidden="1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hidden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idden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idden="1" x14ac:dyDescent="0.25">
      <c r="A39" s="5"/>
      <c r="B39" s="5"/>
      <c r="C39" s="5"/>
      <c r="D39" s="5"/>
      <c r="E39" s="5"/>
      <c r="F39" s="5"/>
      <c r="G39" s="5"/>
      <c r="H39" s="5"/>
      <c r="I39" s="5"/>
    </row>
  </sheetData>
  <sheetProtection sheet="1" objects="1" scenarios="1"/>
  <mergeCells count="1">
    <mergeCell ref="C6:G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L4:O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Drop Down 3">
              <controlPr defaultSize="0" autoLine="0" autoPict="0">
                <anchor moveWithCells="1">
                  <from>
                    <xdr:col>12</xdr:col>
                    <xdr:colOff>561975</xdr:colOff>
                    <xdr:row>6</xdr:row>
                    <xdr:rowOff>171450</xdr:rowOff>
                  </from>
                  <to>
                    <xdr:col>14</xdr:col>
                    <xdr:colOff>276225</xdr:colOff>
                    <xdr:row>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AY50"/>
  <sheetViews>
    <sheetView showGridLines="0" showRowColHeaders="0" view="pageLayout" zoomScaleNormal="100" workbookViewId="0"/>
  </sheetViews>
  <sheetFormatPr defaultColWidth="0" defaultRowHeight="15" zeroHeight="1" x14ac:dyDescent="0.25"/>
  <cols>
    <col min="1" max="50" width="1.7109375" customWidth="1"/>
    <col min="51" max="51" width="2" customWidth="1"/>
    <col min="52" max="16384" width="9.140625" hidden="1"/>
  </cols>
  <sheetData>
    <row r="1" spans="1:50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</row>
    <row r="2" spans="1:50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</row>
    <row r="3" spans="1:50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</row>
    <row r="4" spans="1:50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</row>
    <row r="5" spans="1:5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</row>
    <row r="6" spans="1:50" x14ac:dyDescent="0.25">
      <c r="A6" s="176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</row>
    <row r="7" spans="1:50" x14ac:dyDescent="0.25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</row>
    <row r="8" spans="1:50" x14ac:dyDescent="0.25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</row>
    <row r="9" spans="1:50" x14ac:dyDescent="0.25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</row>
    <row r="10" spans="1:50" x14ac:dyDescent="0.25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</row>
    <row r="11" spans="1:50" x14ac:dyDescent="0.25">
      <c r="A11" s="17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</row>
    <row r="12" spans="1:50" x14ac:dyDescent="0.25">
      <c r="A12" s="17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</row>
    <row r="13" spans="1:50" x14ac:dyDescent="0.25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</row>
    <row r="14" spans="1:50" x14ac:dyDescent="0.25">
      <c r="A14" s="17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</row>
    <row r="15" spans="1:50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</row>
    <row r="16" spans="1:50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</row>
    <row r="17" spans="1:50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</row>
    <row r="18" spans="1:50" x14ac:dyDescent="0.25">
      <c r="A18" s="17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</row>
    <row r="19" spans="1:50" x14ac:dyDescent="0.25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</row>
    <row r="20" spans="1:50" x14ac:dyDescent="0.25">
      <c r="A20" s="176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</row>
    <row r="21" spans="1:50" x14ac:dyDescent="0.25">
      <c r="A21" s="176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</row>
    <row r="22" spans="1:50" x14ac:dyDescent="0.25">
      <c r="A22" s="176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</row>
    <row r="23" spans="1:50" x14ac:dyDescent="0.25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</row>
    <row r="24" spans="1:50" x14ac:dyDescent="0.25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</row>
    <row r="25" spans="1:50" x14ac:dyDescent="0.25">
      <c r="A25" s="176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</row>
    <row r="26" spans="1:50" x14ac:dyDescent="0.25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</row>
    <row r="27" spans="1:50" x14ac:dyDescent="0.25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</row>
    <row r="28" spans="1:50" x14ac:dyDescent="0.25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</row>
    <row r="29" spans="1:50" x14ac:dyDescent="0.25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</row>
    <row r="30" spans="1:50" x14ac:dyDescent="0.25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</row>
    <row r="31" spans="1:50" x14ac:dyDescent="0.25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</row>
    <row r="32" spans="1:50" x14ac:dyDescent="0.25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</row>
    <row r="33" spans="1:50" x14ac:dyDescent="0.25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</row>
    <row r="34" spans="1:50" x14ac:dyDescent="0.25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</row>
    <row r="35" spans="1:50" x14ac:dyDescent="0.25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</row>
    <row r="36" spans="1:50" x14ac:dyDescent="0.25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</row>
    <row r="37" spans="1:50" x14ac:dyDescent="0.25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</row>
    <row r="38" spans="1:50" x14ac:dyDescent="0.25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</row>
    <row r="39" spans="1:50" x14ac:dyDescent="0.25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</row>
    <row r="40" spans="1:50" x14ac:dyDescent="0.25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</row>
    <row r="41" spans="1:50" x14ac:dyDescent="0.25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</row>
    <row r="42" spans="1:50" x14ac:dyDescent="0.25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</row>
    <row r="43" spans="1:50" x14ac:dyDescent="0.25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</row>
    <row r="44" spans="1:50" x14ac:dyDescent="0.25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</row>
    <row r="45" spans="1:50" x14ac:dyDescent="0.25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</row>
    <row r="46" spans="1:50" x14ac:dyDescent="0.25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</row>
    <row r="47" spans="1:50" x14ac:dyDescent="0.25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</row>
    <row r="48" spans="1:50" x14ac:dyDescent="0.25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</row>
    <row r="49" spans="1:50" x14ac:dyDescent="0.25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x14ac:dyDescent="0.25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</sheetData>
  <sheetProtection sheet="1" objects="1" scenarios="1" selectLockedCells="1" selectUnlockedCells="1"/>
  <pageMargins left="0.25" right="0.25" top="0.75" bottom="0.75" header="0.3" footer="0.3"/>
  <pageSetup paperSize="9" orientation="portrait" r:id="rId1"/>
  <headerFooter scaleWithDoc="0">
    <oddHeader xml:space="preserve">&amp;C                 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M105"/>
  <sheetViews>
    <sheetView showGridLines="0" zoomScaleNormal="100" workbookViewId="0">
      <selection activeCell="M15" sqref="M15"/>
    </sheetView>
  </sheetViews>
  <sheetFormatPr defaultRowHeight="12.75" x14ac:dyDescent="0.2"/>
  <cols>
    <col min="1" max="1" width="9.140625" style="177"/>
    <col min="2" max="3" width="9.140625" style="178"/>
    <col min="4" max="4" width="12.140625" style="177" bestFit="1" customWidth="1"/>
    <col min="5" max="5" width="12.85546875" style="177" customWidth="1"/>
    <col min="6" max="6" width="9.140625" style="177"/>
    <col min="7" max="8" width="9.140625" style="219"/>
    <col min="9" max="9" width="12" style="177" bestFit="1" customWidth="1"/>
    <col min="10" max="10" width="12.85546875" style="177" customWidth="1"/>
    <col min="11" max="11" width="9.140625" style="177"/>
    <col min="12" max="13" width="9.140625" style="179"/>
    <col min="14" max="16384" width="9.140625" style="180"/>
  </cols>
  <sheetData>
    <row r="2" spans="1:13" ht="15" x14ac:dyDescent="0.25">
      <c r="A2" s="220"/>
      <c r="B2" s="273" t="s">
        <v>59</v>
      </c>
      <c r="C2" s="273"/>
      <c r="D2" s="198" t="s">
        <v>47</v>
      </c>
      <c r="E2" s="198" t="s">
        <v>48</v>
      </c>
      <c r="F2" s="198" t="s">
        <v>51</v>
      </c>
      <c r="G2" s="197" t="s">
        <v>60</v>
      </c>
      <c r="H2" s="217"/>
      <c r="I2" s="199"/>
      <c r="J2" s="199"/>
      <c r="K2" s="199"/>
      <c r="L2" s="200"/>
      <c r="M2" s="200"/>
    </row>
    <row r="3" spans="1:13" ht="15" x14ac:dyDescent="0.25">
      <c r="A3" s="270" t="s">
        <v>56</v>
      </c>
      <c r="B3" s="221">
        <v>10</v>
      </c>
      <c r="C3" s="221">
        <v>0</v>
      </c>
      <c r="D3" s="221">
        <f t="shared" ref="D3:D34" si="0">$J$9/$J$10*F3</f>
        <v>9.9999999999999982</v>
      </c>
      <c r="E3" s="222">
        <f>SQRT(D3^2-F3^2)+C3</f>
        <v>4.9999999999999982</v>
      </c>
      <c r="F3" s="222">
        <f t="shared" ref="F3:F34" si="1">($J$10/$J$9)*B3</f>
        <v>8.6602540378443855</v>
      </c>
      <c r="G3" s="268">
        <v>1</v>
      </c>
      <c r="H3" s="218"/>
      <c r="I3" s="275" t="s">
        <v>52</v>
      </c>
      <c r="J3" s="275"/>
      <c r="K3" s="275"/>
      <c r="L3" s="275"/>
      <c r="M3" s="275"/>
    </row>
    <row r="4" spans="1:13" ht="15" x14ac:dyDescent="0.25">
      <c r="A4" s="271"/>
      <c r="B4" s="223">
        <v>0</v>
      </c>
      <c r="C4" s="223">
        <v>10</v>
      </c>
      <c r="D4" s="223">
        <f t="shared" si="0"/>
        <v>0</v>
      </c>
      <c r="E4" s="224">
        <f t="shared" ref="E4:E56" si="2">SQRT(D4^2-F4^2)+C4</f>
        <v>10</v>
      </c>
      <c r="F4" s="224">
        <f t="shared" si="1"/>
        <v>0</v>
      </c>
      <c r="G4" s="269"/>
      <c r="H4" s="218"/>
      <c r="I4" s="203" t="s">
        <v>47</v>
      </c>
      <c r="J4" s="203" t="s">
        <v>48</v>
      </c>
      <c r="K4" s="203" t="s">
        <v>51</v>
      </c>
      <c r="L4" s="204" t="s">
        <v>10</v>
      </c>
      <c r="M4" s="204" t="s">
        <v>15</v>
      </c>
    </row>
    <row r="5" spans="1:13" ht="15" x14ac:dyDescent="0.25">
      <c r="A5" s="271"/>
      <c r="B5" s="221">
        <v>20</v>
      </c>
      <c r="C5" s="221">
        <v>0</v>
      </c>
      <c r="D5" s="221">
        <f t="shared" si="0"/>
        <v>19.999999999999996</v>
      </c>
      <c r="E5" s="222">
        <f t="shared" si="2"/>
        <v>9.9999999999999964</v>
      </c>
      <c r="F5" s="222">
        <f t="shared" si="1"/>
        <v>17.320508075688771</v>
      </c>
      <c r="G5" s="268">
        <v>2</v>
      </c>
      <c r="H5" s="218"/>
      <c r="I5" s="205">
        <f>$J$9/$J$10*K5</f>
        <v>26.577181208053549</v>
      </c>
      <c r="J5" s="206">
        <f>IF(OR(L6="",M6=""),-100,SQRT(I5^2-K5^2)+M6)</f>
        <v>23.448631905008149</v>
      </c>
      <c r="K5" s="206">
        <f>IF(OR(L6="",M6=""),-100,($J$10/$J$9)*L6)</f>
        <v>23.016514087156771</v>
      </c>
      <c r="L5" s="276" t="s">
        <v>53</v>
      </c>
      <c r="M5" s="276"/>
    </row>
    <row r="6" spans="1:13" ht="15" x14ac:dyDescent="0.25">
      <c r="A6" s="271"/>
      <c r="B6" s="223">
        <v>0</v>
      </c>
      <c r="C6" s="223">
        <v>20</v>
      </c>
      <c r="D6" s="223">
        <f t="shared" si="0"/>
        <v>0</v>
      </c>
      <c r="E6" s="224">
        <f t="shared" si="2"/>
        <v>20</v>
      </c>
      <c r="F6" s="224">
        <f t="shared" si="1"/>
        <v>0</v>
      </c>
      <c r="G6" s="269"/>
      <c r="H6" s="218"/>
      <c r="I6" s="207"/>
      <c r="J6" s="207"/>
      <c r="K6" s="207"/>
      <c r="L6" s="208">
        <f>'Classificação Textural'!O4</f>
        <v>26.577181208053553</v>
      </c>
      <c r="M6" s="209">
        <f>'Classificação Textural'!N4</f>
        <v>10.160041300981373</v>
      </c>
    </row>
    <row r="7" spans="1:13" ht="15" x14ac:dyDescent="0.25">
      <c r="A7" s="271"/>
      <c r="B7" s="221">
        <v>30</v>
      </c>
      <c r="C7" s="221">
        <v>0</v>
      </c>
      <c r="D7" s="221">
        <f t="shared" si="0"/>
        <v>29.999999999999996</v>
      </c>
      <c r="E7" s="222">
        <f t="shared" si="2"/>
        <v>14.999999999999996</v>
      </c>
      <c r="F7" s="222">
        <f t="shared" si="1"/>
        <v>25.980762113533157</v>
      </c>
      <c r="G7" s="268">
        <v>3</v>
      </c>
      <c r="H7" s="218"/>
      <c r="I7" s="207"/>
      <c r="J7" s="207"/>
      <c r="K7" s="207"/>
      <c r="L7" s="207"/>
      <c r="M7" s="207"/>
    </row>
    <row r="8" spans="1:13" ht="15" x14ac:dyDescent="0.25">
      <c r="A8" s="271"/>
      <c r="B8" s="223">
        <v>0</v>
      </c>
      <c r="C8" s="223">
        <v>30</v>
      </c>
      <c r="D8" s="223">
        <f t="shared" si="0"/>
        <v>0</v>
      </c>
      <c r="E8" s="224">
        <f t="shared" si="2"/>
        <v>30</v>
      </c>
      <c r="F8" s="224">
        <f t="shared" si="1"/>
        <v>0</v>
      </c>
      <c r="G8" s="269"/>
      <c r="H8" s="218"/>
      <c r="I8" s="274" t="s">
        <v>50</v>
      </c>
      <c r="J8" s="274"/>
      <c r="K8" s="207"/>
      <c r="L8" s="207"/>
      <c r="M8" s="207"/>
    </row>
    <row r="9" spans="1:13" ht="15" x14ac:dyDescent="0.25">
      <c r="A9" s="271"/>
      <c r="B9" s="221">
        <v>40</v>
      </c>
      <c r="C9" s="221">
        <v>0</v>
      </c>
      <c r="D9" s="221">
        <f t="shared" si="0"/>
        <v>39.999999999999993</v>
      </c>
      <c r="E9" s="222">
        <f t="shared" si="2"/>
        <v>19.999999999999993</v>
      </c>
      <c r="F9" s="222">
        <f t="shared" si="1"/>
        <v>34.641016151377542</v>
      </c>
      <c r="G9" s="268">
        <v>4</v>
      </c>
      <c r="H9" s="218"/>
      <c r="I9" s="210" t="s">
        <v>47</v>
      </c>
      <c r="J9" s="210">
        <v>100</v>
      </c>
      <c r="K9" s="207"/>
      <c r="L9" s="207"/>
      <c r="M9" s="207"/>
    </row>
    <row r="10" spans="1:13" ht="15" x14ac:dyDescent="0.25">
      <c r="A10" s="271"/>
      <c r="B10" s="223">
        <v>0</v>
      </c>
      <c r="C10" s="223">
        <v>40</v>
      </c>
      <c r="D10" s="223">
        <f t="shared" si="0"/>
        <v>0</v>
      </c>
      <c r="E10" s="224">
        <f t="shared" si="2"/>
        <v>40</v>
      </c>
      <c r="F10" s="224">
        <f t="shared" si="1"/>
        <v>0</v>
      </c>
      <c r="G10" s="269"/>
      <c r="H10" s="218"/>
      <c r="I10" s="210" t="s">
        <v>51</v>
      </c>
      <c r="J10" s="211">
        <f>SQRT(J9^2-(J9/2)^2)</f>
        <v>86.602540378443862</v>
      </c>
      <c r="K10" s="207"/>
      <c r="L10" s="207"/>
      <c r="M10" s="207"/>
    </row>
    <row r="11" spans="1:13" ht="15" x14ac:dyDescent="0.25">
      <c r="A11" s="271"/>
      <c r="B11" s="201">
        <v>50</v>
      </c>
      <c r="C11" s="201">
        <v>0</v>
      </c>
      <c r="D11" s="201">
        <f t="shared" si="0"/>
        <v>49.999999999999993</v>
      </c>
      <c r="E11" s="202">
        <f t="shared" si="2"/>
        <v>24.999999999999982</v>
      </c>
      <c r="F11" s="202">
        <f t="shared" si="1"/>
        <v>43.301270189221931</v>
      </c>
      <c r="G11" s="268">
        <v>5</v>
      </c>
      <c r="H11" s="218"/>
      <c r="I11" s="205" t="s">
        <v>48</v>
      </c>
      <c r="J11" s="206">
        <f>J9</f>
        <v>100</v>
      </c>
      <c r="K11" s="207"/>
      <c r="L11" s="207"/>
      <c r="M11" s="207"/>
    </row>
    <row r="12" spans="1:13" ht="15" x14ac:dyDescent="0.25">
      <c r="A12" s="271"/>
      <c r="B12" s="223">
        <v>0</v>
      </c>
      <c r="C12" s="223">
        <v>50</v>
      </c>
      <c r="D12" s="223">
        <f t="shared" si="0"/>
        <v>0</v>
      </c>
      <c r="E12" s="224">
        <f t="shared" si="2"/>
        <v>50</v>
      </c>
      <c r="F12" s="224">
        <f t="shared" si="1"/>
        <v>0</v>
      </c>
      <c r="G12" s="269"/>
      <c r="H12" s="218"/>
      <c r="I12" s="212"/>
      <c r="J12" s="212"/>
      <c r="K12" s="207"/>
      <c r="L12" s="207"/>
      <c r="M12" s="207"/>
    </row>
    <row r="13" spans="1:13" ht="15" x14ac:dyDescent="0.25">
      <c r="A13" s="271"/>
      <c r="B13" s="201">
        <v>60</v>
      </c>
      <c r="C13" s="201">
        <v>0</v>
      </c>
      <c r="D13" s="201">
        <f t="shared" si="0"/>
        <v>59.999999999999993</v>
      </c>
      <c r="E13" s="202">
        <f t="shared" si="2"/>
        <v>29.999999999999993</v>
      </c>
      <c r="F13" s="202">
        <f t="shared" si="1"/>
        <v>51.961524227066313</v>
      </c>
      <c r="G13" s="268">
        <v>6</v>
      </c>
      <c r="H13" s="218"/>
      <c r="I13" s="274" t="s">
        <v>49</v>
      </c>
      <c r="J13" s="274"/>
      <c r="K13" s="207"/>
      <c r="L13" s="207"/>
      <c r="M13" s="207"/>
    </row>
    <row r="14" spans="1:13" ht="15" x14ac:dyDescent="0.25">
      <c r="A14" s="271"/>
      <c r="B14" s="223">
        <v>0</v>
      </c>
      <c r="C14" s="223">
        <v>60</v>
      </c>
      <c r="D14" s="223">
        <f t="shared" si="0"/>
        <v>0</v>
      </c>
      <c r="E14" s="224">
        <f t="shared" si="2"/>
        <v>60</v>
      </c>
      <c r="F14" s="224">
        <f t="shared" si="1"/>
        <v>0</v>
      </c>
      <c r="G14" s="269"/>
      <c r="H14" s="218"/>
      <c r="I14" s="210">
        <v>0</v>
      </c>
      <c r="J14" s="210">
        <f>I14</f>
        <v>0</v>
      </c>
      <c r="K14" s="207"/>
      <c r="L14" s="207"/>
      <c r="M14" s="207"/>
    </row>
    <row r="15" spans="1:13" ht="15" x14ac:dyDescent="0.25">
      <c r="A15" s="271"/>
      <c r="B15" s="201">
        <v>70</v>
      </c>
      <c r="C15" s="201">
        <v>0</v>
      </c>
      <c r="D15" s="201">
        <f t="shared" si="0"/>
        <v>69.999999999999986</v>
      </c>
      <c r="E15" s="202">
        <f t="shared" si="2"/>
        <v>34.999999999999979</v>
      </c>
      <c r="F15" s="202">
        <f t="shared" si="1"/>
        <v>60.621778264910702</v>
      </c>
      <c r="G15" s="268">
        <v>7</v>
      </c>
      <c r="H15" s="218"/>
      <c r="I15" s="211">
        <f>J11/2</f>
        <v>50</v>
      </c>
      <c r="J15" s="211">
        <f>J10</f>
        <v>86.602540378443862</v>
      </c>
      <c r="K15" s="207"/>
      <c r="L15" s="207"/>
      <c r="M15" s="207"/>
    </row>
    <row r="16" spans="1:13" ht="15" x14ac:dyDescent="0.25">
      <c r="A16" s="271"/>
      <c r="B16" s="223">
        <v>0</v>
      </c>
      <c r="C16" s="223">
        <v>70</v>
      </c>
      <c r="D16" s="223">
        <f t="shared" si="0"/>
        <v>0</v>
      </c>
      <c r="E16" s="224">
        <f t="shared" si="2"/>
        <v>70</v>
      </c>
      <c r="F16" s="224">
        <f t="shared" si="1"/>
        <v>0</v>
      </c>
      <c r="G16" s="269"/>
      <c r="H16" s="218"/>
      <c r="I16" s="211">
        <f>J11</f>
        <v>100</v>
      </c>
      <c r="J16" s="210">
        <f>I14</f>
        <v>0</v>
      </c>
      <c r="K16" s="207"/>
      <c r="L16" s="207"/>
      <c r="M16" s="207"/>
    </row>
    <row r="17" spans="1:13" ht="15" x14ac:dyDescent="0.25">
      <c r="A17" s="271"/>
      <c r="B17" s="201">
        <v>80</v>
      </c>
      <c r="C17" s="201">
        <v>0</v>
      </c>
      <c r="D17" s="201">
        <f t="shared" si="0"/>
        <v>79.999999999999986</v>
      </c>
      <c r="E17" s="202">
        <f t="shared" si="2"/>
        <v>39.999999999999986</v>
      </c>
      <c r="F17" s="202">
        <f t="shared" si="1"/>
        <v>69.282032302755084</v>
      </c>
      <c r="G17" s="268">
        <v>8</v>
      </c>
      <c r="H17" s="218"/>
      <c r="I17" s="205">
        <f>I14</f>
        <v>0</v>
      </c>
      <c r="J17" s="205">
        <f>I14</f>
        <v>0</v>
      </c>
      <c r="K17" s="207"/>
      <c r="L17" s="207"/>
      <c r="M17" s="207"/>
    </row>
    <row r="18" spans="1:13" ht="15" x14ac:dyDescent="0.25">
      <c r="A18" s="271"/>
      <c r="B18" s="223">
        <v>0</v>
      </c>
      <c r="C18" s="223">
        <v>80</v>
      </c>
      <c r="D18" s="223">
        <f t="shared" si="0"/>
        <v>0</v>
      </c>
      <c r="E18" s="224">
        <f t="shared" si="2"/>
        <v>80</v>
      </c>
      <c r="F18" s="224">
        <f t="shared" si="1"/>
        <v>0</v>
      </c>
      <c r="G18" s="269"/>
      <c r="H18" s="218"/>
      <c r="I18" s="207"/>
      <c r="J18" s="207"/>
      <c r="K18" s="207"/>
      <c r="L18" s="207"/>
      <c r="M18" s="207"/>
    </row>
    <row r="19" spans="1:13" ht="15" x14ac:dyDescent="0.25">
      <c r="A19" s="271"/>
      <c r="B19" s="201">
        <v>90</v>
      </c>
      <c r="C19" s="201">
        <v>0</v>
      </c>
      <c r="D19" s="201">
        <f t="shared" si="0"/>
        <v>90</v>
      </c>
      <c r="E19" s="202">
        <f t="shared" si="2"/>
        <v>45</v>
      </c>
      <c r="F19" s="202">
        <f t="shared" si="1"/>
        <v>77.94228634059948</v>
      </c>
      <c r="G19" s="268">
        <v>9</v>
      </c>
      <c r="H19" s="218"/>
      <c r="I19" s="207"/>
      <c r="J19" s="207"/>
      <c r="K19" s="207"/>
      <c r="L19" s="207"/>
      <c r="M19" s="207"/>
    </row>
    <row r="20" spans="1:13" ht="15" x14ac:dyDescent="0.25">
      <c r="A20" s="272"/>
      <c r="B20" s="223">
        <v>0</v>
      </c>
      <c r="C20" s="223">
        <v>90</v>
      </c>
      <c r="D20" s="223">
        <f t="shared" si="0"/>
        <v>0</v>
      </c>
      <c r="E20" s="224">
        <f t="shared" si="2"/>
        <v>90</v>
      </c>
      <c r="F20" s="224">
        <f t="shared" si="1"/>
        <v>0</v>
      </c>
      <c r="G20" s="269"/>
      <c r="H20" s="218"/>
      <c r="I20" s="207"/>
      <c r="J20" s="207"/>
      <c r="K20" s="207"/>
      <c r="L20" s="207"/>
      <c r="M20" s="207"/>
    </row>
    <row r="21" spans="1:13" ht="15" x14ac:dyDescent="0.25">
      <c r="A21" s="270" t="s">
        <v>58</v>
      </c>
      <c r="B21" s="213">
        <v>0</v>
      </c>
      <c r="C21" s="213">
        <v>10</v>
      </c>
      <c r="D21" s="213">
        <f t="shared" si="0"/>
        <v>0</v>
      </c>
      <c r="E21" s="214">
        <f t="shared" si="2"/>
        <v>10</v>
      </c>
      <c r="F21" s="214">
        <f t="shared" si="1"/>
        <v>0</v>
      </c>
      <c r="G21" s="268">
        <v>1</v>
      </c>
      <c r="H21" s="218"/>
      <c r="I21" s="207"/>
      <c r="J21" s="207"/>
      <c r="K21" s="207"/>
      <c r="L21" s="207"/>
      <c r="M21" s="207"/>
    </row>
    <row r="22" spans="1:13" ht="15" x14ac:dyDescent="0.25">
      <c r="A22" s="271"/>
      <c r="B22" s="225">
        <v>90</v>
      </c>
      <c r="C22" s="225">
        <v>10</v>
      </c>
      <c r="D22" s="225">
        <f t="shared" si="0"/>
        <v>90</v>
      </c>
      <c r="E22" s="226">
        <f t="shared" si="2"/>
        <v>55</v>
      </c>
      <c r="F22" s="226">
        <f t="shared" si="1"/>
        <v>77.94228634059948</v>
      </c>
      <c r="G22" s="269"/>
      <c r="H22" s="218"/>
      <c r="I22" s="207"/>
      <c r="J22" s="207"/>
      <c r="K22" s="207"/>
      <c r="L22" s="207"/>
      <c r="M22" s="207"/>
    </row>
    <row r="23" spans="1:13" ht="15" x14ac:dyDescent="0.25">
      <c r="A23" s="271"/>
      <c r="B23" s="213">
        <v>0</v>
      </c>
      <c r="C23" s="213">
        <f>C21+10</f>
        <v>20</v>
      </c>
      <c r="D23" s="213">
        <f t="shared" si="0"/>
        <v>0</v>
      </c>
      <c r="E23" s="214">
        <f t="shared" si="2"/>
        <v>20</v>
      </c>
      <c r="F23" s="214">
        <f t="shared" si="1"/>
        <v>0</v>
      </c>
      <c r="G23" s="268">
        <v>2</v>
      </c>
      <c r="H23" s="218"/>
      <c r="I23" s="207"/>
      <c r="J23" s="207"/>
      <c r="K23" s="207"/>
      <c r="L23" s="207"/>
      <c r="M23" s="207"/>
    </row>
    <row r="24" spans="1:13" ht="15" x14ac:dyDescent="0.25">
      <c r="A24" s="271"/>
      <c r="B24" s="225">
        <v>80</v>
      </c>
      <c r="C24" s="225">
        <f t="shared" ref="C24:C38" si="3">C22+10</f>
        <v>20</v>
      </c>
      <c r="D24" s="225">
        <f t="shared" si="0"/>
        <v>79.999999999999986</v>
      </c>
      <c r="E24" s="226">
        <f t="shared" si="2"/>
        <v>59.999999999999986</v>
      </c>
      <c r="F24" s="226">
        <f t="shared" si="1"/>
        <v>69.282032302755084</v>
      </c>
      <c r="G24" s="269"/>
      <c r="H24" s="218"/>
      <c r="I24" s="207"/>
      <c r="J24" s="207"/>
      <c r="K24" s="207"/>
      <c r="L24" s="207"/>
      <c r="M24" s="207"/>
    </row>
    <row r="25" spans="1:13" ht="15" x14ac:dyDescent="0.25">
      <c r="A25" s="271"/>
      <c r="B25" s="213">
        <v>0</v>
      </c>
      <c r="C25" s="213">
        <f t="shared" si="3"/>
        <v>30</v>
      </c>
      <c r="D25" s="213">
        <f t="shared" si="0"/>
        <v>0</v>
      </c>
      <c r="E25" s="214">
        <f t="shared" si="2"/>
        <v>30</v>
      </c>
      <c r="F25" s="214">
        <f t="shared" si="1"/>
        <v>0</v>
      </c>
      <c r="G25" s="268">
        <v>3</v>
      </c>
      <c r="H25" s="218"/>
      <c r="I25" s="207"/>
      <c r="J25" s="207"/>
      <c r="K25" s="207"/>
      <c r="L25" s="207"/>
      <c r="M25" s="207"/>
    </row>
    <row r="26" spans="1:13" ht="15" x14ac:dyDescent="0.25">
      <c r="A26" s="271"/>
      <c r="B26" s="225">
        <v>70</v>
      </c>
      <c r="C26" s="225">
        <f t="shared" si="3"/>
        <v>30</v>
      </c>
      <c r="D26" s="225">
        <f t="shared" si="0"/>
        <v>69.999999999999986</v>
      </c>
      <c r="E26" s="226">
        <f t="shared" si="2"/>
        <v>64.999999999999972</v>
      </c>
      <c r="F26" s="226">
        <f t="shared" si="1"/>
        <v>60.621778264910702</v>
      </c>
      <c r="G26" s="269"/>
      <c r="H26" s="218"/>
      <c r="I26" s="207"/>
      <c r="J26" s="207"/>
      <c r="K26" s="207"/>
      <c r="L26" s="207"/>
      <c r="M26" s="207"/>
    </row>
    <row r="27" spans="1:13" ht="15" x14ac:dyDescent="0.25">
      <c r="A27" s="271"/>
      <c r="B27" s="213">
        <v>0</v>
      </c>
      <c r="C27" s="213">
        <f t="shared" si="3"/>
        <v>40</v>
      </c>
      <c r="D27" s="213">
        <f t="shared" si="0"/>
        <v>0</v>
      </c>
      <c r="E27" s="214">
        <f t="shared" si="2"/>
        <v>40</v>
      </c>
      <c r="F27" s="214">
        <f t="shared" si="1"/>
        <v>0</v>
      </c>
      <c r="G27" s="268">
        <v>4</v>
      </c>
      <c r="H27" s="218"/>
      <c r="I27" s="207"/>
      <c r="J27" s="207"/>
      <c r="K27" s="207"/>
      <c r="L27" s="207"/>
      <c r="M27" s="207"/>
    </row>
    <row r="28" spans="1:13" ht="15" x14ac:dyDescent="0.25">
      <c r="A28" s="271"/>
      <c r="B28" s="225">
        <v>60</v>
      </c>
      <c r="C28" s="225">
        <f t="shared" si="3"/>
        <v>40</v>
      </c>
      <c r="D28" s="225">
        <f t="shared" si="0"/>
        <v>59.999999999999993</v>
      </c>
      <c r="E28" s="226">
        <f t="shared" si="2"/>
        <v>70</v>
      </c>
      <c r="F28" s="226">
        <f t="shared" si="1"/>
        <v>51.961524227066313</v>
      </c>
      <c r="G28" s="269"/>
      <c r="H28" s="218"/>
      <c r="I28" s="207"/>
      <c r="J28" s="207"/>
      <c r="K28" s="207"/>
      <c r="L28" s="207"/>
      <c r="M28" s="207"/>
    </row>
    <row r="29" spans="1:13" ht="15" x14ac:dyDescent="0.25">
      <c r="A29" s="271"/>
      <c r="B29" s="213">
        <v>0</v>
      </c>
      <c r="C29" s="213">
        <f t="shared" si="3"/>
        <v>50</v>
      </c>
      <c r="D29" s="213">
        <f t="shared" si="0"/>
        <v>0</v>
      </c>
      <c r="E29" s="214">
        <f t="shared" si="2"/>
        <v>50</v>
      </c>
      <c r="F29" s="214">
        <f t="shared" si="1"/>
        <v>0</v>
      </c>
      <c r="G29" s="268">
        <v>5</v>
      </c>
      <c r="H29" s="218"/>
      <c r="I29" s="207"/>
      <c r="J29" s="207"/>
      <c r="K29" s="207"/>
      <c r="L29" s="207"/>
      <c r="M29" s="207"/>
    </row>
    <row r="30" spans="1:13" ht="15" x14ac:dyDescent="0.25">
      <c r="A30" s="271"/>
      <c r="B30" s="225">
        <v>50</v>
      </c>
      <c r="C30" s="225">
        <f t="shared" si="3"/>
        <v>50</v>
      </c>
      <c r="D30" s="225">
        <f t="shared" si="0"/>
        <v>49.999999999999993</v>
      </c>
      <c r="E30" s="226">
        <f t="shared" si="2"/>
        <v>74.999999999999986</v>
      </c>
      <c r="F30" s="226">
        <f t="shared" si="1"/>
        <v>43.301270189221931</v>
      </c>
      <c r="G30" s="269"/>
      <c r="H30" s="218"/>
      <c r="I30" s="207"/>
      <c r="J30" s="207"/>
      <c r="K30" s="207"/>
      <c r="L30" s="207"/>
      <c r="M30" s="207"/>
    </row>
    <row r="31" spans="1:13" ht="15" x14ac:dyDescent="0.25">
      <c r="A31" s="271"/>
      <c r="B31" s="213">
        <v>0</v>
      </c>
      <c r="C31" s="213">
        <f t="shared" si="3"/>
        <v>60</v>
      </c>
      <c r="D31" s="213">
        <f t="shared" si="0"/>
        <v>0</v>
      </c>
      <c r="E31" s="214">
        <f t="shared" si="2"/>
        <v>60</v>
      </c>
      <c r="F31" s="214">
        <f t="shared" si="1"/>
        <v>0</v>
      </c>
      <c r="G31" s="268">
        <v>6</v>
      </c>
      <c r="H31" s="218"/>
      <c r="I31" s="207"/>
      <c r="J31" s="207"/>
      <c r="K31" s="207"/>
      <c r="L31" s="207"/>
      <c r="M31" s="207"/>
    </row>
    <row r="32" spans="1:13" ht="15" x14ac:dyDescent="0.25">
      <c r="A32" s="271"/>
      <c r="B32" s="225">
        <v>40</v>
      </c>
      <c r="C32" s="225">
        <f t="shared" si="3"/>
        <v>60</v>
      </c>
      <c r="D32" s="225">
        <f t="shared" si="0"/>
        <v>39.999999999999993</v>
      </c>
      <c r="E32" s="226">
        <f t="shared" si="2"/>
        <v>80</v>
      </c>
      <c r="F32" s="226">
        <f t="shared" si="1"/>
        <v>34.641016151377542</v>
      </c>
      <c r="G32" s="269"/>
      <c r="H32" s="218"/>
      <c r="I32" s="207"/>
      <c r="J32" s="207"/>
      <c r="K32" s="207"/>
      <c r="L32" s="207"/>
      <c r="M32" s="207"/>
    </row>
    <row r="33" spans="1:13" ht="15" x14ac:dyDescent="0.25">
      <c r="A33" s="271"/>
      <c r="B33" s="213">
        <v>0</v>
      </c>
      <c r="C33" s="213">
        <f t="shared" si="3"/>
        <v>70</v>
      </c>
      <c r="D33" s="213">
        <f t="shared" si="0"/>
        <v>0</v>
      </c>
      <c r="E33" s="214">
        <f t="shared" si="2"/>
        <v>70</v>
      </c>
      <c r="F33" s="214">
        <f t="shared" si="1"/>
        <v>0</v>
      </c>
      <c r="G33" s="268">
        <v>7</v>
      </c>
      <c r="H33" s="218"/>
      <c r="I33" s="207"/>
      <c r="J33" s="207"/>
      <c r="K33" s="207"/>
      <c r="L33" s="207"/>
      <c r="M33" s="207"/>
    </row>
    <row r="34" spans="1:13" ht="15" x14ac:dyDescent="0.25">
      <c r="A34" s="271"/>
      <c r="B34" s="225">
        <v>30</v>
      </c>
      <c r="C34" s="225">
        <f t="shared" si="3"/>
        <v>70</v>
      </c>
      <c r="D34" s="225">
        <f t="shared" si="0"/>
        <v>29.999999999999996</v>
      </c>
      <c r="E34" s="226">
        <f t="shared" si="2"/>
        <v>85</v>
      </c>
      <c r="F34" s="226">
        <f t="shared" si="1"/>
        <v>25.980762113533157</v>
      </c>
      <c r="G34" s="269"/>
      <c r="H34" s="218"/>
      <c r="I34" s="207"/>
      <c r="J34" s="207"/>
      <c r="K34" s="207"/>
      <c r="L34" s="207"/>
      <c r="M34" s="207"/>
    </row>
    <row r="35" spans="1:13" ht="15" x14ac:dyDescent="0.25">
      <c r="A35" s="271"/>
      <c r="B35" s="213">
        <v>0</v>
      </c>
      <c r="C35" s="213">
        <f t="shared" si="3"/>
        <v>80</v>
      </c>
      <c r="D35" s="213">
        <f t="shared" ref="D35:D56" si="4">$J$9/$J$10*F35</f>
        <v>0</v>
      </c>
      <c r="E35" s="214">
        <f t="shared" si="2"/>
        <v>80</v>
      </c>
      <c r="F35" s="214">
        <f t="shared" ref="F35:F56" si="5">($J$10/$J$9)*B35</f>
        <v>0</v>
      </c>
      <c r="G35" s="268">
        <v>8</v>
      </c>
      <c r="H35" s="218"/>
      <c r="I35" s="207"/>
      <c r="J35" s="207"/>
      <c r="K35" s="207"/>
      <c r="L35" s="207"/>
      <c r="M35" s="207"/>
    </row>
    <row r="36" spans="1:13" ht="15" x14ac:dyDescent="0.25">
      <c r="A36" s="271"/>
      <c r="B36" s="225">
        <v>20</v>
      </c>
      <c r="C36" s="225">
        <f t="shared" si="3"/>
        <v>80</v>
      </c>
      <c r="D36" s="225">
        <f t="shared" si="4"/>
        <v>19.999999999999996</v>
      </c>
      <c r="E36" s="226">
        <f t="shared" si="2"/>
        <v>90</v>
      </c>
      <c r="F36" s="226">
        <f t="shared" si="5"/>
        <v>17.320508075688771</v>
      </c>
      <c r="G36" s="269"/>
      <c r="H36" s="218"/>
      <c r="I36" s="207"/>
      <c r="J36" s="207"/>
      <c r="K36" s="207"/>
      <c r="L36" s="207"/>
      <c r="M36" s="207"/>
    </row>
    <row r="37" spans="1:13" ht="15" x14ac:dyDescent="0.25">
      <c r="A37" s="271"/>
      <c r="B37" s="213">
        <v>0</v>
      </c>
      <c r="C37" s="213">
        <f>C35+10</f>
        <v>90</v>
      </c>
      <c r="D37" s="213">
        <f t="shared" si="4"/>
        <v>0</v>
      </c>
      <c r="E37" s="214">
        <f t="shared" si="2"/>
        <v>90</v>
      </c>
      <c r="F37" s="214">
        <f t="shared" si="5"/>
        <v>0</v>
      </c>
      <c r="G37" s="268">
        <v>9</v>
      </c>
      <c r="H37" s="218"/>
      <c r="I37" s="207"/>
      <c r="J37" s="207"/>
      <c r="K37" s="207"/>
      <c r="L37" s="207"/>
      <c r="M37" s="207"/>
    </row>
    <row r="38" spans="1:13" ht="15" x14ac:dyDescent="0.25">
      <c r="A38" s="272"/>
      <c r="B38" s="225">
        <v>10</v>
      </c>
      <c r="C38" s="225">
        <f t="shared" si="3"/>
        <v>90</v>
      </c>
      <c r="D38" s="225">
        <f t="shared" si="4"/>
        <v>9.9999999999999982</v>
      </c>
      <c r="E38" s="226">
        <f t="shared" si="2"/>
        <v>95</v>
      </c>
      <c r="F38" s="226">
        <f t="shared" si="5"/>
        <v>8.6602540378443855</v>
      </c>
      <c r="G38" s="269"/>
      <c r="H38" s="218"/>
      <c r="I38" s="207"/>
      <c r="J38" s="207"/>
      <c r="K38" s="207"/>
      <c r="L38" s="207"/>
      <c r="M38" s="207"/>
    </row>
    <row r="39" spans="1:13" ht="15" x14ac:dyDescent="0.25">
      <c r="A39" s="270" t="s">
        <v>57</v>
      </c>
      <c r="B39" s="215">
        <v>10</v>
      </c>
      <c r="C39" s="215">
        <v>0</v>
      </c>
      <c r="D39" s="215">
        <f t="shared" si="4"/>
        <v>9.9999999999999982</v>
      </c>
      <c r="E39" s="216">
        <f t="shared" si="2"/>
        <v>4.9999999999999982</v>
      </c>
      <c r="F39" s="216">
        <f t="shared" si="5"/>
        <v>8.6602540378443855</v>
      </c>
      <c r="G39" s="268">
        <v>1</v>
      </c>
      <c r="H39" s="218"/>
      <c r="I39" s="207"/>
      <c r="J39" s="207"/>
      <c r="K39" s="207"/>
      <c r="L39" s="207"/>
      <c r="M39" s="207"/>
    </row>
    <row r="40" spans="1:13" ht="15" x14ac:dyDescent="0.25">
      <c r="A40" s="271"/>
      <c r="B40" s="227">
        <v>10</v>
      </c>
      <c r="C40" s="227">
        <v>90</v>
      </c>
      <c r="D40" s="227">
        <f t="shared" si="4"/>
        <v>9.9999999999999982</v>
      </c>
      <c r="E40" s="228">
        <f t="shared" si="2"/>
        <v>95</v>
      </c>
      <c r="F40" s="228">
        <f t="shared" si="5"/>
        <v>8.6602540378443855</v>
      </c>
      <c r="G40" s="269"/>
      <c r="H40" s="218"/>
      <c r="I40" s="207"/>
      <c r="J40" s="207"/>
      <c r="K40" s="207"/>
      <c r="L40" s="207"/>
      <c r="M40" s="207"/>
    </row>
    <row r="41" spans="1:13" ht="15" x14ac:dyDescent="0.25">
      <c r="A41" s="271"/>
      <c r="B41" s="215">
        <f>B39+10</f>
        <v>20</v>
      </c>
      <c r="C41" s="215">
        <v>0</v>
      </c>
      <c r="D41" s="215">
        <f t="shared" si="4"/>
        <v>19.999999999999996</v>
      </c>
      <c r="E41" s="216">
        <f t="shared" si="2"/>
        <v>9.9999999999999964</v>
      </c>
      <c r="F41" s="216">
        <f t="shared" si="5"/>
        <v>17.320508075688771</v>
      </c>
      <c r="G41" s="268">
        <v>2</v>
      </c>
      <c r="H41" s="218"/>
      <c r="I41" s="210"/>
      <c r="J41" s="211"/>
      <c r="K41" s="199"/>
      <c r="L41" s="207"/>
      <c r="M41" s="207"/>
    </row>
    <row r="42" spans="1:13" ht="15" x14ac:dyDescent="0.25">
      <c r="A42" s="271"/>
      <c r="B42" s="227">
        <f t="shared" ref="B42:B56" si="6">B40+10</f>
        <v>20</v>
      </c>
      <c r="C42" s="227">
        <v>80</v>
      </c>
      <c r="D42" s="227">
        <f t="shared" si="4"/>
        <v>19.999999999999996</v>
      </c>
      <c r="E42" s="228">
        <f t="shared" si="2"/>
        <v>90</v>
      </c>
      <c r="F42" s="228">
        <f t="shared" si="5"/>
        <v>17.320508075688771</v>
      </c>
      <c r="G42" s="269"/>
      <c r="H42" s="218"/>
      <c r="I42" s="210"/>
      <c r="J42" s="211"/>
      <c r="K42" s="199"/>
      <c r="L42" s="200"/>
      <c r="M42" s="200"/>
    </row>
    <row r="43" spans="1:13" ht="15" x14ac:dyDescent="0.25">
      <c r="A43" s="271"/>
      <c r="B43" s="215">
        <f t="shared" si="6"/>
        <v>30</v>
      </c>
      <c r="C43" s="215">
        <v>0</v>
      </c>
      <c r="D43" s="215">
        <f t="shared" si="4"/>
        <v>29.999999999999996</v>
      </c>
      <c r="E43" s="216">
        <f t="shared" si="2"/>
        <v>14.999999999999996</v>
      </c>
      <c r="F43" s="216">
        <f t="shared" si="5"/>
        <v>25.980762113533157</v>
      </c>
      <c r="G43" s="268">
        <v>3</v>
      </c>
      <c r="H43" s="218"/>
      <c r="I43" s="210"/>
      <c r="J43" s="211"/>
      <c r="K43" s="199"/>
      <c r="L43" s="200"/>
      <c r="M43" s="200"/>
    </row>
    <row r="44" spans="1:13" ht="15" x14ac:dyDescent="0.25">
      <c r="A44" s="271"/>
      <c r="B44" s="227">
        <f t="shared" si="6"/>
        <v>30</v>
      </c>
      <c r="C44" s="227">
        <v>70</v>
      </c>
      <c r="D44" s="227">
        <f t="shared" si="4"/>
        <v>29.999999999999996</v>
      </c>
      <c r="E44" s="228">
        <f t="shared" si="2"/>
        <v>85</v>
      </c>
      <c r="F44" s="228">
        <f t="shared" si="5"/>
        <v>25.980762113533157</v>
      </c>
      <c r="G44" s="269"/>
      <c r="H44" s="218"/>
      <c r="I44" s="210"/>
      <c r="J44" s="211"/>
      <c r="K44" s="199"/>
      <c r="L44" s="200"/>
      <c r="M44" s="200"/>
    </row>
    <row r="45" spans="1:13" ht="15" x14ac:dyDescent="0.25">
      <c r="A45" s="271"/>
      <c r="B45" s="215">
        <f t="shared" si="6"/>
        <v>40</v>
      </c>
      <c r="C45" s="215">
        <v>0</v>
      </c>
      <c r="D45" s="215">
        <f t="shared" si="4"/>
        <v>39.999999999999993</v>
      </c>
      <c r="E45" s="216">
        <f t="shared" si="2"/>
        <v>19.999999999999993</v>
      </c>
      <c r="F45" s="216">
        <f t="shared" si="5"/>
        <v>34.641016151377542</v>
      </c>
      <c r="G45" s="268">
        <v>4</v>
      </c>
      <c r="H45" s="218"/>
      <c r="I45" s="210"/>
      <c r="J45" s="211"/>
      <c r="K45" s="199"/>
      <c r="L45" s="200"/>
      <c r="M45" s="200"/>
    </row>
    <row r="46" spans="1:13" ht="15" x14ac:dyDescent="0.25">
      <c r="A46" s="271"/>
      <c r="B46" s="227">
        <f t="shared" si="6"/>
        <v>40</v>
      </c>
      <c r="C46" s="227">
        <v>60</v>
      </c>
      <c r="D46" s="227">
        <f t="shared" si="4"/>
        <v>39.999999999999993</v>
      </c>
      <c r="E46" s="228">
        <f t="shared" si="2"/>
        <v>80</v>
      </c>
      <c r="F46" s="228">
        <f t="shared" si="5"/>
        <v>34.641016151377542</v>
      </c>
      <c r="G46" s="269"/>
      <c r="H46" s="218"/>
      <c r="I46" s="210"/>
      <c r="J46" s="211"/>
      <c r="K46" s="199"/>
      <c r="L46" s="200"/>
      <c r="M46" s="200"/>
    </row>
    <row r="47" spans="1:13" ht="15" x14ac:dyDescent="0.25">
      <c r="A47" s="271"/>
      <c r="B47" s="215">
        <f t="shared" si="6"/>
        <v>50</v>
      </c>
      <c r="C47" s="215">
        <v>0</v>
      </c>
      <c r="D47" s="215">
        <f t="shared" si="4"/>
        <v>49.999999999999993</v>
      </c>
      <c r="E47" s="216">
        <f t="shared" si="2"/>
        <v>24.999999999999982</v>
      </c>
      <c r="F47" s="216">
        <f t="shared" si="5"/>
        <v>43.301270189221931</v>
      </c>
      <c r="G47" s="268">
        <v>5</v>
      </c>
      <c r="H47" s="218"/>
      <c r="I47" s="210"/>
      <c r="J47" s="211"/>
      <c r="K47" s="199"/>
      <c r="L47" s="200"/>
      <c r="M47" s="200"/>
    </row>
    <row r="48" spans="1:13" ht="15" x14ac:dyDescent="0.25">
      <c r="A48" s="271"/>
      <c r="B48" s="227">
        <f t="shared" si="6"/>
        <v>50</v>
      </c>
      <c r="C48" s="227">
        <v>50</v>
      </c>
      <c r="D48" s="227">
        <f t="shared" si="4"/>
        <v>49.999999999999993</v>
      </c>
      <c r="E48" s="228">
        <f t="shared" si="2"/>
        <v>74.999999999999986</v>
      </c>
      <c r="F48" s="228">
        <f t="shared" si="5"/>
        <v>43.301270189221931</v>
      </c>
      <c r="G48" s="269"/>
      <c r="H48" s="218"/>
      <c r="I48" s="210"/>
      <c r="J48" s="211"/>
      <c r="K48" s="199"/>
      <c r="L48" s="200"/>
      <c r="M48" s="200"/>
    </row>
    <row r="49" spans="1:13" ht="15" x14ac:dyDescent="0.25">
      <c r="A49" s="271"/>
      <c r="B49" s="215">
        <f t="shared" si="6"/>
        <v>60</v>
      </c>
      <c r="C49" s="215">
        <v>0</v>
      </c>
      <c r="D49" s="215">
        <f t="shared" si="4"/>
        <v>59.999999999999993</v>
      </c>
      <c r="E49" s="216">
        <f t="shared" si="2"/>
        <v>29.999999999999993</v>
      </c>
      <c r="F49" s="216">
        <f t="shared" si="5"/>
        <v>51.961524227066313</v>
      </c>
      <c r="G49" s="268">
        <v>6</v>
      </c>
      <c r="H49" s="218"/>
      <c r="I49" s="210"/>
      <c r="J49" s="211"/>
      <c r="K49" s="199"/>
      <c r="L49" s="200"/>
      <c r="M49" s="200"/>
    </row>
    <row r="50" spans="1:13" ht="15" x14ac:dyDescent="0.25">
      <c r="A50" s="271"/>
      <c r="B50" s="227">
        <f t="shared" si="6"/>
        <v>60</v>
      </c>
      <c r="C50" s="227">
        <v>40</v>
      </c>
      <c r="D50" s="227">
        <f t="shared" si="4"/>
        <v>59.999999999999993</v>
      </c>
      <c r="E50" s="228">
        <f t="shared" si="2"/>
        <v>70</v>
      </c>
      <c r="F50" s="228">
        <f t="shared" si="5"/>
        <v>51.961524227066313</v>
      </c>
      <c r="G50" s="269"/>
      <c r="H50" s="218"/>
      <c r="I50" s="210"/>
      <c r="J50" s="211"/>
      <c r="K50" s="199"/>
      <c r="L50" s="200"/>
      <c r="M50" s="200"/>
    </row>
    <row r="51" spans="1:13" ht="15" x14ac:dyDescent="0.25">
      <c r="A51" s="271"/>
      <c r="B51" s="215">
        <f t="shared" si="6"/>
        <v>70</v>
      </c>
      <c r="C51" s="215">
        <v>0</v>
      </c>
      <c r="D51" s="215">
        <f t="shared" si="4"/>
        <v>69.999999999999986</v>
      </c>
      <c r="E51" s="216">
        <f t="shared" si="2"/>
        <v>34.999999999999979</v>
      </c>
      <c r="F51" s="216">
        <f t="shared" si="5"/>
        <v>60.621778264910702</v>
      </c>
      <c r="G51" s="268">
        <v>7</v>
      </c>
      <c r="H51" s="218"/>
      <c r="I51" s="210"/>
      <c r="J51" s="211"/>
      <c r="K51" s="199"/>
      <c r="L51" s="200"/>
      <c r="M51" s="200"/>
    </row>
    <row r="52" spans="1:13" ht="15" x14ac:dyDescent="0.25">
      <c r="A52" s="271"/>
      <c r="B52" s="227">
        <f t="shared" si="6"/>
        <v>70</v>
      </c>
      <c r="C52" s="227">
        <v>30</v>
      </c>
      <c r="D52" s="227">
        <f t="shared" si="4"/>
        <v>69.999999999999986</v>
      </c>
      <c r="E52" s="228">
        <f t="shared" si="2"/>
        <v>64.999999999999972</v>
      </c>
      <c r="F52" s="228">
        <f t="shared" si="5"/>
        <v>60.621778264910702</v>
      </c>
      <c r="G52" s="269"/>
      <c r="H52" s="218"/>
      <c r="I52" s="210"/>
      <c r="J52" s="211"/>
      <c r="K52" s="199"/>
      <c r="L52" s="200"/>
      <c r="M52" s="200"/>
    </row>
    <row r="53" spans="1:13" ht="15" x14ac:dyDescent="0.25">
      <c r="A53" s="271"/>
      <c r="B53" s="215">
        <f t="shared" si="6"/>
        <v>80</v>
      </c>
      <c r="C53" s="215">
        <v>0</v>
      </c>
      <c r="D53" s="215">
        <f t="shared" si="4"/>
        <v>79.999999999999986</v>
      </c>
      <c r="E53" s="216">
        <f t="shared" si="2"/>
        <v>39.999999999999986</v>
      </c>
      <c r="F53" s="216">
        <f t="shared" si="5"/>
        <v>69.282032302755084</v>
      </c>
      <c r="G53" s="268">
        <v>8</v>
      </c>
      <c r="H53" s="218"/>
      <c r="I53" s="210"/>
      <c r="J53" s="211"/>
      <c r="K53" s="199"/>
      <c r="L53" s="200"/>
      <c r="M53" s="200"/>
    </row>
    <row r="54" spans="1:13" ht="15" x14ac:dyDescent="0.25">
      <c r="A54" s="271"/>
      <c r="B54" s="227">
        <f t="shared" si="6"/>
        <v>80</v>
      </c>
      <c r="C54" s="227">
        <v>20</v>
      </c>
      <c r="D54" s="227">
        <f t="shared" si="4"/>
        <v>79.999999999999986</v>
      </c>
      <c r="E54" s="228">
        <f t="shared" si="2"/>
        <v>59.999999999999986</v>
      </c>
      <c r="F54" s="228">
        <f t="shared" si="5"/>
        <v>69.282032302755084</v>
      </c>
      <c r="G54" s="269"/>
      <c r="H54" s="218"/>
      <c r="I54" s="210"/>
      <c r="J54" s="211"/>
      <c r="K54" s="199"/>
      <c r="L54" s="200"/>
      <c r="M54" s="200"/>
    </row>
    <row r="55" spans="1:13" ht="15" x14ac:dyDescent="0.25">
      <c r="A55" s="271"/>
      <c r="B55" s="215">
        <f t="shared" si="6"/>
        <v>90</v>
      </c>
      <c r="C55" s="215">
        <v>0</v>
      </c>
      <c r="D55" s="215">
        <f t="shared" si="4"/>
        <v>90</v>
      </c>
      <c r="E55" s="216">
        <f t="shared" si="2"/>
        <v>45</v>
      </c>
      <c r="F55" s="216">
        <f t="shared" si="5"/>
        <v>77.94228634059948</v>
      </c>
      <c r="G55" s="268">
        <v>9</v>
      </c>
      <c r="H55" s="218"/>
      <c r="I55" s="210"/>
      <c r="J55" s="211"/>
      <c r="K55" s="199"/>
      <c r="L55" s="200"/>
      <c r="M55" s="200"/>
    </row>
    <row r="56" spans="1:13" ht="15" x14ac:dyDescent="0.25">
      <c r="A56" s="272"/>
      <c r="B56" s="227">
        <f t="shared" si="6"/>
        <v>90</v>
      </c>
      <c r="C56" s="227">
        <v>10</v>
      </c>
      <c r="D56" s="227">
        <f t="shared" si="4"/>
        <v>90</v>
      </c>
      <c r="E56" s="228">
        <f t="shared" si="2"/>
        <v>55</v>
      </c>
      <c r="F56" s="228">
        <f t="shared" si="5"/>
        <v>77.94228634059948</v>
      </c>
      <c r="G56" s="269"/>
      <c r="H56" s="218"/>
      <c r="I56" s="210"/>
      <c r="J56" s="211"/>
      <c r="K56" s="199"/>
      <c r="L56" s="200"/>
      <c r="M56" s="200"/>
    </row>
    <row r="57" spans="1:13" x14ac:dyDescent="0.2">
      <c r="E57" s="181"/>
      <c r="F57" s="182"/>
      <c r="G57" s="183"/>
      <c r="H57" s="183"/>
      <c r="I57" s="194"/>
      <c r="J57" s="195"/>
      <c r="K57" s="193"/>
      <c r="L57" s="196"/>
      <c r="M57" s="196"/>
    </row>
    <row r="58" spans="1:13" x14ac:dyDescent="0.2">
      <c r="E58" s="181"/>
      <c r="F58" s="182"/>
      <c r="G58" s="183"/>
      <c r="H58" s="183"/>
      <c r="I58" s="194"/>
      <c r="J58" s="195"/>
      <c r="K58" s="193"/>
      <c r="L58" s="196"/>
      <c r="M58" s="196"/>
    </row>
    <row r="59" spans="1:13" x14ac:dyDescent="0.2">
      <c r="E59" s="181"/>
      <c r="F59" s="182"/>
      <c r="G59" s="183"/>
      <c r="H59" s="183"/>
      <c r="L59" s="196"/>
      <c r="M59" s="196"/>
    </row>
    <row r="60" spans="1:13" x14ac:dyDescent="0.2">
      <c r="E60" s="181"/>
      <c r="F60" s="182"/>
      <c r="G60" s="183"/>
      <c r="H60" s="183"/>
    </row>
    <row r="61" spans="1:13" x14ac:dyDescent="0.2">
      <c r="E61" s="181"/>
      <c r="F61" s="182"/>
      <c r="G61" s="183"/>
      <c r="H61" s="183"/>
    </row>
    <row r="62" spans="1:13" x14ac:dyDescent="0.2">
      <c r="E62" s="181"/>
      <c r="F62" s="182"/>
      <c r="G62" s="183"/>
      <c r="H62" s="183"/>
    </row>
    <row r="63" spans="1:13" x14ac:dyDescent="0.2">
      <c r="D63" s="181"/>
      <c r="E63" s="182"/>
    </row>
    <row r="64" spans="1:13" x14ac:dyDescent="0.2">
      <c r="D64" s="181"/>
      <c r="E64" s="182"/>
    </row>
    <row r="65" spans="4:10" x14ac:dyDescent="0.2">
      <c r="D65" s="181"/>
      <c r="E65" s="182"/>
      <c r="I65" s="181"/>
      <c r="J65" s="182"/>
    </row>
    <row r="66" spans="4:10" x14ac:dyDescent="0.2">
      <c r="D66" s="181"/>
      <c r="E66" s="182"/>
      <c r="I66" s="181"/>
      <c r="J66" s="182"/>
    </row>
    <row r="67" spans="4:10" x14ac:dyDescent="0.2">
      <c r="D67" s="181"/>
      <c r="E67" s="182"/>
      <c r="I67" s="181"/>
      <c r="J67" s="182"/>
    </row>
    <row r="68" spans="4:10" x14ac:dyDescent="0.2">
      <c r="D68" s="181"/>
      <c r="E68" s="182"/>
      <c r="I68" s="181"/>
      <c r="J68" s="182"/>
    </row>
    <row r="69" spans="4:10" x14ac:dyDescent="0.2">
      <c r="D69" s="181"/>
      <c r="E69" s="182"/>
      <c r="I69" s="181"/>
      <c r="J69" s="182"/>
    </row>
    <row r="70" spans="4:10" x14ac:dyDescent="0.2">
      <c r="D70" s="181"/>
      <c r="E70" s="182"/>
      <c r="I70" s="181"/>
      <c r="J70" s="182"/>
    </row>
    <row r="71" spans="4:10" x14ac:dyDescent="0.2">
      <c r="D71" s="181"/>
      <c r="E71" s="182"/>
      <c r="I71" s="181"/>
      <c r="J71" s="182"/>
    </row>
    <row r="72" spans="4:10" x14ac:dyDescent="0.2">
      <c r="D72" s="181"/>
      <c r="E72" s="182"/>
      <c r="I72" s="181"/>
      <c r="J72" s="182"/>
    </row>
    <row r="73" spans="4:10" x14ac:dyDescent="0.2">
      <c r="D73" s="181"/>
      <c r="E73" s="182"/>
      <c r="I73" s="181"/>
      <c r="J73" s="182"/>
    </row>
    <row r="74" spans="4:10" x14ac:dyDescent="0.2">
      <c r="D74" s="181"/>
      <c r="E74" s="182"/>
      <c r="I74" s="181"/>
      <c r="J74" s="182"/>
    </row>
    <row r="75" spans="4:10" x14ac:dyDescent="0.2">
      <c r="D75" s="181"/>
      <c r="E75" s="182"/>
      <c r="I75" s="181"/>
      <c r="J75" s="182"/>
    </row>
    <row r="76" spans="4:10" x14ac:dyDescent="0.2">
      <c r="D76" s="181"/>
      <c r="E76" s="182"/>
      <c r="I76" s="181"/>
      <c r="J76" s="182"/>
    </row>
    <row r="77" spans="4:10" x14ac:dyDescent="0.2">
      <c r="D77" s="181"/>
      <c r="E77" s="182"/>
      <c r="I77" s="181"/>
      <c r="J77" s="182"/>
    </row>
    <row r="78" spans="4:10" x14ac:dyDescent="0.2">
      <c r="D78" s="181"/>
      <c r="E78" s="182"/>
      <c r="I78" s="181"/>
      <c r="J78" s="182"/>
    </row>
    <row r="79" spans="4:10" x14ac:dyDescent="0.2">
      <c r="D79" s="181"/>
      <c r="E79" s="182"/>
      <c r="I79" s="181"/>
      <c r="J79" s="182"/>
    </row>
    <row r="80" spans="4:10" x14ac:dyDescent="0.2">
      <c r="D80" s="181"/>
      <c r="E80" s="182"/>
      <c r="I80" s="181"/>
      <c r="J80" s="182"/>
    </row>
    <row r="81" spans="4:10" x14ac:dyDescent="0.2">
      <c r="D81" s="181"/>
      <c r="E81" s="182"/>
      <c r="I81" s="181"/>
      <c r="J81" s="182"/>
    </row>
    <row r="82" spans="4:10" x14ac:dyDescent="0.2">
      <c r="D82" s="181"/>
      <c r="E82" s="182"/>
      <c r="I82" s="181"/>
      <c r="J82" s="182"/>
    </row>
    <row r="83" spans="4:10" x14ac:dyDescent="0.2">
      <c r="D83" s="181"/>
      <c r="E83" s="182"/>
      <c r="I83" s="181"/>
      <c r="J83" s="182"/>
    </row>
    <row r="84" spans="4:10" x14ac:dyDescent="0.2">
      <c r="D84" s="181"/>
      <c r="E84" s="182"/>
      <c r="I84" s="181"/>
      <c r="J84" s="182"/>
    </row>
    <row r="85" spans="4:10" x14ac:dyDescent="0.2">
      <c r="D85" s="181"/>
      <c r="E85" s="182"/>
      <c r="I85" s="181"/>
      <c r="J85" s="182"/>
    </row>
    <row r="86" spans="4:10" x14ac:dyDescent="0.2">
      <c r="D86" s="181"/>
      <c r="E86" s="182"/>
      <c r="I86" s="181"/>
      <c r="J86" s="182"/>
    </row>
    <row r="87" spans="4:10" x14ac:dyDescent="0.2">
      <c r="D87" s="181"/>
      <c r="E87" s="182"/>
      <c r="I87" s="181"/>
      <c r="J87" s="182"/>
    </row>
    <row r="88" spans="4:10" x14ac:dyDescent="0.2">
      <c r="D88" s="181"/>
      <c r="E88" s="182"/>
      <c r="I88" s="181"/>
      <c r="J88" s="182"/>
    </row>
    <row r="89" spans="4:10" x14ac:dyDescent="0.2">
      <c r="D89" s="181"/>
      <c r="E89" s="182"/>
      <c r="I89" s="181"/>
      <c r="J89" s="182"/>
    </row>
    <row r="90" spans="4:10" x14ac:dyDescent="0.2">
      <c r="D90" s="181"/>
      <c r="E90" s="182"/>
      <c r="I90" s="181"/>
      <c r="J90" s="182"/>
    </row>
    <row r="91" spans="4:10" x14ac:dyDescent="0.2">
      <c r="D91" s="181"/>
      <c r="E91" s="182"/>
      <c r="I91" s="181"/>
      <c r="J91" s="182"/>
    </row>
    <row r="92" spans="4:10" x14ac:dyDescent="0.2">
      <c r="D92" s="181"/>
      <c r="E92" s="182"/>
      <c r="I92" s="181"/>
      <c r="J92" s="182"/>
    </row>
    <row r="93" spans="4:10" x14ac:dyDescent="0.2">
      <c r="D93" s="181"/>
      <c r="E93" s="182"/>
      <c r="I93" s="181"/>
      <c r="J93" s="182"/>
    </row>
    <row r="94" spans="4:10" x14ac:dyDescent="0.2">
      <c r="D94" s="181"/>
      <c r="E94" s="182"/>
      <c r="I94" s="181"/>
      <c r="J94" s="182"/>
    </row>
    <row r="95" spans="4:10" x14ac:dyDescent="0.2">
      <c r="D95" s="181"/>
      <c r="E95" s="182"/>
      <c r="I95" s="181"/>
      <c r="J95" s="182"/>
    </row>
    <row r="96" spans="4:10" x14ac:dyDescent="0.2">
      <c r="D96" s="181"/>
      <c r="E96" s="182"/>
      <c r="I96" s="181"/>
      <c r="J96" s="182"/>
    </row>
    <row r="97" spans="4:10" x14ac:dyDescent="0.2">
      <c r="D97" s="181"/>
      <c r="E97" s="182"/>
      <c r="I97" s="181"/>
      <c r="J97" s="182"/>
    </row>
    <row r="98" spans="4:10" x14ac:dyDescent="0.2">
      <c r="D98" s="181"/>
      <c r="E98" s="182"/>
      <c r="I98" s="181"/>
      <c r="J98" s="182"/>
    </row>
    <row r="99" spans="4:10" x14ac:dyDescent="0.2">
      <c r="D99" s="181"/>
      <c r="E99" s="182"/>
      <c r="I99" s="181"/>
      <c r="J99" s="182"/>
    </row>
    <row r="100" spans="4:10" x14ac:dyDescent="0.2">
      <c r="D100" s="181"/>
      <c r="E100" s="182"/>
      <c r="I100" s="181"/>
      <c r="J100" s="182"/>
    </row>
    <row r="101" spans="4:10" x14ac:dyDescent="0.2">
      <c r="D101" s="181"/>
      <c r="E101" s="182"/>
      <c r="I101" s="181"/>
      <c r="J101" s="182"/>
    </row>
    <row r="102" spans="4:10" x14ac:dyDescent="0.2">
      <c r="D102" s="181"/>
      <c r="E102" s="182"/>
      <c r="I102" s="181"/>
      <c r="J102" s="182"/>
    </row>
    <row r="103" spans="4:10" x14ac:dyDescent="0.2">
      <c r="D103" s="181"/>
      <c r="E103" s="182"/>
      <c r="I103" s="181"/>
      <c r="J103" s="182"/>
    </row>
    <row r="104" spans="4:10" x14ac:dyDescent="0.2">
      <c r="I104" s="181"/>
      <c r="J104" s="182"/>
    </row>
    <row r="105" spans="4:10" x14ac:dyDescent="0.2">
      <c r="I105" s="181"/>
      <c r="J105" s="182"/>
    </row>
  </sheetData>
  <mergeCells count="35">
    <mergeCell ref="A21:A38"/>
    <mergeCell ref="A39:A56"/>
    <mergeCell ref="B2:C2"/>
    <mergeCell ref="I13:J13"/>
    <mergeCell ref="I8:J8"/>
    <mergeCell ref="I3:M3"/>
    <mergeCell ref="L5:M5"/>
    <mergeCell ref="A3:A20"/>
    <mergeCell ref="G19:G20"/>
    <mergeCell ref="G17:G18"/>
    <mergeCell ref="G15:G16"/>
    <mergeCell ref="G13:G14"/>
    <mergeCell ref="G11:G12"/>
    <mergeCell ref="G9:G10"/>
    <mergeCell ref="G7:G8"/>
    <mergeCell ref="G5:G6"/>
    <mergeCell ref="G39:G40"/>
    <mergeCell ref="G3:G4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51:G52"/>
    <mergeCell ref="G53:G54"/>
    <mergeCell ref="G55:G56"/>
    <mergeCell ref="G41:G42"/>
    <mergeCell ref="G43:G44"/>
    <mergeCell ref="G45:G46"/>
    <mergeCell ref="G47:G48"/>
    <mergeCell ref="G49:G50"/>
  </mergeCells>
  <dataValidations count="1">
    <dataValidation type="decimal" allowBlank="1" showErrorMessage="1" errorTitle="Erro!" error="Os Valores devem estar entre 0 e 100." sqref="B3:B56 L6" xr:uid="{00000000-0002-0000-0500-000000000000}">
      <formula1>0</formula1>
      <formula2>100</formula2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ignoredErrors>
    <ignoredError sqref="L6:M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Leia_antes_de_usar</vt:lpstr>
      <vt:lpstr>Entrada de dados</vt:lpstr>
      <vt:lpstr>Qualidade dos Dados</vt:lpstr>
      <vt:lpstr>Classificação Textural</vt:lpstr>
      <vt:lpstr>Protocolo</vt:lpstr>
      <vt:lpstr>Const. Triagulo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</dc:creator>
  <cp:lastModifiedBy>Usuário</cp:lastModifiedBy>
  <cp:lastPrinted>2019-12-21T09:29:42Z</cp:lastPrinted>
  <dcterms:created xsi:type="dcterms:W3CDTF">2012-12-17T09:59:23Z</dcterms:created>
  <dcterms:modified xsi:type="dcterms:W3CDTF">2020-05-23T12:04:58Z</dcterms:modified>
</cp:coreProperties>
</file>